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<sst xmlns="http://schemas.openxmlformats.org/spreadsheetml/2006/main" count="16218" uniqueCount="12530">
  <si>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</si>
  <si>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</si>
  <si>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</si>
  <si>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</si>
  <si>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</si>
  <si>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</si>
  <si>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</si>
  <si>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</si>
  <si>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</si>
  <si>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</si>
  <si>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</si>
  <si>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</si>
  <si>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</si>
  <si>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</si>
  <si>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</si>
  <si>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</si>
  <si>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</si>
  <si>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</si>
  <si>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</si>
  <si>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</si>
  <si>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</si>
  <si>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</si>
  <si>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</si>
  <si>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</si>
  <si>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</si>
  <si>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</si>
  <si>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</si>
  <si>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</si>
  <si>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</si>
  <si>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</si>
  <si>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</si>
  <si>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</si>
  <si>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</si>
  <si>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</si>
  <si>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</si>
  <si>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</si>
  <si>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</si>
  <si>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</si>
  <si>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</si>
  <si>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</si>
  <si>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</si>
  <si>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</si>
  <si>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</si>
  <si>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</si>
  <si>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</si>
  <si>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</si>
  <si>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</si>
  <si>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</si>
  <si>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</si>
  <si>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</si>
  <si>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</si>
  <si>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</si>
  <si>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</si>
  <si>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</si>
  <si>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</si>
  <si>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</si>
  <si>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</si>
  <si>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</si>
  <si>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</si>
  <si>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</si>
  <si>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</si>
  <si>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</si>
  <si>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</si>
  <si>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</si>
  <si>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</si>
  <si>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</si>
  <si>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</si>
  <si>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</si>
  <si>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</si>
  <si>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</si>
  <si>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</si>
  <si>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</si>
  <si>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</si>
  <si>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</si>
  <si>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</si>
  <si>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</si>
  <si>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</si>
  <si>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</si>
  <si>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</si>
  <si>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</si>
  <si>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</si>
  <si>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</si>
  <si>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</si>
  <si>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</si>
  <si>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</si>
  <si>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</si>
  <si>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</si>
  <si>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</si>
  <si>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</si>
  <si>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</si>
  <si>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</si>
  <si>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</si>
  <si>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</si>
  <si>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</si>
  <si>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</si>
  <si>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</si>
  <si>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</si>
  <si>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</si>
  <si>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</si>
  <si>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</si>
  <si>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</si>
  <si>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</si>
  <si>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</si>
  <si>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</si>
  <si>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</si>
  <si>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</si>
  <si>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</si>
  <si>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</si>
  <si>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</si>
  <si>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</si>
  <si>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</si>
  <si>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</si>
  <si>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</si>
  <si>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</si>
  <si>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</si>
  <si>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</si>
  <si>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</si>
  <si>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</si>
  <si>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</si>
  <si>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</si>
  <si>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</si>
  <si>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</si>
  <si>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</si>
  <si>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</si>
  <si>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</si>
  <si>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</si>
  <si>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</si>
  <si>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</si>
  <si>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</si>
  <si>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</si>
  <si>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</si>
  <si>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</si>
  <si>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</si>
  <si>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</si>
  <si>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</si>
  <si>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</si>
  <si>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</si>
  <si>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</si>
  <si>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</si>
  <si>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</si>
  <si>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</si>
  <si>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</si>
  <si>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</si>
  <si>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</si>
  <si>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</si>
  <si>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</si>
  <si>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</si>
  <si>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</si>
  <si>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</si>
  <si>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</si>
  <si>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</si>
  <si>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</si>
  <si>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</si>
  <si>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</si>
  <si>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</si>
  <si>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</si>
  <si>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</si>
  <si>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</si>
  <si>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</si>
  <si>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</si>
  <si>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</si>
  <si>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</si>
  <si>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</si>
  <si>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</si>
  <si>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</si>
  <si>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</si>
  <si>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</si>
  <si>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</si>
  <si>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</si>
  <si>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</si>
  <si>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</si>
  <si>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</si>
  <si>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</si>
  <si>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</si>
  <si>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</si>
  <si>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</si>
  <si>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</si>
  <si>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</si>
  <si>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</si>
  <si>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</si>
  <si>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</si>
  <si>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</si>
  <si>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</si>
  <si>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</si>
  <si>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</si>
  <si>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</si>
  <si>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</si>
  <si>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</si>
  <si>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</si>
  <si>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</si>
  <si>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</si>
  <si>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</si>
  <si>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</si>
  <si>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</si>
  <si>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</si>
  <si>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</si>
  <si>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</si>
  <si>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</si>
  <si>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</si>
  <si>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</si>
  <si>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</si>
  <si>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</si>
  <si>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</si>
  <si>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</si>
  <si>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</si>
  <si>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</si>
  <si>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</si>
  <si>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</si>
  <si>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</si>
  <si>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</si>
  <si>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</si>
  <si>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</si>
  <si>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</si>
  <si>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</si>
  <si>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</si>
  <si>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</si>
  <si>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</si>
  <si>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</si>
  <si>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</si>
  <si>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</si>
  <si>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</si>
  <si>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</si>
  <si>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</si>
  <si>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</si>
  <si>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</si>
  <si>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</si>
  <si>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</si>
  <si>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</si>
  <si>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</si>
  <si>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</si>
  <si>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</si>
  <si>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</si>
  <si>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</si>
  <si>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</si>
  <si>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</si>
  <si>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</si>
  <si>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</si>
  <si>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</si>
  <si>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</si>
  <si>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</si>
  <si>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</si>
  <si>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</si>
  <si>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</si>
  <si>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</si>
  <si>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</si>
  <si>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</si>
  <si>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</si>
  <si>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</si>
  <si>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</si>
  <si>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</si>
  <si>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</si>
  <si>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</si>
  <si>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</si>
  <si>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</si>
  <si>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</si>
  <si>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</si>
  <si>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</si>
  <si>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</si>
  <si>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</si>
  <si>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</si>
  <si>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</si>
  <si>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</si>
  <si>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</si>
  <si>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</si>
  <si>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</si>
  <si>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</si>
  <si>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</si>
  <si>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</si>
  <si>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</si>
  <si>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</si>
  <si>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</si>
  <si>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</si>
  <si>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</si>
  <si>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</si>
  <si>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</si>
  <si>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</si>
  <si>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</si>
  <si>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</si>
  <si>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</si>
  <si>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</si>
  <si>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</si>
  <si>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</si>
  <si>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</si>
  <si>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</si>
  <si>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</si>
  <si>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</si>
  <si>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</si>
  <si>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</si>
  <si>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</si>
  <si>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</si>
  <si>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</si>
  <si>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</si>
  <si>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</si>
  <si>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</si>
  <si>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</si>
  <si>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</si>
  <si>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</si>
  <si>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</si>
  <si>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</si>
  <si>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</si>
  <si>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</si>
  <si>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</si>
  <si>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</si>
  <si>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</si>
  <si>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</si>
  <si>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</si>
  <si>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</si>
  <si>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</si>
  <si>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</si>
  <si>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</si>
  <si>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</si>
  <si>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</si>
  <si>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</si>
  <si>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</si>
  <si>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</si>
  <si>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</si>
  <si>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</si>
  <si>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</si>
  <si>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</si>
  <si>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</si>
  <si>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</si>
  <si>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</si>
  <si>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</si>
  <si>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</si>
  <si>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</si>
  <si>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</si>
  <si>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</si>
  <si>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</si>
  <si>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</si>
  <si>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</si>
  <si>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</si>
  <si>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</si>
  <si>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</si>
  <si>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</si>
  <si>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</si>
  <si>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</si>
  <si>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</si>
  <si>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</si>
  <si>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</si>
  <si>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</si>
  <si>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</si>
  <si>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</si>
  <si>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</si>
  <si>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</si>
  <si>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</si>
  <si>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</si>
  <si>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</si>
  <si>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</si>
  <si>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</si>
  <si>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</si>
  <si>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</si>
  <si>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</si>
  <si>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</si>
  <si>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</si>
  <si>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</si>
  <si>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</si>
  <si>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</si>
  <si>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</si>
  <si>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</si>
  <si>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</si>
  <si>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</si>
  <si>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</si>
  <si>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</si>
  <si>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</si>
  <si>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</si>
  <si>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</si>
  <si>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</si>
  <si>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</si>
  <si>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</si>
  <si>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</si>
  <si>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</si>
  <si>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</si>
  <si>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</si>
  <si>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</si>
  <si>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</si>
  <si>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</si>
  <si>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</si>
  <si>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</si>
  <si>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</si>
  <si>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</si>
  <si>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</si>
  <si>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</si>
  <si>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</si>
  <si>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</si>
  <si>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</si>
  <si>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</si>
  <si>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</si>
  <si>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</si>
  <si>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</si>
  <si>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</si>
  <si>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</si>
  <si>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</si>
  <si>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</si>
  <si>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</si>
  <si>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</si>
  <si>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</si>
  <si>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</si>
  <si>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</si>
  <si>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</si>
  <si>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</si>
  <si>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</si>
  <si>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</si>
  <si>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</si>
  <si>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</si>
  <si>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</si>
  <si>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</si>
  <si>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</si>
  <si>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</si>
  <si>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</si>
  <si>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</si>
  <si>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</si>
  <si>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</si>
  <si>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</si>
  <si>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</si>
  <si>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</si>
  <si>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</si>
  <si>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</si>
  <si>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</si>
  <si>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</si>
  <si>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</si>
  <si>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</si>
  <si>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</si>
  <si>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</si>
  <si>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</si>
  <si>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</si>
  <si>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</si>
  <si>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</si>
  <si>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</si>
  <si>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</si>
  <si>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</si>
  <si>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</si>
  <si>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</si>
  <si>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</si>
  <si>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</si>
  <si>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</si>
  <si>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</si>
  <si>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</si>
  <si>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</si>
  <si>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</si>
  <si>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</si>
  <si>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</si>
  <si>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</si>
  <si>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</si>
  <si>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</si>
  <si>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</si>
  <si>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</si>
  <si>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</si>
  <si>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</si>
  <si>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</si>
  <si>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</si>
  <si>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</si>
  <si>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</si>
  <si>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</si>
  <si>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</si>
  <si>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</si>
  <si>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</si>
  <si>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</si>
  <si>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</si>
  <si>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</si>
  <si>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</si>
  <si>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</si>
  <si>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</si>
  <si>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</si>
  <si>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</si>
  <si>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</si>
  <si>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</si>
  <si>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</si>
  <si>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</si>
  <si>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</si>
  <si>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</si>
  <si>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</si>
  <si>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</si>
  <si>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</si>
  <si>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</si>
  <si>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</si>
  <si>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</si>
  <si>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</si>
  <si>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</si>
  <si>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</si>
  <si>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</si>
  <si>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</si>
  <si>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</si>
  <si>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</si>
  <si>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</si>
  <si>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</si>
  <si>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</si>
  <si>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</si>
  <si>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</si>
  <si>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</si>
  <si>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</si>
  <si>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</si>
  <si>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</si>
  <si>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</si>
  <si>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</si>
  <si>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</si>
  <si>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</si>
  <si>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</si>
  <si>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</si>
  <si>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</si>
  <si>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</si>
  <si>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</si>
  <si>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</si>
  <si>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</si>
  <si>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</si>
  <si>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</si>
  <si>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</si>
  <si>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</si>
  <si>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</si>
  <si>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</si>
  <si>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</si>
  <si>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</si>
  <si>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</si>
  <si>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</si>
  <si>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</si>
  <si>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</si>
  <si>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</si>
  <si>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</si>
  <si>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</si>
  <si>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</si>
  <si>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</si>
  <si>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</si>
  <si>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</si>
  <si>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</si>
  <si>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</si>
  <si>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</si>
  <si>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</si>
  <si>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</si>
  <si>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</si>
  <si>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</si>
  <si>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</si>
  <si>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</si>
  <si>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</si>
  <si>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</si>
  <si>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</si>
  <si>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</si>
  <si>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</si>
  <si>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</si>
  <si>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</si>
  <si>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</si>
  <si>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</si>
  <si>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</si>
  <si>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</si>
  <si>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</si>
  <si>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</si>
  <si>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</si>
  <si>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</si>
  <si>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</si>
  <si>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</si>
  <si>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</si>
  <si>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</si>
  <si>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</si>
  <si>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</si>
  <si>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</si>
  <si>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</si>
  <si>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</si>
  <si>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</si>
  <si>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</si>
  <si>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</si>
  <si>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</si>
  <si>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</si>
  <si>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</si>
  <si>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</si>
  <si>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</si>
  <si>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</si>
  <si>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</si>
  <si>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</si>
  <si>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</si>
  <si>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</si>
  <si>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</si>
  <si>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</si>
  <si>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</si>
  <si>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</si>
  <si>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</si>
  <si>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</si>
  <si>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</si>
  <si>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</si>
  <si>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</si>
  <si>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</si>
  <si>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</si>
  <si>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</si>
  <si>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</si>
  <si>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</si>
  <si>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</si>
  <si>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</si>
  <si>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</si>
  <si>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</si>
  <si>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</si>
  <si>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</si>
  <si>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</si>
  <si>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</si>
  <si>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</si>
  <si>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</si>
  <si>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</si>
  <si>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</si>
  <si>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</si>
  <si>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</si>
  <si>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</si>
  <si>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</si>
  <si>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</si>
  <si>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</si>
  <si>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</si>
  <si>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</si>
  <si>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</si>
  <si>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</si>
  <si>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</si>
  <si>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</si>
  <si>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</si>
  <si>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</si>
  <si>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</si>
  <si>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</si>
  <si>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</si>
  <si>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</si>
  <si>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</si>
  <si>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</si>
  <si>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</si>
  <si>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</si>
  <si>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</si>
  <si>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</si>
  <si>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</si>
  <si>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</si>
  <si>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</si>
  <si>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</si>
  <si>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</si>
  <si>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</si>
  <si>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</si>
  <si>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</si>
  <si>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</si>
  <si>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</si>
  <si>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</si>
  <si>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</si>
  <si>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</si>
  <si>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</si>
  <si>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</si>
  <si>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</si>
  <si>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</si>
  <si>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</si>
  <si>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</si>
  <si>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</si>
  <si>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</si>
  <si>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</si>
  <si>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</si>
  <si>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</si>
  <si>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</si>
  <si>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</si>
  <si>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</si>
  <si>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</si>
  <si>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</si>
  <si>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</si>
  <si>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</si>
  <si>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</si>
  <si>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</si>
  <si>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</si>
  <si>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</si>
  <si>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</si>
  <si>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</si>
  <si>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</si>
  <si>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</si>
  <si>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</si>
  <si>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</si>
  <si>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</si>
  <si>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</si>
  <si>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</si>
  <si>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</si>
  <si>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</si>
  <si>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</si>
  <si>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</si>
  <si>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</si>
  <si>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</si>
  <si>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</si>
  <si>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</si>
  <si>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</si>
  <si>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</si>
  <si>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</si>
  <si>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</si>
  <si>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</si>
  <si>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</si>
  <si>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</si>
  <si>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</si>
  <si>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</si>
  <si>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</si>
  <si>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</si>
  <si>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</si>
  <si>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</si>
  <si>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</si>
  <si>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</si>
  <si>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</si>
  <si>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</si>
  <si>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</si>
  <si>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</si>
  <si>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</si>
  <si>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</si>
  <si>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</si>
  <si>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</si>
  <si>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</si>
  <si>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</si>
  <si>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</si>
  <si>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</si>
  <si>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</si>
  <si>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</si>
  <si>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</si>
  <si>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</si>
  <si>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</si>
  <si>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</si>
  <si>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</si>
  <si>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</si>
  <si>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</si>
  <si>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</si>
  <si>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</si>
  <si>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</si>
  <si>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</si>
  <si>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</si>
  <si>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</si>
  <si>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</si>
  <si>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</si>
  <si>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</si>
  <si>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</si>
  <si>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</si>
  <si>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</si>
  <si>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</si>
  <si>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</si>
  <si>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</si>
  <si>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</si>
  <si>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</si>
  <si>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</si>
  <si>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</si>
  <si>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</si>
  <si>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</si>
  <si>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</si>
  <si>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</si>
  <si>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</si>
  <si>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</si>
  <si>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</si>
  <si>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</si>
  <si>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</si>
  <si>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</si>
  <si>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</si>
  <si>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</si>
  <si>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</si>
  <si>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</si>
  <si>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</si>
  <si>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</si>
  <si>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</si>
  <si>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</si>
  <si>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</si>
  <si>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</si>
  <si>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</si>
  <si>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</si>
  <si>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</si>
  <si>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</si>
  <si>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</si>
  <si>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</si>
  <si>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</si>
  <si>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</si>
  <si>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</si>
  <si>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</si>
  <si>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</si>
  <si>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</si>
  <si>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</si>
  <si>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</si>
  <si>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</si>
  <si>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</si>
  <si>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</si>
  <si>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</si>
  <si>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</si>
  <si>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</si>
  <si>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</si>
  <si>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</si>
  <si>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</si>
  <si>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</si>
  <si>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</si>
  <si>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</si>
  <si>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</si>
  <si>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</si>
  <si>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</si>
  <si>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</si>
  <si>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</si>
  <si>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</si>
  <si>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</si>
  <si>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</si>
  <si>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</si>
  <si>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</si>
  <si>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</si>
  <si>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</si>
  <si>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</si>
  <si>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</si>
  <si>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</si>
  <si>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</si>
  <si>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</si>
  <si>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</si>
  <si>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</si>
  <si>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</si>
  <si>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</si>
  <si>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</si>
  <si>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</si>
  <si>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</si>
  <si>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</si>
  <si>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</si>
  <si>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</si>
  <si>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</si>
  <si>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</si>
  <si>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</si>
  <si>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</si>
  <si>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</si>
  <si>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</si>
  <si>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</si>
  <si>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</si>
  <si>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</si>
  <si>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</si>
  <si>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</si>
  <si>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</si>
  <si>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</si>
  <si>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</si>
  <si>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</si>
  <si>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</si>
  <si>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</si>
  <si>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</si>
  <si>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</si>
  <si>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</si>
  <si>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</si>
  <si>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</si>
  <si>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</si>
  <si>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</si>
  <si>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</si>
  <si>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</si>
  <si>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</si>
  <si>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</si>
  <si>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</si>
  <si>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</si>
  <si>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</si>
  <si>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</si>
  <si>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</si>
  <si>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</si>
  <si>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</si>
  <si>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</si>
  <si>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</si>
  <si>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</si>
  <si>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</si>
  <si>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</si>
  <si>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</si>
  <si>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</si>
  <si>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</si>
  <si>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</si>
  <si>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</si>
  <si>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</si>
  <si>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</si>
  <si>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</si>
  <si>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</si>
  <si>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</si>
  <si>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</si>
  <si>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</si>
  <si>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</si>
  <si>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</si>
  <si>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</si>
  <si>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</si>
  <si>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</si>
  <si>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</si>
  <si>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</si>
  <si>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</si>
  <si>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</si>
  <si>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</si>
  <si>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</si>
  <si>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</si>
  <si>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</si>
  <si>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</si>
  <si>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</si>
  <si>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</si>
  <si>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</si>
  <si>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</si>
  <si>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</si>
  <si>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</si>
  <si>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</si>
  <si>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</si>
  <si>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</si>
  <si>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</si>
  <si>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</si>
  <si>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</si>
  <si>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</si>
  <si>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</si>
  <si>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</si>
  <si>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</si>
  <si>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</si>
  <si>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</si>
  <si>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</si>
  <si>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</si>
  <si>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</si>
  <si>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</si>
  <si>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</si>
  <si>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</si>
  <si>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</si>
  <si>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</si>
  <si>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</si>
  <si>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</si>
  <si>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</si>
  <si>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</si>
  <si>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</si>
  <si>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</si>
  <si>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</si>
  <si>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</si>
  <si>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</si>
  <si>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</si>
  <si>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</si>
  <si>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</si>
  <si>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</si>
  <si>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</si>
  <si>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</si>
  <si>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</si>
  <si>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</si>
  <si>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</si>
  <si>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</si>
  <si>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</si>
  <si>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</si>
  <si>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</si>
  <si>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</si>
  <si>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</si>
  <si>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</si>
  <si>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</si>
  <si>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</si>
  <si>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</si>
  <si>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</si>
  <si>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</si>
  <si>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</si>
  <si>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</si>
  <si>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</si>
  <si>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</si>
  <si>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</si>
  <si>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</si>
  <si>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</si>
  <si>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</si>
  <si>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</si>
  <si>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</si>
  <si>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</si>
  <si>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</si>
  <si>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</si>
  <si>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</si>
  <si>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</si>
  <si>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</si>
  <si>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</si>
  <si>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</si>
  <si>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</si>
  <si>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</si>
  <si>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</si>
  <si>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</si>
  <si>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</si>
  <si>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</si>
  <si>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</si>
  <si>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</si>
  <si>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</si>
  <si>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</si>
  <si>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</si>
  <si>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</si>
  <si>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</si>
  <si>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</si>
  <si>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</si>
  <si>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</si>
  <si>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</si>
  <si>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</si>
  <si>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</si>
  <si>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</si>
  <si>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</si>
  <si>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</si>
  <si>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</si>
  <si>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</si>
  <si>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</si>
  <si>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</si>
  <si>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</si>
  <si>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</si>
  <si>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</si>
  <si>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</si>
  <si>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</si>
  <si>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</si>
  <si>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</si>
  <si>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</si>
  <si>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</si>
  <si>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</si>
  <si>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</si>
  <si>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</si>
  <si>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</si>
  <si>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</si>
  <si>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</si>
  <si>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</si>
  <si>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</si>
  <si>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</si>
  <si>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</si>
  <si>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</si>
  <si>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</si>
  <si>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</si>
  <si>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</si>
  <si>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</si>
  <si>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</si>
  <si>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</si>
  <si>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</si>
  <si>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</si>
  <si>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</si>
  <si>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</si>
  <si>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</si>
  <si>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</si>
  <si>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</si>
  <si>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</si>
  <si>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</si>
  <si>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</si>
  <si>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</si>
  <si>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</si>
  <si>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</si>
  <si>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</si>
  <si>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</si>
  <si>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</si>
  <si>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</si>
  <si>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</si>
  <si>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</si>
  <si>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</si>
  <si>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</si>
  <si>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</si>
  <si>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</si>
  <si>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</si>
  <si>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</si>
  <si>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</si>
  <si>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</si>
  <si>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</si>
  <si>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</si>
  <si>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</si>
  <si>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</si>
  <si>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</si>
  <si>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</si>
  <si>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</si>
  <si>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</si>
  <si>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</si>
  <si>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</si>
  <si>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</si>
  <si>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</si>
  <si>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</si>
  <si>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</si>
  <si>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</si>
  <si>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</si>
  <si>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</si>
  <si>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</si>
  <si>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</si>
  <si>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</si>
  <si>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</si>
  <si>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</si>
  <si>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</si>
  <si>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</si>
  <si>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</si>
  <si>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</si>
  <si>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</si>
  <si>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</si>
  <si>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</si>
  <si>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</si>
  <si>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</si>
  <si>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</si>
  <si>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</si>
  <si>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</si>
  <si>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</si>
  <si>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</si>
  <si>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</si>
  <si>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</si>
  <si>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</si>
  <si>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</si>
  <si>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</si>
  <si>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</si>
  <si>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</si>
  <si>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</si>
  <si>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</si>
  <si>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</si>
  <si>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</si>
  <si>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</si>
  <si>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</si>
  <si>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</si>
  <si>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</si>
  <si>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</si>
  <si>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</si>
  <si>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</si>
  <si>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</si>
  <si>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</si>
  <si>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</si>
  <si>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</si>
  <si>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</si>
  <si>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</si>
  <si>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</si>
  <si>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</si>
  <si>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</si>
  <si>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</si>
  <si>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</si>
  <si>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</si>
  <si>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</si>
  <si>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</si>
  <si>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</si>
  <si>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</si>
  <si>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</si>
  <si>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</si>
  <si>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</si>
  <si>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</si>
  <si>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</si>
  <si>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</si>
  <si>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</si>
  <si>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</si>
  <si>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</si>
  <si>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</si>
  <si>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</si>
  <si>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</si>
  <si>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</si>
  <si>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</si>
  <si>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</si>
  <si>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</si>
  <si>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</si>
  <si>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</si>
  <si>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</si>
  <si>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</si>
  <si>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</si>
  <si>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</si>
  <si>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</si>
  <si>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</si>
  <si>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</si>
  <si>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</si>
  <si>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</si>
  <si>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</si>
  <si>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</si>
  <si>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</si>
  <si>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</si>
  <si>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</si>
  <si>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</si>
  <si>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</si>
  <si>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</si>
  <si>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</si>
  <si>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</si>
  <si>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</si>
  <si>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</si>
  <si>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</si>
  <si>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</si>
  <si>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</si>
  <si>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</si>
  <si>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</si>
  <si>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</si>
  <si>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</si>
  <si>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</si>
  <si>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</si>
  <si>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</si>
  <si>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</si>
  <si>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</si>
  <si>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</si>
  <si>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</si>
  <si>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</si>
  <si>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</si>
  <si>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</si>
  <si>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</si>
  <si>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</si>
  <si>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</si>
  <si>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</si>
  <si>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</si>
  <si>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</si>
  <si>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</si>
  <si>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</si>
  <si>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</si>
  <si>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</si>
  <si>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</si>
  <si>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</si>
  <si>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</si>
  <si>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</si>
  <si>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</si>
  <si>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</si>
  <si>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</si>
  <si>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</si>
  <si>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</si>
  <si>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</si>
  <si>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</si>
  <si>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</si>
  <si>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</si>
  <si>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</si>
  <si>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</si>
  <si>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</si>
  <si>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</si>
  <si>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</si>
  <si>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</si>
  <si>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</si>
  <si>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</si>
  <si>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</si>
  <si>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</si>
  <si>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</si>
  <si>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</si>
  <si>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</si>
  <si>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</si>
  <si>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</si>
  <si>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</si>
  <si>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</si>
  <si>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</si>
  <si>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</si>
  <si>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</si>
  <si>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</si>
  <si>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</si>
  <si>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</si>
  <si>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</si>
  <si>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</si>
  <si>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</si>
  <si>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</si>
  <si>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</si>
  <si>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</si>
  <si>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</si>
  <si>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</si>
  <si>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</si>
  <si>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</si>
  <si>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</si>
  <si>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</si>
  <si>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</si>
  <si>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</si>
  <si>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</si>
  <si>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</si>
  <si>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</si>
  <si>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</si>
  <si>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</si>
  <si>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</si>
  <si>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</si>
  <si>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</si>
  <si>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</si>
  <si>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</si>
  <si>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</si>
  <si>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</si>
  <si>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</si>
  <si>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</si>
  <si>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</si>
  <si>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</si>
  <si>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</si>
  <si>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</si>
  <si>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</si>
  <si>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</si>
  <si>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</si>
  <si>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</si>
  <si>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</si>
  <si>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</si>
  <si>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</si>
  <si>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</si>
  <si>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</si>
  <si>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</si>
  <si>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</si>
  <si>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</si>
  <si>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</si>
  <si>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</si>
  <si>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</si>
  <si>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</si>
  <si>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</si>
  <si>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</si>
  <si>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</si>
  <si>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</si>
  <si>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</si>
  <si>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</si>
  <si>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</si>
  <si>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</si>
  <si>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</si>
  <si>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</si>
  <si>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</si>
  <si>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</si>
  <si>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</si>
  <si>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</si>
  <si>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</si>
  <si>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</si>
  <si>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</si>
  <si>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</si>
  <si>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</si>
  <si>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</si>
  <si>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</si>
  <si>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</si>
  <si>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</si>
  <si>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</si>
  <si>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</si>
  <si>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</si>
  <si>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</si>
  <si>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</si>
  <si>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</si>
  <si>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</si>
  <si>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</si>
  <si>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</si>
  <si>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</si>
  <si>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</si>
  <si>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</si>
  <si>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</si>
  <si>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</si>
  <si>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</si>
  <si>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</si>
  <si>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</si>
  <si>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</si>
  <si>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</si>
  <si>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</si>
  <si>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</si>
  <si>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</si>
  <si>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</si>
  <si>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</si>
  <si>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</si>
  <si>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</si>
  <si>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</si>
  <si>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</si>
  <si>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</si>
  <si>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</si>
  <si>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</si>
  <si>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</si>
  <si>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</si>
  <si>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</si>
  <si>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</si>
  <si>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</si>
  <si>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</si>
  <si>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</si>
  <si>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</si>
  <si>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</si>
  <si>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</si>
  <si>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</si>
  <si>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</si>
  <si>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</si>
  <si>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</si>
  <si>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</si>
  <si>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</si>
  <si>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</si>
  <si>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</si>
  <si>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</si>
  <si>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</si>
  <si>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</si>
  <si>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</si>
  <si>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</si>
  <si>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</si>
  <si>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</si>
  <si>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</si>
  <si>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</si>
  <si>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</si>
  <si>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</si>
  <si>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</si>
  <si>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</si>
  <si>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</si>
  <si>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</si>
  <si>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</si>
  <si>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</si>
  <si>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</si>
  <si>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</si>
  <si>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</si>
  <si>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</si>
  <si>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</si>
  <si>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</si>
  <si>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</si>
  <si>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</si>
  <si>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</si>
  <si>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</si>
  <si>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</si>
  <si>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</si>
  <si>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</si>
  <si>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</si>
  <si>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</si>
  <si>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</si>
  <si>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</si>
  <si>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</si>
  <si>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</si>
  <si>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</si>
  <si>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</si>
  <si>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</si>
  <si>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</si>
  <si>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</si>
  <si>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</si>
  <si>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</si>
  <si>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</si>
  <si>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</si>
  <si>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</si>
  <si>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</si>
  <si>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</si>
  <si>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</si>
  <si>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</si>
  <si>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</si>
  <si>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</si>
  <si>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</si>
  <si>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</si>
  <si>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</si>
  <si>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</si>
  <si>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</si>
  <si>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</si>
  <si>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</si>
  <si>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</si>
  <si>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</si>
  <si>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</si>
  <si>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</si>
  <si>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</si>
  <si>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</si>
  <si>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</si>
  <si>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</si>
  <si>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</si>
  <si>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</si>
  <si>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</si>
  <si>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</si>
  <si>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</si>
  <si>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</si>
  <si>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</si>
  <si>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</si>
  <si>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</si>
  <si>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</si>
  <si>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</si>
  <si>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</si>
  <si>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</si>
  <si>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</si>
  <si>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</si>
  <si>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</si>
  <si>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</si>
  <si>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</si>
  <si>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</si>
  <si>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</si>
  <si>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</si>
  <si>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</si>
  <si>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</si>
  <si>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</si>
  <si>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</si>
  <si>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</si>
  <si>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</si>
  <si>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</si>
  <si>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</si>
  <si>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</si>
  <si>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</si>
  <si>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</si>
  <si>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</si>
  <si>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</si>
  <si>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</si>
  <si>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</si>
  <si>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</si>
  <si>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</si>
  <si>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</si>
  <si>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</si>
  <si>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</si>
  <si>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</si>
  <si>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</si>
  <si>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</si>
  <si>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</si>
  <si>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</si>
  <si>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</si>
  <si>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</si>
  <si>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</si>
  <si>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</si>
  <si>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</si>
  <si>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</si>
  <si>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</si>
  <si>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</si>
  <si>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</si>
  <si>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</si>
  <si>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</si>
  <si>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</si>
  <si>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</si>
  <si>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</si>
  <si>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</si>
  <si>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</si>
  <si>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</si>
  <si>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</si>
  <si>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</si>
  <si>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</si>
  <si>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</si>
  <si>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</si>
  <si>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</si>
  <si>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</si>
  <si>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</si>
  <si>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</si>
  <si>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</si>
  <si>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</si>
  <si>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</si>
  <si>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</si>
  <si>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</si>
  <si>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</si>
  <si>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</si>
  <si>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</si>
  <si>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</si>
  <si>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</si>
  <si>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</si>
  <si>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</si>
  <si>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</si>
  <si>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</si>
  <si>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</si>
  <si>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</si>
  <si>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</si>
  <si>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</si>
  <si>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</si>
  <si>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</si>
  <si>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</si>
  <si>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</si>
  <si>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</si>
  <si>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</si>
  <si>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</si>
  <si>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</si>
  <si>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</si>
  <si>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</si>
  <si>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</si>
  <si>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</si>
  <si>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</si>
  <si>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</si>
  <si>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</si>
  <si>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</si>
  <si>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</si>
  <si>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</si>
  <si>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</si>
  <si>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</si>
  <si>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</si>
  <si>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</si>
  <si>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</si>
  <si>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</si>
  <si>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</si>
  <si>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</si>
  <si>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</si>
  <si>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</si>
  <si>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</si>
  <si>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</si>
  <si>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</si>
  <si>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</si>
  <si>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</si>
  <si>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</si>
  <si>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</si>
  <si>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</si>
  <si>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</si>
  <si>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</si>
  <si>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</si>
  <si>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</si>
  <si>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</si>
  <si>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</si>
  <si>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</si>
  <si>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</si>
  <si>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</si>
  <si>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</si>
  <si>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</si>
  <si>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</si>
  <si>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</si>
  <si>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</si>
  <si>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</si>
  <si>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</si>
  <si>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</si>
  <si>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</si>
  <si>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</si>
  <si>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</si>
  <si>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</si>
  <si>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</si>
  <si>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</si>
  <si>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</si>
  <si>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</si>
  <si>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</si>
  <si>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</si>
  <si>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</si>
  <si>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</si>
  <si>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</si>
  <si>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</si>
  <si>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</si>
  <si>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</si>
  <si>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</si>
  <si>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</si>
  <si>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</si>
  <si>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</si>
  <si>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</si>
  <si>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</si>
  <si>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</si>
  <si>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</si>
  <si>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</si>
  <si>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</si>
  <si>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</si>
  <si>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</si>
  <si>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</si>
  <si>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</si>
  <si>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</si>
  <si>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</si>
  <si>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</si>
  <si>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</si>
  <si>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</si>
  <si>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</si>
  <si>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</si>
  <si>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</si>
  <si>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</si>
  <si>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</si>
  <si>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</si>
  <si>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</si>
  <si>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</si>
  <si>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</si>
  <si>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</si>
  <si>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</si>
  <si>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</si>
  <si>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</si>
  <si>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</si>
  <si>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</si>
  <si>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</si>
  <si>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</si>
  <si>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</si>
  <si>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</si>
  <si>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</si>
  <si>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</si>
  <si>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</si>
  <si>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</si>
  <si>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</si>
  <si>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</si>
  <si>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</si>
  <si>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</si>
  <si>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</si>
  <si>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</si>
  <si>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</si>
  <si>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</si>
  <si>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</si>
  <si>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</si>
  <si>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</si>
  <si>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</si>
  <si>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</si>
  <si>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</si>
  <si>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</si>
  <si>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</si>
  <si>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</si>
  <si>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</si>
  <si>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</si>
  <si>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</si>
  <si>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</si>
  <si>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</si>
  <si>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</si>
  <si>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</si>
  <si>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</si>
  <si>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</si>
  <si>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</si>
  <si>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</si>
  <si>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</si>
  <si>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</si>
  <si>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</si>
  <si>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</si>
  <si>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</si>
  <si>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</si>
  <si>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</si>
  <si>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</si>
  <si>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</si>
  <si>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</si>
  <si>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</si>
  <si>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</si>
  <si>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</si>
  <si>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</si>
  <si>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</si>
  <si>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</si>
  <si>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</si>
  <si>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</si>
  <si>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</si>
  <si>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</si>
  <si>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</si>
  <si>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</si>
  <si>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</si>
  <si>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</si>
  <si>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</si>
  <si>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</si>
  <si>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</si>
  <si>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</si>
  <si>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</si>
  <si>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</si>
  <si>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</si>
  <si>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</si>
  <si>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</si>
  <si>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</si>
  <si>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</si>
  <si>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</si>
  <si>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</si>
  <si>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</si>
  <si>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</si>
  <si>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</si>
  <si>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</si>
  <si>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</si>
  <si>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</si>
  <si>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</si>
  <si>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</si>
  <si>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</si>
  <si>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</si>
  <si>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</si>
  <si>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</si>
  <si>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</si>
  <si>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</si>
  <si>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</si>
  <si>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</si>
  <si>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</si>
  <si>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</si>
  <si>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</si>
  <si>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</si>
  <si>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</si>
  <si>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</si>
  <si>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</si>
  <si>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</si>
  <si>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</si>
  <si>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</si>
  <si>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</si>
  <si>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</si>
  <si>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</si>
  <si>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</si>
  <si>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</si>
  <si>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</si>
  <si>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</si>
  <si>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</si>
  <si>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</si>
  <si>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</si>
  <si>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</si>
  <si>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</si>
  <si>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</si>
  <si>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</si>
  <si>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</si>
  <si>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</si>
  <si>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</si>
  <si>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</si>
  <si>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</si>
  <si>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</si>
  <si>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</si>
  <si>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</si>
  <si>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</si>
  <si>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</si>
  <si>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</si>
  <si>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</si>
  <si>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</si>
  <si>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</si>
  <si>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</si>
  <si>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</si>
  <si>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</si>
  <si>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</si>
  <si>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</si>
  <si>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</si>
  <si>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</si>
  <si>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</si>
  <si>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</si>
  <si>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</si>
  <si>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</si>
  <si>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</si>
  <si>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</si>
  <si>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</si>
  <si>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</si>
  <si>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</si>
  <si>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</si>
  <si>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</si>
  <si>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</si>
  <si>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</si>
  <si>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</si>
  <si>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</si>
  <si>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</si>
  <si>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</si>
  <si>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</si>
  <si>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</si>
  <si>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</si>
  <si>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</si>
  <si>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</si>
  <si>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</si>
  <si>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</si>
  <si>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</si>
  <si>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</si>
  <si>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</si>
  <si>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</si>
  <si>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</si>
  <si>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</si>
  <si>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</si>
  <si>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</si>
  <si>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</si>
  <si>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</si>
  <si>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</si>
  <si>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</si>
  <si>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</si>
  <si>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</si>
  <si>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</si>
  <si>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</si>
  <si>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</si>
  <si>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</si>
  <si>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</si>
  <si>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</si>
  <si>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</si>
  <si>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</si>
  <si>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</si>
  <si>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</si>
  <si>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</si>
  <si>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</si>
  <si>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</si>
  <si>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</si>
  <si>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</si>
  <si>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</si>
  <si>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</si>
  <si>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</si>
  <si>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</si>
  <si>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</si>
  <si>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</si>
  <si>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</si>
  <si>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</si>
  <si>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</si>
  <si>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</si>
  <si>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</si>
  <si>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</si>
  <si>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</si>
  <si>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</si>
  <si>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</si>
  <si>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</si>
  <si>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</si>
  <si>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</si>
  <si>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</si>
  <si>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</si>
  <si>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</si>
  <si>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</si>
  <si>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</si>
  <si>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</si>
  <si>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</si>
  <si>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</si>
  <si>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</si>
  <si>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</si>
  <si>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</si>
  <si>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</si>
  <si>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</si>
  <si>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</si>
  <si>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</si>
  <si>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</si>
  <si>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</si>
  <si>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</si>
  <si>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</si>
  <si>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</si>
  <si>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</si>
  <si>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</si>
  <si>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</si>
  <si>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</si>
  <si>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</si>
  <si>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</si>
  <si>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</si>
  <si>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</si>
  <si>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</si>
  <si>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</si>
  <si>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</si>
  <si>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</si>
  <si>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</si>
  <si>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</si>
  <si>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</si>
  <si>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</si>
  <si>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</si>
  <si>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</si>
  <si>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</si>
  <si>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</si>
  <si>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</si>
  <si>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</si>
  <si>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</si>
  <si>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</si>
  <si>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</si>
  <si>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</si>
  <si>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</si>
  <si>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</si>
  <si>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</si>
  <si>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</si>
  <si>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</si>
  <si>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</si>
  <si>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</si>
  <si>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</si>
  <si>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</si>
  <si>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</si>
  <si>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</si>
  <si>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</si>
  <si>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</si>
  <si>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</si>
  <si>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</si>
  <si>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</si>
  <si>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</si>
  <si>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</si>
  <si>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</si>
  <si>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</si>
  <si>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</si>
  <si>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</si>
  <si>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</si>
  <si>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</si>
  <si>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</si>
  <si>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</si>
  <si>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</si>
  <si>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</si>
  <si>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</si>
  <si>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</si>
  <si>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</si>
  <si>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</si>
  <si>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</si>
  <si>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</si>
  <si>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</si>
  <si>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</si>
  <si>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</si>
  <si>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</si>
  <si>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</si>
  <si>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</si>
  <si>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</si>
  <si>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</si>
  <si>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</si>
  <si>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</si>
  <si>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</si>
  <si>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</si>
  <si>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</si>
  <si>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</si>
  <si>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</si>
  <si>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</si>
  <si>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</si>
  <si>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</si>
  <si>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</si>
  <si>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</si>
  <si>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</si>
  <si>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</si>
  <si>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</si>
  <si>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</si>
  <si>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</si>
  <si>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</si>
  <si>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</si>
  <si>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</si>
  <si>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</si>
  <si>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</si>
  <si>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</si>
  <si>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</si>
  <si>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</si>
  <si>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</si>
  <si>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</si>
  <si>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</si>
  <si>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</si>
  <si>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</si>
  <si>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</si>
  <si>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</si>
  <si>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</si>
  <si>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</si>
  <si>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</si>
  <si>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</si>
  <si>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</si>
  <si>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</si>
  <si>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</si>
  <si>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</si>
  <si>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</si>
  <si>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</si>
  <si>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</si>
  <si>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</si>
  <si>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</si>
  <si>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</si>
  <si>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</si>
  <si>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</si>
  <si>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</si>
  <si>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</si>
  <si>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</si>
  <si>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</si>
  <si>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</si>
  <si>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</si>
  <si>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</si>
  <si>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</si>
  <si>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</si>
  <si>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</si>
  <si>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</si>
  <si>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</si>
  <si>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</si>
  <si>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</si>
  <si>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</si>
  <si>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</si>
  <si>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</si>
  <si>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</si>
  <si>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</si>
  <si>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</si>
  <si>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</si>
  <si>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</si>
  <si>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</si>
  <si>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</si>
  <si>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</si>
  <si>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</si>
  <si>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</si>
  <si>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</si>
  <si>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</si>
  <si>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</si>
  <si>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</si>
  <si>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</si>
  <si>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</si>
  <si>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</si>
  <si>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</si>
  <si>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</si>
  <si>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</si>
  <si>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</si>
  <si>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</si>
  <si>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</si>
  <si>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</si>
  <si>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</si>
  <si>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</si>
  <si>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</si>
  <si>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</si>
  <si>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</si>
  <si>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</si>
  <si>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</si>
  <si>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</si>
  <si>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</si>
  <si>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</si>
  <si>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</si>
  <si>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</si>
  <si>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</si>
  <si>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</si>
  <si>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</si>
  <si>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</si>
  <si>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</si>
  <si>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</si>
  <si>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</si>
  <si>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</si>
  <si>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</si>
  <si>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</si>
  <si>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</si>
  <si>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</si>
  <si>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</si>
  <si>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</si>
  <si>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</si>
  <si>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</si>
  <si>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</si>
  <si>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</si>
  <si>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</si>
  <si>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</si>
  <si>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</si>
  <si>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</si>
  <si>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</si>
  <si>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</si>
  <si>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</si>
  <si>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</si>
  <si>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</si>
  <si>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</si>
  <si>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</si>
  <si>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</si>
  <si>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</si>
  <si>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</si>
  <si>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</si>
  <si>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</si>
  <si>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</si>
  <si>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</si>
  <si>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</si>
  <si>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</si>
  <si>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</si>
  <si>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</si>
  <si>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</si>
  <si>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</si>
  <si>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</si>
  <si>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</si>
  <si>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</si>
  <si>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</si>
  <si>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</si>
  <si>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</si>
  <si>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</si>
  <si>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</si>
  <si>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</si>
  <si>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</si>
  <si>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</si>
  <si>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</si>
  <si>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</si>
  <si>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</si>
  <si>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</si>
  <si>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</si>
  <si>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</si>
  <si>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</si>
  <si>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</si>
  <si>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</si>
  <si>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</si>
  <si>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</si>
  <si>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</si>
  <si>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</si>
  <si>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</si>
  <si>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</si>
  <si>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</si>
  <si>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</si>
  <si>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</si>
  <si>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</si>
  <si>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</si>
  <si>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</si>
  <si>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</si>
  <si>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</si>
  <si>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</si>
  <si>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</si>
  <si>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</si>
  <si>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</si>
  <si>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</si>
  <si>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</si>
  <si>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</si>
  <si>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</si>
  <si>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</si>
  <si>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</si>
  <si>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</si>
  <si>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</si>
  <si>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</si>
  <si>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</si>
  <si>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</si>
  <si>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</si>
  <si>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</si>
  <si>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</si>
  <si>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</si>
  <si>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</si>
  <si>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</si>
  <si>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</si>
  <si>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</si>
  <si>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</si>
  <si>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</si>
  <si>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</si>
  <si>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</si>
  <si>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</si>
  <si>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</si>
  <si>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</si>
  <si>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</si>
  <si>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</si>
  <si>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</si>
  <si>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</si>
  <si>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</si>
  <si>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</si>
  <si>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</si>
  <si>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</si>
  <si>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</si>
  <si>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</si>
  <si>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</si>
  <si>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</si>
  <si>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</si>
  <si>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</si>
  <si>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</si>
  <si>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</si>
  <si>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</si>
  <si>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</si>
  <si>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</si>
  <si>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</si>
  <si>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</si>
  <si>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</si>
  <si>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</si>
  <si>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</si>
  <si>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</si>
  <si>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</si>
  <si>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</si>
  <si>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</si>
  <si>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</si>
  <si>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</si>
  <si>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</si>
  <si>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</si>
  <si>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</si>
  <si>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</si>
  <si>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</si>
  <si>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</si>
  <si>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</si>
  <si>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</si>
  <si>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</si>
  <si>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</si>
  <si>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</si>
  <si>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</si>
  <si>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</si>
  <si>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</si>
  <si>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</si>
  <si>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</si>
  <si>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</si>
  <si>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</si>
  <si>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</si>
  <si>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</si>
  <si>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</si>
  <si>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</si>
  <si>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</si>
  <si>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</si>
  <si>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</si>
  <si>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</si>
  <si>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</si>
  <si>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</si>
  <si>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</si>
  <si>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</si>
  <si>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</si>
  <si>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</si>
  <si>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</si>
  <si>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</si>
  <si>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</si>
  <si>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</si>
  <si>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</si>
  <si>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</si>
  <si>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</si>
  <si>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</si>
  <si>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</si>
  <si>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</si>
  <si>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</si>
  <si>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</si>
  <si>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</si>
  <si>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</si>
  <si>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</si>
  <si>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</si>
  <si>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</si>
  <si>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</si>
  <si>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</si>
  <si>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</si>
  <si>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</si>
  <si>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</si>
  <si>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</si>
  <si>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</si>
  <si>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</si>
  <si>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</si>
  <si>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</si>
  <si>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</si>
  <si>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</si>
  <si>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</si>
  <si>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</si>
  <si>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</si>
  <si>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</si>
  <si>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</si>
  <si>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</si>
  <si>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</si>
  <si>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</si>
  <si>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</si>
  <si>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</si>
  <si>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</si>
  <si>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</si>
  <si>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</si>
  <si>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</si>
  <si>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</si>
  <si>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</si>
  <si>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</si>
  <si>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</si>
  <si>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</si>
  <si>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</si>
  <si>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</si>
  <si>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</si>
  <si>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</si>
  <si>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</si>
  <si>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</si>
  <si>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</si>
  <si>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</si>
  <si>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</si>
  <si>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</si>
  <si>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</si>
  <si>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</si>
  <si>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</si>
  <si>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</si>
  <si>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</si>
  <si>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</si>
  <si>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</si>
  <si>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</si>
  <si>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</si>
  <si>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</si>
  <si>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</si>
  <si>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</si>
  <si>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</si>
  <si>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</si>
  <si>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</si>
  <si>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</si>
  <si>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</si>
  <si>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</si>
  <si>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</si>
  <si>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</si>
  <si>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</si>
  <si>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</si>
  <si>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</si>
  <si>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</si>
  <si>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</si>
  <si>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</si>
  <si>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</si>
  <si>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</si>
  <si>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</si>
  <si>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</si>
  <si>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</si>
  <si>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</si>
  <si>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</si>
  <si>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</si>
  <si>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</si>
  <si>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</si>
  <si>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</si>
  <si>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</si>
  <si>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</si>
  <si>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</si>
  <si>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</si>
  <si>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</si>
  <si>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</si>
  <si>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</si>
  <si>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</si>
  <si>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</si>
  <si>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</si>
  <si>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</si>
  <si>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</si>
  <si>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</si>
  <si>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</si>
  <si>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</si>
  <si>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</si>
  <si>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</si>
  <si>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</si>
  <si>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</si>
  <si>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</si>
  <si>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</si>
  <si>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</si>
  <si>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</si>
  <si>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</si>
  <si>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</si>
  <si>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</si>
  <si>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</si>
  <si>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</si>
  <si>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</si>
  <si>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</si>
  <si>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</si>
  <si>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</si>
  <si>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</si>
  <si>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</si>
  <si>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</si>
  <si>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</si>
  <si>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</si>
  <si>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</si>
  <si>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</si>
  <si>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</si>
  <si>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</si>
  <si>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</si>
  <si>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</si>
  <si>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</si>
  <si>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</si>
  <si>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</si>
  <si>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</si>
  <si>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</si>
  <si>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</si>
  <si>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</si>
  <si>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</si>
  <si>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</si>
  <si>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</si>
  <si>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</si>
  <si>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</si>
  <si>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</si>
  <si>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</si>
  <si>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</si>
  <si>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</si>
  <si>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</si>
  <si>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</si>
  <si>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</si>
  <si>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</si>
  <si>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</si>
  <si>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</si>
  <si>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</si>
  <si>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</si>
  <si>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</si>
  <si>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</si>
  <si>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</si>
  <si>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</si>
  <si>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</si>
  <si>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</si>
  <si>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</si>
  <si>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</si>
  <si>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</si>
  <si>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</si>
  <si>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</si>
  <si>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</si>
  <si>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</si>
  <si>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</si>
  <si>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</si>
  <si>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</si>
  <si>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</si>
  <si>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</si>
  <si>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</si>
  <si>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</si>
  <si>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</si>
  <si>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</si>
  <si>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</si>
  <si>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</si>
  <si>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</si>
  <si>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</si>
  <si>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</si>
  <si>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</si>
  <si>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</si>
  <si>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</si>
  <si>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</si>
  <si>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</si>
  <si>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</si>
  <si>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</si>
  <si>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</si>
  <si>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</si>
  <si>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</si>
  <si>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</si>
  <si>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</si>
  <si>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</si>
  <si>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</si>
  <si>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</si>
  <si>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</si>
  <si>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</si>
  <si>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</si>
  <si>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</si>
  <si>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</si>
  <si>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</si>
  <si>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</si>
  <si>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</si>
  <si>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</si>
  <si>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</si>
  <si>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</si>
  <si>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</si>
  <si>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</si>
  <si>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</si>
  <si>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</si>
  <si>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</si>
  <si>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</si>
  <si>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</si>
  <si>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</si>
  <si>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</si>
  <si>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</si>
  <si>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</si>
  <si>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</si>
  <si>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</si>
  <si>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</si>
  <si>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</si>
  <si>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</si>
  <si>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</si>
  <si>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</si>
  <si>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</si>
  <si>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</si>
  <si>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</si>
  <si>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</si>
  <si>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</si>
  <si>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</si>
  <si>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</si>
  <si>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</si>
  <si>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</si>
  <si>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</si>
  <si>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</si>
  <si>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</si>
  <si>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</si>
  <si>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</si>
  <si>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</si>
  <si>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</si>
  <si>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</si>
  <si>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</si>
  <si>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</si>
  <si>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</si>
  <si>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</si>
  <si>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</si>
  <si>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</si>
  <si>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</si>
  <si>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</si>
  <si>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</si>
  <si>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</si>
  <si>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</si>
  <si>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</si>
  <si>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</si>
  <si>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</si>
  <si>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</si>
  <si>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</si>
  <si>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</si>
  <si>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</si>
  <si>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</si>
  <si>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</si>
  <si>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</si>
  <si>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</si>
  <si>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</si>
  <si>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</si>
  <si>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</si>
  <si>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</si>
  <si>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</si>
  <si>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</si>
  <si>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</si>
  <si>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</si>
  <si>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</si>
  <si>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</si>
  <si>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</si>
  <si>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</si>
  <si>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</si>
  <si>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</si>
  <si>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</si>
  <si>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</si>
  <si>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</si>
  <si>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</si>
  <si>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</si>
  <si>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</si>
  <si>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</si>
  <si>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</si>
  <si>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</si>
  <si>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</si>
  <si>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</si>
  <si>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</si>
  <si>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</si>
  <si>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</si>
  <si>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</si>
  <si>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</si>
  <si>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</si>
  <si>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</si>
  <si>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</si>
  <si>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</si>
  <si>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</si>
  <si>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</si>
  <si>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</si>
  <si>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</si>
  <si>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</si>
  <si>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</si>
  <si>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</si>
  <si>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</si>
  <si>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</si>
  <si>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</si>
  <si>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</si>
  <si>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</si>
  <si>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</si>
  <si>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</si>
  <si>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</si>
  <si>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</si>
  <si>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</si>
  <si>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</si>
  <si>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</si>
  <si>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</si>
  <si>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</si>
  <si>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</si>
  <si>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</si>
  <si>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</si>
  <si>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</si>
  <si>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</si>
  <si>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</si>
  <si>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</si>
  <si>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</si>
  <si>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</si>
  <si>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</si>
  <si>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</si>
  <si>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</si>
  <si>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</si>
  <si>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</si>
  <si>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</si>
  <si>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</si>
  <si>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</si>
  <si>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</si>
  <si>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</si>
  <si>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</si>
  <si>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</si>
  <si>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</si>
  <si>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</si>
  <si>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</si>
  <si>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</si>
  <si>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</si>
  <si>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</si>
  <si>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</si>
  <si>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</si>
  <si>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</si>
  <si>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</si>
  <si>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</si>
  <si>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</si>
  <si>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</si>
  <si>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</si>
  <si>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</si>
  <si>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</si>
  <si>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</si>
  <si>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</si>
  <si>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</si>
  <si>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</si>
  <si>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</si>
  <si>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</si>
  <si>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</si>
  <si>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</si>
  <si>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</si>
  <si>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</si>
  <si>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</si>
  <si>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</si>
  <si>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</si>
  <si>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</si>
  <si>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</si>
  <si>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</si>
  <si>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</si>
  <si>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</si>
  <si>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</si>
  <si>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</si>
  <si>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</si>
  <si>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</si>
  <si>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</si>
  <si>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</si>
  <si>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</si>
  <si>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</si>
  <si>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</si>
  <si>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</si>
  <si>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</si>
  <si>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</si>
  <si>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</si>
  <si>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</si>
  <si>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</si>
  <si>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</si>
  <si>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</si>
  <si>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</si>
  <si>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</si>
  <si>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</si>
  <si>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</si>
  <si>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</si>
  <si>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</si>
  <si>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</si>
  <si>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</si>
  <si>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</si>
  <si>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</si>
  <si>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</si>
  <si>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</si>
  <si>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</si>
  <si>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</si>
  <si>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</si>
  <si>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</si>
  <si>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</si>
  <si>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</si>
  <si>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</si>
  <si>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</si>
  <si>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</si>
  <si>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</si>
  <si>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</si>
  <si>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</si>
  <si>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</si>
  <si>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</si>
  <si>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</si>
  <si>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</si>
  <si>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</si>
  <si>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</si>
  <si>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</si>
  <si>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</si>
  <si>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</si>
  <si>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</si>
  <si>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</si>
  <si>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</si>
  <si>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</si>
  <si>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</si>
  <si>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</si>
  <si>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</si>
  <si>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</si>
  <si>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</si>
  <si>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</si>
  <si>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</si>
  <si>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</si>
  <si>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</si>
  <si>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</si>
  <si>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</si>
  <si>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</si>
  <si>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</si>
  <si>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</si>
  <si>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</si>
  <si>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</si>
  <si>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</si>
  <si>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</si>
  <si>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</si>
  <si>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</si>
  <si>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</si>
  <si>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</si>
  <si>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</si>
  <si>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</si>
  <si>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</si>
  <si>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</si>
  <si>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</si>
  <si>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</si>
  <si>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</si>
  <si>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</si>
  <si>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</si>
  <si>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</si>
  <si>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</si>
  <si>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</si>
  <si>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</si>
  <si>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</si>
  <si>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</si>
  <si>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</si>
  <si>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</si>
  <si>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</si>
  <si>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</si>
  <si>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</si>
  <si>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</si>
  <si>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</si>
  <si>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</si>
  <si>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</si>
  <si>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</si>
  <si>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</si>
  <si>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</si>
  <si>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</si>
  <si>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</si>
  <si>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</si>
  <si>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</si>
  <si>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</si>
  <si>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</si>
  <si>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</si>
  <si>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</si>
  <si>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</si>
  <si>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</si>
  <si>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</si>
  <si>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</si>
  <si>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</si>
  <si>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</si>
  <si>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</si>
  <si>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</si>
  <si>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</si>
  <si>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</si>
  <si>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</si>
  <si>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</si>
  <si>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</si>
  <si>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</si>
  <si>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</si>
  <si>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</si>
  <si>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</si>
  <si>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</si>
  <si>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</si>
  <si>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</si>
  <si>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</si>
  <si>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</si>
  <si>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</si>
  <si>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</si>
  <si>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</si>
  <si>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</si>
  <si>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</si>
  <si>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</si>
  <si>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</si>
  <si>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</si>
  <si>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</si>
  <si>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</si>
  <si>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</si>
  <si>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</si>
  <si>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</si>
  <si>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</si>
  <si>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</si>
  <si>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</si>
  <si>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</si>
  <si>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</si>
  <si>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</si>
  <si>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</si>
  <si>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</si>
  <si>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</si>
  <si>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</si>
  <si>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</si>
  <si>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</si>
  <si>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</si>
  <si>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</si>
  <si>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</si>
  <si>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</si>
  <si>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</si>
  <si>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</si>
  <si>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</si>
  <si>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</si>
  <si>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</si>
  <si>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</si>
  <si>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</si>
  <si>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</si>
  <si>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</si>
  <si>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</si>
  <si>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</si>
  <si>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</si>
  <si>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</si>
  <si>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</si>
  <si>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</si>
  <si>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</si>
  <si>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</si>
  <si>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</si>
  <si>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</si>
  <si>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</si>
  <si>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</si>
  <si>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</si>
  <si>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</si>
  <si>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</si>
  <si>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</si>
  <si>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</si>
  <si>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</si>
  <si>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</si>
  <si>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</si>
  <si>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</si>
  <si>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</si>
  <si>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</si>
  <si>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</si>
  <si>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</si>
  <si>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</si>
  <si>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</si>
  <si>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</si>
  <si>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</si>
  <si>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</si>
  <si>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</si>
  <si>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</si>
  <si>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</si>
  <si>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</si>
  <si>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</si>
  <si>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</si>
  <si>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</si>
  <si>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</si>
  <si>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</si>
  <si>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</si>
  <si>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</si>
  <si>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</si>
  <si>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</si>
  <si>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</si>
  <si>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</si>
  <si>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</si>
  <si>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</si>
  <si>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</si>
  <si>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</si>
  <si>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</si>
  <si>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</si>
  <si>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</si>
  <si>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</si>
  <si>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</si>
  <si>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</si>
  <si>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</si>
  <si>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</si>
  <si>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</si>
  <si>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</si>
  <si>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</si>
  <si>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</si>
  <si>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</si>
  <si>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</si>
  <si>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</si>
  <si>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</si>
  <si>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</si>
  <si>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</si>
  <si>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</si>
  <si>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</si>
  <si>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</si>
  <si>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</si>
  <si>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</si>
  <si>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</si>
  <si>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</si>
  <si>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</si>
  <si>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</si>
  <si>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</si>
  <si>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</si>
  <si>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</si>
  <si>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</si>
  <si>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</si>
  <si>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</si>
  <si>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</si>
  <si>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</si>
  <si>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</si>
  <si>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</si>
  <si>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</si>
  <si>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</si>
  <si>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</si>
  <si>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</si>
  <si>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</si>
  <si>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</si>
  <si>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</si>
  <si>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</si>
  <si>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</si>
  <si>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</si>
  <si>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</si>
  <si>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</si>
  <si>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</si>
  <si>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</si>
  <si>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</si>
  <si>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</si>
  <si>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</si>
  <si>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</si>
  <si>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</si>
  <si>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</si>
  <si>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</si>
  <si>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</si>
  <si>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</si>
  <si>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</si>
  <si>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</si>
  <si>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</si>
  <si>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</si>
  <si>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</si>
  <si>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</si>
  <si>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</si>
  <si>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</si>
  <si>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</si>
  <si>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</si>
  <si>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</si>
  <si>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</si>
  <si>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</si>
  <si>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</si>
  <si>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</si>
  <si>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</si>
  <si>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</si>
  <si>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</si>
  <si>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</si>
  <si>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</si>
  <si>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</si>
  <si>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</si>
  <si>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</si>
  <si>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</si>
  <si>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</si>
  <si>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</si>
  <si>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</si>
  <si>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</si>
  <si>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</si>
  <si>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</si>
  <si>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</si>
  <si>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</si>
  <si>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</si>
  <si>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</si>
  <si>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</si>
  <si>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</si>
  <si>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</si>
  <si>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</si>
  <si>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</si>
  <si>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</si>
  <si>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</si>
  <si>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</si>
  <si>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</si>
  <si>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</si>
  <si>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</si>
  <si>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</si>
  <si>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</si>
  <si>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</si>
  <si>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</si>
  <si>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</si>
  <si>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</si>
  <si>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</si>
  <si>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</si>
  <si>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</si>
  <si>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</si>
  <si>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</si>
  <si>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</si>
  <si>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</si>
  <si>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</si>
  <si>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</si>
  <si>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</si>
  <si>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</si>
  <si>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</si>
  <si>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</si>
  <si>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</si>
  <si>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</si>
  <si>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</si>
  <si>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</si>
  <si>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</si>
  <si>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</si>
  <si>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</si>
  <si>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</si>
  <si>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</si>
  <si>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</si>
  <si>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</si>
  <si>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</si>
  <si>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</si>
  <si>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</si>
  <si>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</si>
  <si>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</si>
  <si>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</si>
  <si>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</si>
  <si>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</si>
  <si>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</si>
  <si>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</si>
  <si>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</si>
  <si>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</si>
  <si>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</si>
  <si>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</si>
  <si>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</si>
  <si>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</si>
  <si>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</si>
  <si>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</si>
  <si>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</si>
  <si>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</si>
  <si>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</si>
  <si>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</si>
  <si>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</si>
  <si>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</si>
  <si>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</si>
  <si>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</si>
  <si>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</si>
  <si>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</si>
  <si>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</si>
  <si>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</si>
  <si>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</si>
  <si>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</si>
  <si>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</si>
  <si>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</si>
  <si>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</si>
  <si>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</si>
  <si>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</si>
  <si>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</si>
  <si>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</si>
  <si>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</si>
  <si>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</si>
  <si>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</si>
  <si>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</si>
  <si>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</si>
  <si>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</si>
  <si>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</si>
  <si>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</si>
  <si>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</si>
  <si>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</si>
  <si>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</si>
  <si>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</si>
  <si>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</si>
  <si>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</si>
  <si>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</si>
  <si>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</si>
  <si>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</si>
  <si>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</si>
  <si>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</si>
  <si>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</si>
  <si>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</si>
  <si>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</si>
  <si>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</si>
  <si>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</si>
  <si>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</si>
  <si>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</si>
  <si>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</si>
  <si>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</si>
  <si>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</si>
  <si>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</si>
  <si>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</si>
  <si>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</si>
  <si>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</si>
  <si>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</si>
  <si>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</si>
  <si>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</si>
  <si>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</si>
  <si>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</si>
  <si>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</si>
  <si>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</si>
  <si>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</si>
  <si>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</si>
  <si>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</si>
  <si>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</si>
  <si>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</si>
  <si>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</si>
  <si>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</si>
  <si>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</si>
  <si>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</si>
  <si>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</si>
  <si>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</si>
  <si>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</si>
  <si>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</si>
  <si>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</si>
  <si>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</si>
  <si>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</si>
  <si>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</si>
  <si>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</si>
  <si>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</si>
  <si>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</si>
  <si>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</si>
  <si>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</si>
  <si>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</si>
  <si>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</si>
  <si>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</si>
  <si>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</si>
  <si>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</si>
  <si>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</si>
  <si>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</si>
  <si>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</si>
  <si>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</si>
  <si>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</si>
  <si>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</si>
  <si>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</si>
  <si>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</si>
  <si>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</si>
  <si>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</si>
  <si>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</si>
  <si>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</si>
  <si>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</si>
  <si>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</si>
  <si>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</si>
  <si>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</si>
  <si>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</si>
  <si>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</si>
  <si>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</si>
  <si>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</si>
  <si>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</si>
  <si>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</si>
  <si>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</si>
  <si>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</si>
  <si>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</si>
  <si>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</si>
  <si>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</si>
  <si>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</si>
  <si>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</si>
  <si>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</si>
  <si>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</si>
  <si>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</si>
  <si>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</si>
  <si>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</si>
  <si>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</si>
  <si>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</si>
  <si>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</si>
  <si>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</si>
  <si>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</si>
  <si>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</si>
  <si>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</si>
  <si>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</si>
  <si>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</si>
  <si>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</si>
  <si>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</si>
  <si>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</si>
  <si>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</si>
  <si>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</si>
  <si>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</si>
  <si>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</si>
  <si>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</si>
  <si>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</si>
  <si>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</si>
  <si>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</si>
  <si>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</si>
  <si>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</si>
  <si>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</si>
  <si>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</si>
  <si>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</si>
  <si>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</si>
  <si>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</si>
  <si>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</si>
  <si>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</si>
  <si>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</si>
  <si>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</si>
  <si>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</si>
  <si>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</si>
  <si>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</si>
  <si>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</si>
  <si>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</si>
  <si>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</si>
  <si>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</si>
  <si>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</si>
  <si>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</si>
  <si>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</si>
  <si>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</si>
  <si>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</si>
  <si>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</si>
  <si>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</si>
  <si>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</si>
  <si>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</si>
  <si>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</si>
  <si>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</si>
  <si>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</si>
  <si>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</si>
  <si>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</si>
  <si>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</si>
  <si>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</si>
  <si>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</si>
  <si>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</si>
  <si>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</si>
  <si>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</si>
  <si>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</si>
  <si>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</si>
  <si>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</si>
  <si>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</si>
  <si>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</si>
  <si>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</si>
  <si>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</si>
  <si>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</si>
  <si>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</si>
  <si>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</si>
  <si>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</si>
  <si>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</si>
  <si>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</si>
  <si>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</si>
  <si>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</si>
  <si>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</si>
  <si>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</si>
  <si>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</si>
  <si>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</si>
  <si>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</si>
  <si>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</si>
  <si>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</si>
  <si>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</si>
  <si>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</si>
  <si>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</si>
  <si>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</si>
  <si>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</si>
  <si>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</si>
  <si>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</si>
  <si>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</si>
  <si>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</si>
  <si>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</si>
  <si>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</si>
  <si>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</si>
  <si>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</si>
  <si>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</si>
  <si>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</si>
  <si>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</si>
  <si>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</si>
  <si>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</si>
  <si>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</si>
  <si>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</si>
  <si>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</si>
  <si>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</si>
  <si>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</si>
  <si>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</si>
  <si>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</si>
  <si>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</si>
  <si>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</si>
  <si>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</si>
  <si>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</si>
  <si>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</si>
  <si>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</si>
  <si>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</si>
  <si>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</si>
  <si>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</si>
  <si>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</si>
  <si>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</si>
  <si>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</si>
  <si>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</si>
  <si>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</si>
  <si>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</si>
  <si>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</si>
  <si>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</si>
  <si>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</si>
  <si>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</si>
  <si>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</si>
  <si>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</si>
  <si>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</si>
  <si>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</si>
  <si>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</si>
  <si>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</si>
  <si>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</si>
  <si>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</si>
  <si>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</si>
  <si>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</si>
  <si>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</si>
  <si>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</si>
  <si>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</si>
  <si>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</si>
  <si>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</si>
  <si>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</si>
  <si>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</si>
  <si>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</si>
  <si>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</si>
  <si>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</si>
  <si>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</si>
  <si>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</si>
  <si>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</si>
  <si>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</si>
  <si>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</si>
  <si>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</si>
  <si>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</si>
  <si>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</si>
  <si>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</si>
  <si>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</si>
  <si>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</si>
  <si>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</si>
  <si>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</si>
  <si>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</si>
  <si>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</si>
  <si>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</si>
  <si>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</si>
  <si>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</si>
  <si>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</si>
  <si>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</si>
  <si>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</si>
  <si>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</si>
  <si>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</si>
  <si>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</si>
  <si>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</si>
  <si>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</si>
  <si>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</si>
  <si>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</si>
  <si>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</si>
  <si>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</si>
  <si>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</si>
  <si>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</si>
  <si>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</si>
  <si>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</si>
  <si>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</si>
  <si>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</si>
  <si>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</si>
  <si>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</si>
  <si>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</si>
  <si>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</si>
  <si>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</si>
  <si>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</si>
  <si>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</si>
  <si>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</si>
  <si>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</si>
  <si>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</si>
  <si>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</si>
  <si>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</si>
  <si>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</si>
  <si>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</si>
  <si>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</si>
  <si>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</si>
  <si>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</si>
  <si>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</si>
  <si>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</si>
  <si>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</si>
  <si>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</si>
  <si>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</si>
  <si>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</si>
  <si>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</si>
  <si>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</si>
  <si>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</si>
  <si>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</si>
  <si>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</si>
  <si>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</si>
  <si>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</si>
  <si>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</si>
  <si>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</si>
  <si>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</si>
  <si>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</si>
  <si>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</si>
  <si>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</si>
  <si>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</si>
  <si>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</si>
  <si>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</si>
  <si>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</si>
  <si>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</si>
  <si>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</si>
  <si>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</si>
  <si>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</si>
  <si>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</si>
  <si>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</si>
  <si>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</si>
  <si>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</si>
  <si>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</si>
  <si>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</si>
  <si>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</si>
  <si>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</si>
  <si>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</si>
  <si>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</si>
  <si>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</si>
  <si>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</si>
  <si>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</si>
  <si>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</si>
  <si>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</si>
  <si>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</si>
  <si>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</si>
  <si>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</si>
  <si>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</si>
  <si>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</si>
  <si>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</si>
  <si>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</si>
  <si>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</si>
  <si>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</si>
  <si>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</si>
  <si>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</si>
  <si>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</si>
  <si>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</si>
  <si>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</si>
  <si>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</si>
  <si>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</si>
  <si>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</si>
  <si>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</si>
  <si>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</si>
  <si>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</si>
  <si>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</si>
  <si>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</si>
  <si>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</si>
  <si>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</si>
  <si>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</si>
  <si>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</si>
  <si>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</si>
  <si>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</si>
  <si>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</si>
  <si>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</si>
  <si>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</si>
  <si>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</si>
  <si>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</si>
  <si>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</si>
  <si>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</si>
  <si>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</si>
  <si>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</si>
  <si>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</si>
  <si>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</si>
  <si>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</si>
  <si>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</si>
  <si>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</si>
  <si>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</si>
  <si>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</si>
  <si>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</si>
  <si>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</si>
  <si>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</si>
  <si>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</si>
  <si>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</si>
  <si>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</si>
  <si>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</si>
  <si>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</si>
  <si>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</si>
  <si>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</si>
  <si>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</si>
  <si>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</si>
  <si>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</si>
  <si>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</si>
  <si>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</si>
  <si>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</si>
  <si>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</si>
  <si>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</si>
  <si>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</si>
  <si>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</si>
  <si>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</si>
  <si>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</si>
  <si>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</si>
  <si>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</si>
  <si>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</si>
  <si>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</si>
  <si>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</si>
  <si>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</si>
  <si>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</si>
  <si>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</si>
  <si>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</si>
  <si>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</si>
  <si>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</si>
  <si>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</si>
  <si>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</si>
  <si>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</si>
  <si>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</si>
  <si>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</si>
  <si>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</si>
  <si>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</si>
  <si>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</si>
  <si>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</si>
  <si>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</si>
  <si>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</si>
  <si>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</si>
  <si>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</si>
  <si>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</si>
  <si>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</si>
  <si>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</si>
  <si>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</si>
  <si>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</si>
  <si>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</si>
  <si>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</si>
  <si>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</si>
  <si>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</si>
  <si>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</si>
  <si>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</si>
  <si>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</si>
  <si>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</si>
  <si>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</si>
  <si>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</si>
  <si>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</si>
  <si>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</si>
  <si>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</si>
  <si>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</si>
  <si>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</si>
  <si>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</si>
  <si>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</si>
  <si>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</si>
  <si>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</si>
  <si>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</si>
  <si>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</si>
  <si>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</si>
  <si>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</si>
  <si>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</si>
  <si>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</si>
  <si>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</si>
  <si>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</si>
  <si>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</si>
  <si>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</si>
  <si>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</si>
  <si>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</si>
  <si>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</si>
  <si>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</si>
  <si>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</si>
  <si>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</si>
  <si>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</si>
  <si>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</si>
  <si>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</si>
  <si>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</si>
  <si>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</si>
  <si>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</si>
  <si>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</si>
  <si>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</si>
  <si>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</si>
  <si>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</si>
  <si>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</si>
  <si>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</si>
  <si>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</si>
  <si>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</si>
  <si>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</si>
  <si>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</si>
  <si>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</si>
  <si>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</si>
  <si>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</si>
  <si>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</si>
  <si>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</si>
  <si>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</si>
  <si>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</si>
  <si>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</si>
  <si>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</si>
  <si>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</si>
  <si>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</si>
  <si>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</si>
  <si>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</si>
  <si>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</si>
  <si>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</si>
  <si>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</si>
  <si>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</si>
  <si>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</si>
  <si>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</si>
  <si>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</si>
  <si>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</si>
  <si>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</si>
  <si>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</si>
  <si>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</si>
  <si>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</si>
  <si>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</si>
  <si>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</si>
  <si>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</si>
  <si>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</si>
  <si>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</si>
  <si>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</si>
  <si>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</si>
  <si>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</si>
  <si>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</si>
  <si>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</si>
  <si>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</si>
  <si>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</si>
  <si>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</si>
  <si>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</si>
  <si>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</si>
  <si>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</si>
  <si>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</si>
  <si>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</si>
  <si>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</si>
  <si>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</si>
  <si>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</si>
  <si>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</si>
  <si>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</si>
  <si>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</si>
  <si>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</si>
  <si>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</si>
  <si>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</si>
  <si>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</si>
  <si>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</si>
  <si>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</si>
  <si>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</si>
  <si>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</si>
  <si>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</si>
  <si>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</si>
  <si>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</si>
  <si>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</si>
  <si>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</si>
  <si>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</si>
  <si>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</si>
  <si>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</si>
  <si>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</si>
  <si>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</si>
  <si>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</si>
  <si>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</si>
  <si>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</si>
  <si>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</si>
  <si>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</si>
  <si>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</si>
  <si>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</si>
  <si>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</si>
  <si>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</si>
  <si>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</si>
  <si>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</si>
  <si>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</si>
  <si>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</si>
  <si>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</si>
  <si>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</si>
  <si>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</si>
  <si>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</si>
  <si>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</si>
  <si>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</si>
  <si>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</si>
  <si>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</si>
  <si>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</si>
  <si>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</si>
  <si>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</si>
  <si>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</si>
  <si>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</si>
  <si>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</si>
  <si>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</si>
  <si>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</si>
  <si>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</si>
  <si>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</si>
  <si>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</si>
  <si>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</si>
  <si>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</si>
  <si>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</si>
  <si>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</si>
  <si>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</si>
  <si>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</si>
  <si>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</si>
  <si>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</si>
  <si>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</si>
  <si>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</si>
  <si>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</si>
  <si>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</si>
  <si>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</si>
  <si>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</si>
  <si>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</si>
  <si>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</si>
  <si>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</si>
  <si>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</si>
  <si>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</si>
  <si>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</si>
  <si>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</si>
  <si>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</si>
  <si>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</si>
  <si>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</si>
  <si>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</si>
  <si>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</si>
  <si>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</si>
  <si>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</si>
  <si>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</si>
  <si>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</si>
  <si>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</si>
  <si>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</si>
  <si>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</si>
  <si>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</si>
  <si>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</si>
  <si>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</si>
  <si>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</si>
  <si>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</si>
  <si>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</si>
  <si>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</si>
  <si>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</si>
  <si>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</si>
  <si>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</si>
  <si>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</si>
  <si>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</si>
  <si>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</si>
  <si>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</si>
  <si>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</si>
  <si>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</si>
  <si>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</si>
  <si>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</si>
  <si>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</si>
  <si>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</si>
  <si>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</si>
  <si>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</si>
  <si>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</si>
  <si>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</si>
  <si>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</si>
  <si>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</si>
  <si>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</si>
  <si>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</si>
  <si>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</si>
  <si>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</si>
  <si>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</si>
  <si>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</si>
  <si>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</si>
  <si>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</si>
  <si>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</si>
  <si>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</si>
  <si>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</si>
  <si>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</si>
  <si>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</si>
  <si>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</si>
  <si>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</si>
  <si>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</si>
  <si>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</si>
  <si>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</si>
  <si>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</si>
  <si>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</si>
  <si>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</si>
  <si>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</si>
  <si>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</si>
  <si>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</si>
  <si>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</si>
  <si>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</si>
  <si>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</si>
  <si>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</si>
  <si>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</si>
  <si>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</si>
  <si>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</si>
  <si>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</si>
  <si>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</si>
  <si>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</si>
  <si>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</si>
  <si>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</si>
  <si>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</si>
  <si>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</si>
  <si>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</si>
  <si>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</si>
  <si>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</si>
  <si>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</si>
  <si>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</si>
  <si>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</si>
  <si>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</si>
  <si>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</si>
  <si>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</si>
  <si>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</si>
  <si>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</si>
  <si>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</si>
  <si>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</si>
  <si>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</si>
  <si>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</si>
  <si>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</si>
  <si>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</si>
  <si>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</si>
  <si>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</si>
  <si>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</si>
  <si>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</si>
  <si>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</si>
  <si>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</si>
  <si>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</si>
  <si>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</si>
  <si>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</si>
  <si>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</si>
  <si>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</si>
  <si>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</si>
  <si>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</si>
  <si>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</si>
  <si>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</si>
  <si>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</si>
  <si>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</si>
  <si>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</si>
  <si>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</si>
  <si>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</si>
  <si>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</si>
  <si>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</si>
  <si>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</si>
  <si>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</si>
  <si>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</si>
  <si>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</si>
  <si>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</si>
  <si>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</si>
  <si>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</si>
  <si>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</si>
  <si>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</si>
  <si>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</si>
  <si>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</si>
  <si>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</si>
  <si>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</si>
  <si>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</si>
  <si>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</si>
  <si>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</si>
  <si>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</si>
  <si>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</si>
  <si>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</si>
  <si>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</si>
  <si>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</si>
  <si>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</si>
  <si>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</si>
  <si>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</si>
  <si>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</si>
  <si>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</si>
  <si>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</si>
  <si>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</si>
  <si>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</si>
  <si>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</si>
  <si>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</si>
  <si>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</si>
  <si>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</si>
  <si>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</si>
  <si>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</si>
  <si>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</si>
  <si>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</si>
  <si>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</si>
  <si>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</si>
  <si>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</si>
  <si>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</si>
  <si>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</si>
  <si>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</si>
  <si>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</si>
  <si>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</si>
  <si>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</si>
  <si>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</si>
  <si>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</si>
  <si>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</si>
  <si>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</si>
  <si>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</si>
  <si>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</si>
  <si>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</si>
  <si>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</si>
  <si>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</si>
  <si>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</si>
  <si>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</si>
  <si>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</si>
  <si>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</si>
  <si>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</si>
  <si>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</si>
  <si>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</si>
  <si>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</si>
  <si>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</si>
  <si>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</si>
  <si>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</si>
  <si>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</si>
  <si>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</si>
  <si>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</si>
  <si>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</si>
  <si>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</si>
  <si>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</si>
  <si>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</si>
  <si>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</si>
  <si>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</si>
  <si>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</si>
  <si>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</si>
  <si>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</si>
  <si>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</si>
  <si>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</si>
  <si>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</si>
  <si>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</si>
  <si>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</si>
  <si>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</si>
  <si>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</si>
  <si>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</si>
  <si>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</si>
  <si>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</si>
  <si>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</si>
  <si>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</si>
  <si>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</si>
  <si>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</si>
  <si>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</si>
  <si>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</si>
  <si>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</si>
  <si>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</si>
  <si>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</si>
  <si>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</si>
  <si>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</si>
  <si>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</si>
  <si>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</si>
  <si>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</si>
  <si>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</si>
  <si>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</si>
  <si>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</si>
  <si>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</si>
  <si>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</si>
  <si>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</si>
  <si>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</si>
  <si>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</si>
  <si>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</si>
  <si>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</si>
  <si>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</si>
  <si>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</si>
  <si>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</si>
  <si>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</si>
  <si>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</si>
  <si>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</si>
  <si>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</si>
  <si>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</si>
  <si>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</si>
  <si>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</si>
  <si>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</si>
  <si>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</si>
  <si>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</si>
  <si>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</si>
  <si>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</si>
  <si>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</si>
  <si>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</si>
  <si>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</si>
  <si>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</si>
  <si>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</si>
  <si>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</si>
  <si>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</si>
  <si>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</si>
  <si>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</si>
  <si>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</si>
  <si>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</si>
  <si>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</si>
  <si>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</si>
  <si>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</si>
  <si>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</si>
  <si>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</si>
  <si>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</si>
  <si>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</si>
  <si>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</si>
  <si>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</si>
  <si>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</si>
  <si>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</si>
  <si>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</si>
  <si>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</si>
  <si>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</si>
  <si>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</si>
  <si>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</si>
  <si>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</si>
  <si>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</si>
  <si>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</si>
  <si>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</si>
  <si>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</si>
  <si>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</si>
  <si>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</si>
  <si>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</si>
  <si>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</si>
  <si>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</si>
  <si>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</si>
  <si>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</si>
  <si>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</si>
  <si>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</si>
  <si>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</si>
  <si>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</si>
  <si>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</si>
  <si>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</si>
  <si>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</si>
  <si>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</si>
  <si>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</si>
  <si>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</si>
  <si>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</si>
  <si>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</si>
  <si>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</si>
  <si>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</si>
  <si>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</si>
  <si>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</si>
  <si>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</si>
  <si>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</si>
  <si>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</si>
  <si>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</si>
  <si>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</si>
  <si>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</si>
  <si>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</si>
  <si>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</si>
  <si>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</si>
  <si>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</si>
  <si>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</si>
  <si>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</si>
  <si>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</si>
  <si>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</si>
  <si>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</si>
  <si>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</si>
  <si>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</si>
  <si>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</si>
  <si>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</si>
  <si>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</si>
  <si>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</si>
  <si>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</si>
  <si>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</si>
  <si>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</si>
  <si>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</si>
  <si>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</si>
  <si>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</si>
  <si>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</si>
  <si>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</si>
  <si>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</si>
  <si>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</si>
  <si>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</si>
  <si>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</si>
  <si>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</si>
  <si>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</si>
  <si>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</si>
  <si>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</si>
  <si>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</si>
  <si>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</si>
  <si>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</si>
  <si>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</si>
  <si>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</si>
  <si>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</si>
  <si>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</si>
  <si>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</si>
  <si>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</si>
  <si>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</si>
  <si>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</si>
  <si>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</si>
  <si>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</si>
  <si>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</si>
  <si>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</si>
  <si>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</si>
  <si>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</si>
  <si>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</si>
  <si>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</si>
  <si>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</si>
  <si>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</si>
  <si>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</si>
  <si>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</si>
  <si>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</si>
  <si>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</si>
  <si>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</si>
  <si>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</si>
  <si>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</si>
  <si>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</si>
  <si>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</si>
  <si>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</si>
  <si>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</si>
  <si>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</si>
  <si>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</si>
  <si>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</si>
  <si>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</si>
  <si>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</si>
  <si>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</si>
  <si>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</si>
  <si>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</si>
  <si>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</si>
  <si>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</si>
  <si>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</si>
  <si>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</si>
  <si>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</si>
  <si>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</si>
  <si>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</si>
  <si>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</si>
  <si>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</si>
  <si>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</si>
  <si>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</si>
  <si>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</si>
  <si>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</si>
  <si>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</si>
  <si>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</si>
  <si>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</si>
  <si>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</si>
  <si>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</si>
  <si>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</si>
  <si>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</si>
  <si>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</si>
  <si>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</si>
  <si>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</si>
  <si>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</si>
  <si>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</si>
  <si>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</si>
  <si>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</si>
  <si>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</si>
  <si>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</si>
  <si>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</si>
  <si>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</si>
  <si>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</si>
  <si>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</si>
  <si>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</si>
  <si>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</si>
  <si>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</si>
  <si>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</si>
  <si>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</si>
  <si>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</si>
  <si>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</si>
  <si>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</si>
  <si>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</si>
  <si>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</si>
  <si>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</si>
  <si>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</si>
  <si>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</si>
  <si>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</si>
  <si>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</si>
  <si>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</si>
  <si>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</si>
  <si>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</si>
  <si>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</si>
  <si>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</si>
  <si>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</si>
  <si>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</si>
  <si>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</si>
  <si>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</si>
  <si>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</si>
  <si>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</si>
  <si>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</si>
  <si>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</si>
  <si>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</si>
  <si>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</si>
  <si>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</si>
  <si>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</si>
  <si>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</si>
  <si>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</si>
  <si>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</si>
  <si>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</si>
  <si>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</si>
  <si>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</si>
  <si>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</si>
  <si>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</si>
  <si>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</si>
  <si>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</si>
  <si>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</si>
  <si>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</si>
  <si>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</si>
  <si>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</si>
  <si>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</si>
  <si>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</si>
  <si>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</si>
  <si>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</si>
  <si>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</si>
  <si>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</si>
  <si>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</si>
  <si>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</si>
  <si>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</si>
  <si>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</si>
  <si>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</si>
  <si>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</si>
  <si>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</si>
  <si>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</si>
  <si>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</si>
  <si>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</si>
  <si>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</si>
  <si>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</si>
  <si>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</si>
  <si>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</si>
  <si>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</si>
  <si>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</si>
  <si>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</si>
  <si>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</si>
  <si>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</si>
  <si>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</si>
  <si>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</si>
  <si>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</si>
  <si>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</si>
  <si>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</si>
  <si>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</si>
  <si>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</si>
  <si>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</si>
  <si>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</si>
  <si>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</si>
  <si>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</si>
  <si>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</si>
  <si>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</si>
  <si>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</si>
  <si>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</si>
  <si>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</si>
  <si>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</si>
  <si>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</si>
  <si>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</si>
  <si>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</si>
  <si>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</si>
  <si>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</si>
  <si>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</si>
  <si>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</si>
  <si>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</si>
  <si>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</si>
  <si>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</si>
  <si>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</si>
  <si>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</si>
  <si>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</si>
  <si>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</si>
  <si>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</si>
  <si>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</si>
  <si>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</si>
  <si>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</si>
  <si>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</si>
  <si>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</si>
  <si>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</si>
  <si>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</si>
  <si>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</si>
  <si>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</si>
  <si>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</si>
  <si>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</si>
  <si>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</si>
  <si>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</si>
  <si>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</si>
  <si>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</si>
  <si>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</si>
  <si>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</si>
  <si>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</si>
  <si>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</si>
  <si>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</si>
  <si>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</si>
  <si>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</si>
  <si>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</si>
  <si>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</si>
  <si>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</si>
  <si>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</si>
  <si>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</si>
  <si>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</si>
  <si>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</si>
  <si>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</si>
  <si>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</si>
  <si>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</si>
  <si>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</si>
  <si>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</si>
  <si>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</si>
  <si>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</si>
  <si>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</si>
  <si>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</si>
  <si>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</si>
  <si>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</si>
  <si>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</si>
  <si>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</si>
  <si>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</si>
  <si>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</si>
  <si>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</si>
  <si>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</si>
  <si>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</si>
  <si>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</si>
  <si>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</si>
  <si>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</si>
  <si>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</si>
  <si>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</si>
  <si>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</si>
  <si>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</si>
  <si>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</si>
  <si>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</si>
  <si>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</si>
  <si>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</si>
  <si>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</si>
  <si>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</si>
  <si>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</si>
  <si>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</si>
  <si>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</si>
  <si>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</si>
  <si>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</si>
  <si>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</si>
  <si>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</si>
  <si>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</si>
  <si>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</si>
  <si>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</si>
  <si>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</si>
  <si>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</si>
  <si>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</si>
  <si>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</si>
  <si>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</si>
  <si>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</si>
  <si>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</si>
  <si>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</si>
  <si>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</si>
  <si>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</si>
  <si>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</si>
  <si>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</si>
  <si>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</si>
  <si>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</si>
  <si>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</si>
  <si>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</si>
  <si>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</si>
  <si>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</si>
  <si>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</si>
  <si>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</si>
  <si>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</si>
  <si>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</si>
  <si>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</si>
  <si>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</si>
  <si>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</si>
  <si>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</si>
  <si>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</si>
  <si>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</si>
  <si>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</si>
  <si>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</si>
  <si>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</si>
  <si>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</si>
  <si>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</si>
  <si>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</si>
  <si>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</si>
  <si>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</si>
  <si>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</si>
  <si>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</si>
  <si>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</si>
  <si>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</si>
  <si>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</si>
  <si>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</si>
  <si>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</si>
  <si>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</si>
  <si>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</si>
  <si>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</si>
  <si>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</si>
  <si>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</si>
  <si>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</si>
  <si>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</si>
  <si>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</si>
  <si>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</si>
  <si>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</si>
  <si>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</si>
  <si>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</si>
  <si>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</si>
  <si>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</si>
  <si>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</si>
  <si>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</si>
  <si>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</si>
  <si>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</si>
  <si>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</si>
  <si>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</si>
  <si>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</si>
  <si>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</si>
  <si>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</si>
  <si>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</si>
  <si>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</si>
  <si>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</si>
  <si>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</si>
  <si>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</si>
  <si>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</si>
  <si>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</si>
  <si>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</si>
  <si>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</si>
  <si>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</si>
  <si>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</si>
  <si>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</si>
  <si>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</si>
  <si>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</si>
  <si>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</si>
  <si>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</si>
  <si>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</si>
  <si>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</si>
  <si>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</si>
  <si>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</si>
  <si>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</si>
  <si>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</si>
  <si>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</si>
  <si>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</si>
  <si>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</si>
  <si>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</si>
  <si>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</si>
  <si>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</si>
  <si>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</si>
  <si>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</si>
  <si>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</si>
  <si>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</si>
  <si>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</si>
  <si>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</si>
  <si>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</si>
  <si>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</si>
  <si>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</si>
  <si>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</si>
  <si>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</si>
  <si>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</si>
  <si>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</si>
  <si>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</si>
  <si>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</si>
  <si>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</si>
  <si>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</si>
  <si>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</si>
  <si>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</si>
  <si>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</si>
  <si>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</si>
  <si>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</si>
  <si>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</si>
  <si>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</si>
  <si>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</si>
  <si>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</si>
  <si>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</si>
  <si>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</si>
  <si>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</si>
  <si>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</si>
  <si>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</si>
  <si>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</si>
  <si>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</si>
  <si>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</si>
  <si>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</si>
  <si>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</si>
  <si>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</si>
  <si>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</si>
  <si>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</si>
  <si>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</si>
  <si>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</si>
  <si>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</si>
  <si>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</si>
  <si>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</si>
  <si>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</si>
  <si>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</si>
  <si>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</si>
  <si>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</si>
  <si>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</si>
  <si>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</si>
  <si>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</si>
  <si>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</si>
  <si>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</si>
  <si>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</si>
  <si>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</si>
  <si>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</si>
  <si>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</si>
  <si>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</si>
  <si>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</si>
  <si>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</si>
  <si>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</si>
  <si>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</si>
  <si>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</si>
  <si>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</si>
  <si>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</si>
  <si>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</si>
  <si>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</si>
  <si>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</si>
  <si>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</si>
  <si>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</si>
  <si>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</si>
  <si>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</si>
  <si>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</si>
  <si>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</si>
  <si>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</si>
  <si>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</si>
  <si>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</si>
  <si>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</si>
  <si>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</si>
  <si>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</si>
  <si>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</si>
  <si>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</si>
  <si>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</si>
  <si>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</si>
  <si>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</si>
  <si>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</si>
  <si>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</si>
  <si>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</si>
  <si>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</si>
  <si>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</si>
  <si>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</si>
  <si>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</si>
  <si>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</si>
  <si>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</si>
  <si>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</si>
  <si>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</si>
  <si>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</si>
  <si>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</si>
  <si>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</si>
  <si>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</si>
  <si>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</si>
  <si>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</si>
  <si>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</si>
  <si>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</si>
  <si>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</si>
  <si>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</si>
  <si>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</si>
  <si>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</si>
  <si>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</si>
  <si>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</si>
  <si>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</si>
  <si>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</si>
  <si>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</si>
  <si>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</si>
  <si>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</si>
  <si>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</si>
  <si>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</si>
  <si>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</si>
  <si>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</si>
  <si>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</si>
  <si>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</si>
  <si>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</si>
  <si>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</si>
  <si>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</si>
  <si>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</si>
  <si>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</si>
  <si>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</si>
  <si>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</si>
  <si>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</si>
  <si>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</si>
  <si>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</si>
  <si>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</si>
  <si>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</si>
  <si>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</si>
  <si>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</si>
  <si>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</si>
  <si>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</si>
  <si>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</si>
  <si>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</si>
  <si>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</si>
  <si>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</si>
  <si>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</si>
  <si>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</si>
  <si>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</si>
  <si>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</si>
  <si>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</si>
  <si>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</si>
  <si>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</si>
  <si>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</si>
  <si>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</si>
  <si>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</si>
  <si>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</si>
  <si>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</si>
  <si>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</si>
  <si>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</si>
  <si>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</si>
  <si>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</si>
  <si>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</si>
  <si>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</si>
  <si>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</si>
  <si>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</si>
  <si>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</si>
  <si>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</si>
  <si>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</si>
  <si>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</si>
  <si>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</si>
  <si>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</si>
  <si>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</si>
  <si>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</si>
  <si>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</si>
  <si>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</si>
  <si>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</si>
  <si>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</si>
  <si>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</si>
  <si>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</si>
  <si>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</si>
  <si>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</si>
  <si>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</si>
  <si>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</si>
  <si>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</si>
  <si>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</si>
  <si>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</si>
  <si>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</si>
  <si>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</si>
  <si>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</si>
  <si>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</si>
  <si>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</si>
  <si>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</si>
  <si>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</si>
  <si>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</si>
  <si>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</si>
  <si>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</si>
  <si>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</si>
  <si>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</si>
  <si>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</si>
  <si>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</si>
  <si>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</si>
  <si>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</si>
  <si>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</si>
  <si>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</si>
  <si>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</si>
  <si>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</si>
  <si>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</si>
  <si>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</si>
  <si>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</si>
  <si>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</si>
  <si>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</si>
  <si>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</si>
  <si>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</si>
  <si>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</si>
  <si>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</si>
  <si>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</si>
  <si>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</si>
  <si>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</si>
  <si>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</si>
  <si>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</si>
  <si>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</si>
  <si>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</si>
  <si>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</si>
  <si>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</si>
  <si>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</si>
  <si>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</si>
  <si>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</si>
  <si>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</si>
  <si>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</si>
  <si>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</si>
  <si>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</si>
  <si>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</si>
  <si>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</si>
  <si>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</si>
  <si>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</si>
  <si>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</si>
  <si>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</si>
  <si>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</si>
  <si>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</si>
  <si>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</si>
  <si>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</si>
  <si>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</si>
  <si>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</si>
  <si>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</si>
  <si>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</si>
  <si>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</si>
  <si>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</si>
  <si>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</si>
  <si>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</si>
  <si>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</si>
  <si>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</si>
  <si>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</si>
  <si>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</si>
  <si>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</si>
  <si>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</si>
  <si>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</si>
  <si>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</si>
  <si>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</si>
  <si>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</si>
  <si>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</si>
  <si>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</si>
  <si>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</si>
  <si>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</si>
  <si>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</si>
  <si>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</si>
  <si>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</si>
  <si>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</si>
  <si>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</si>
  <si>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</si>
  <si>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</si>
  <si>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</si>
  <si>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</si>
  <si>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</si>
  <si>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</si>
  <si>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</si>
  <si>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</si>
  <si>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</si>
  <si>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</si>
  <si>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</si>
  <si>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</si>
  <si>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</si>
  <si>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</si>
  <si>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</si>
  <si>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</si>
  <si>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</si>
  <si>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</si>
  <si>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</si>
  <si>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</si>
  <si>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</si>
  <si>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</si>
  <si>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</si>
  <si>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</si>
  <si>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</si>
  <si>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</si>
  <si>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</si>
  <si>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</si>
  <si>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</si>
  <si>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</si>
  <si>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</si>
  <si>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</si>
  <si>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</si>
  <si>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</si>
  <si>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</si>
  <si>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</si>
  <si>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</si>
  <si>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</si>
  <si>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</si>
  <si>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</si>
  <si>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</si>
  <si>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</si>
  <si>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</si>
  <si>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</si>
  <si>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</si>
  <si>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</si>
  <si>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</si>
  <si>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</si>
  <si>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</si>
  <si>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</si>
  <si>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</si>
  <si>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</si>
  <si>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</si>
  <si>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</si>
  <si>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</si>
  <si>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</si>
  <si>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</si>
  <si>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</si>
  <si>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</si>
  <si>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</si>
  <si>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</si>
  <si>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</si>
  <si>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</si>
  <si>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</si>
  <si>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</si>
  <si>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</si>
  <si>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</si>
  <si>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</si>
  <si>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</si>
  <si>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</si>
  <si>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</si>
  <si>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</si>
  <si>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</si>
  <si>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</si>
  <si>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</si>
  <si>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</si>
  <si>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</si>
  <si>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</si>
  <si>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</si>
  <si>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</si>
  <si>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</si>
  <si>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</si>
  <si>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</si>
  <si>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</si>
  <si>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</si>
  <si>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</si>
  <si>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</si>
  <si>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</si>
  <si>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</si>
  <si>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</si>
  <si>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</si>
  <si>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</si>
  <si>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</si>
  <si>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</si>
  <si>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</si>
  <si>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</si>
  <si>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</si>
  <si>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</si>
  <si>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</si>
  <si>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</si>
  <si>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</si>
  <si>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</si>
  <si>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</si>
  <si>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</si>
  <si>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</si>
  <si>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</si>
  <si>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</si>
  <si>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</si>
  <si>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</si>
  <si>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</si>
  <si>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</si>
  <si>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</si>
  <si>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</si>
  <si>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</si>
  <si>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</si>
  <si>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</si>
  <si>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</si>
  <si>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</si>
  <si>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</si>
  <si>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</si>
  <si>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</si>
  <si>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</si>
  <si>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</si>
  <si>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</si>
  <si>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</si>
  <si>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</si>
  <si>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</si>
  <si>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</si>
  <si>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</si>
  <si>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</si>
  <si>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</si>
  <si>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</si>
  <si>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</si>
  <si>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</si>
  <si>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</si>
  <si>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</si>
  <si>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</si>
  <si>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</si>
  <si>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</si>
  <si>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</si>
  <si>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</si>
  <si>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</si>
  <si>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</si>
  <si>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</si>
  <si>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</si>
  <si>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</si>
  <si>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</si>
  <si>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</si>
  <si>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</si>
  <si>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</si>
  <si>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</si>
  <si>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</si>
  <si>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</si>
  <si>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</si>
  <si>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</si>
  <si>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</si>
  <si>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</si>
  <si>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</si>
  <si>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</si>
  <si>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</si>
  <si>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</si>
  <si>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</si>
  <si>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</si>
  <si>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</si>
  <si>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</si>
  <si>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</si>
  <si>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</si>
  <si>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</si>
  <si>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</si>
  <si>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</si>
  <si>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</si>
  <si>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</si>
  <si>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</si>
  <si>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</si>
  <si>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</si>
  <si>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</si>
  <si>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</si>
  <si>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</si>
  <si>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</si>
  <si>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</si>
  <si>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</si>
  <si>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</si>
  <si>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</si>
  <si>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</si>
  <si>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</si>
  <si>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</si>
  <si>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</si>
  <si>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</si>
  <si>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</si>
  <si>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</si>
  <si>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</si>
  <si>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</si>
  <si>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</si>
  <si>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</si>
  <si>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</si>
  <si>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</si>
  <si>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</si>
  <si>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</si>
  <si>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</si>
  <si>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</si>
  <si>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</si>
  <si>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</si>
  <si>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</si>
  <si>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</si>
  <si>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</si>
  <si>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</si>
  <si>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</si>
  <si>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</si>
  <si>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</si>
  <si>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</si>
  <si>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</si>
  <si>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</si>
  <si>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</si>
  <si>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</si>
  <si>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</si>
  <si>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</si>
  <si>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</si>
  <si>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</si>
  <si>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</si>
  <si>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</si>
  <si>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</si>
  <si>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</si>
  <si>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</si>
  <si>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</si>
  <si>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</si>
  <si>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</si>
  <si>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</si>
  <si>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</si>
  <si>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</si>
  <si>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</si>
  <si>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</si>
  <si>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</si>
  <si>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</si>
  <si>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</si>
  <si>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</si>
  <si>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</si>
  <si>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</si>
  <si>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</si>
  <si>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</si>
  <si>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</si>
  <si>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</si>
  <si>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</si>
  <si>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</si>
  <si>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</si>
  <si>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</si>
  <si>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</si>
  <si>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</si>
  <si>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</si>
  <si>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</si>
  <si>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</si>
  <si>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</si>
  <si>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</si>
  <si>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</si>
  <si>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</si>
  <si>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</si>
  <si>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</si>
  <si>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</si>
  <si>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</si>
  <si>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</si>
  <si>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</si>
  <si>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</si>
  <si>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</si>
  <si>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</si>
  <si>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</si>
  <si>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</si>
  <si>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</si>
  <si>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</si>
  <si>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</si>
  <si>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</si>
  <si>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</si>
  <si>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</si>
  <si>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</si>
  <si>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</si>
  <si>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</si>
  <si>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</si>
  <si>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</si>
  <si>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</si>
  <si>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</si>
  <si>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</si>
  <si>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</si>
  <si>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</si>
  <si>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</si>
  <si>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</si>
  <si>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</si>
  <si>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</si>
  <si>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</si>
  <si>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</si>
  <si>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</si>
  <si>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</si>
  <si>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</si>
  <si>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</si>
  <si>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</si>
  <si>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</si>
  <si>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</si>
  <si>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</si>
  <si>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</si>
  <si>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</si>
  <si>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</si>
  <si>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</si>
  <si>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</si>
  <si>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</si>
  <si>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</si>
  <si>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</si>
  <si>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</si>
  <si>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</si>
  <si>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</si>
  <si>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</si>
  <si>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</si>
  <si>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</si>
  <si>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</si>
  <si>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</si>
  <si>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</si>
  <si>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</si>
  <si>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</si>
  <si>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</si>
  <si>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</si>
  <si>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</si>
  <si>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</si>
  <si>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</si>
  <si>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</si>
  <si>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</si>
  <si>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</si>
  <si>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</si>
  <si>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</si>
  <si>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</si>
  <si>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</si>
  <si>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</si>
  <si>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</si>
  <si>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</si>
  <si>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</si>
  <si>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</si>
  <si>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</si>
  <si>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</si>
  <si>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</si>
  <si>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</si>
  <si>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</si>
  <si>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</si>
  <si>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</si>
  <si>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</si>
  <si>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</si>
  <si>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</si>
  <si>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</si>
  <si>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</si>
  <si>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</si>
  <si>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</si>
  <si>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</si>
  <si>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</si>
  <si>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</si>
  <si>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</si>
  <si>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</si>
  <si>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</si>
  <si>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</si>
  <si>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</si>
  <si>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</si>
  <si>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</si>
  <si>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</si>
  <si>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</si>
  <si>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</si>
  <si>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</si>
  <si>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</si>
  <si>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</si>
  <si>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</si>
  <si>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</si>
  <si>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</si>
  <si>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</si>
  <si>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</si>
  <si>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</si>
  <si>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</si>
  <si>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</si>
  <si>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</si>
  <si>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</si>
  <si>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</si>
  <si>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</si>
  <si>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</si>
  <si>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</si>
  <si>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</si>
  <si>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</si>
  <si>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</si>
  <si>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</si>
  <si>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</si>
  <si>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</si>
  <si>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</si>
  <si>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</si>
  <si>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</si>
  <si>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</si>
  <si>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</si>
  <si>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</si>
  <si>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</si>
  <si>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</si>
  <si>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</si>
  <si>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</si>
  <si>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</si>
  <si>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</si>
  <si>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</si>
  <si>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</si>
  <si>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</si>
  <si>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</si>
  <si>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</si>
  <si>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</si>
  <si>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</si>
  <si>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</si>
  <si>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</si>
  <si>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</si>
  <si>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</si>
  <si>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</si>
  <si>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</si>
  <si>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</si>
  <si>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</si>
  <si>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</si>
  <si>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</si>
  <si>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</si>
  <si>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</si>
  <si>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</si>
  <si>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</si>
  <si>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</si>
  <si>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</si>
  <si>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</si>
  <si>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</si>
  <si>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</si>
  <si>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</si>
  <si>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</si>
  <si>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</si>
  <si>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</si>
  <si>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</si>
  <si>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</si>
  <si>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</si>
  <si>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</si>
  <si>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</si>
  <si>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</si>
  <si>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</si>
  <si>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</si>
  <si>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</si>
  <si>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</si>
  <si>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</si>
  <si>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</si>
  <si>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</si>
  <si>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</si>
  <si>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</si>
  <si>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</si>
  <si>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</si>
  <si>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</si>
  <si>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</si>
  <si>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</si>
  <si>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</si>
  <si>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</si>
  <si>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</si>
  <si>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</si>
  <si>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</si>
  <si>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</si>
  <si>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</si>
  <si>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</si>
  <si>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</si>
  <si>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</si>
  <si>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</si>
  <si>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</si>
  <si>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</si>
  <si>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</si>
  <si>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</si>
  <si>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</si>
  <si>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</si>
  <si>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</si>
  <si>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</si>
  <si>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</si>
  <si>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</si>
  <si>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</si>
  <si>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</si>
  <si>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</si>
  <si>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</si>
  <si>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</si>
  <si>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</si>
  <si>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</si>
  <si>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</si>
  <si>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</si>
  <si>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</si>
  <si>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</si>
  <si>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</si>
  <si>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</si>
  <si>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</si>
  <si>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</si>
  <si>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</si>
  <si>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</si>
  <si>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</si>
  <si>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</si>
  <si>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</si>
  <si>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</si>
  <si>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</si>
  <si>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</si>
  <si>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</si>
  <si>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</si>
  <si>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</si>
  <si>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</si>
  <si>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</si>
  <si>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</si>
  <si>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</si>
  <si>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</si>
  <si>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</si>
  <si>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</si>
  <si>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</si>
  <si>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</si>
  <si>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</si>
  <si>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</si>
  <si>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</si>
  <si>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</si>
  <si>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</si>
  <si>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</si>
  <si>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</si>
  <si>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</si>
  <si>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</si>
  <si>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</si>
  <si>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</si>
  <si>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</si>
  <si>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</si>
  <si>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</si>
  <si>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</si>
  <si>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</si>
  <si>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</si>
  <si>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</si>
  <si>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</si>
  <si>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</si>
  <si>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</si>
  <si>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</si>
  <si>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</si>
  <si>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</si>
  <si>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</si>
  <si>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</si>
  <si>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</si>
  <si>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</si>
  <si>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</si>
  <si>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</si>
  <si>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</si>
  <si>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</si>
  <si>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</si>
  <si>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</si>
  <si>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</si>
  <si>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</si>
  <si>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</si>
  <si>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</si>
  <si>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</si>
  <si>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</si>
  <si>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</si>
  <si>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</si>
  <si>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</si>
  <si>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</si>
  <si>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</si>
  <si>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</si>
  <si>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</si>
  <si>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</si>
  <si>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</si>
  <si>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</si>
  <si>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</si>
  <si>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</si>
  <si>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</si>
  <si>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</si>
  <si>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</si>
  <si>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</si>
  <si>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</si>
  <si>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</si>
  <si>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</si>
  <si>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</si>
  <si>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</si>
  <si>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</si>
  <si>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</si>
  <si>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</si>
  <si>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</si>
  <si>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</si>
  <si>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</si>
  <si>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</si>
  <si>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</si>
  <si>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</si>
  <si>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</si>
  <si>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</si>
  <si>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</si>
  <si>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</si>
  <si>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</si>
  <si>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</si>
  <si>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</si>
  <si>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</si>
  <si>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</si>
  <si>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</si>
  <si>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</si>
  <si>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</si>
  <si>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</si>
  <si>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</si>
  <si>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</si>
  <si>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</si>
  <si>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</si>
  <si>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</si>
  <si>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</si>
  <si>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</si>
  <si>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</si>
  <si>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</si>
  <si>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</si>
  <si>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</si>
  <si>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</si>
  <si>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</si>
  <si>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</si>
  <si>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</si>
  <si>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</si>
  <si>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</si>
  <si>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</si>
  <si>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</si>
  <si>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</si>
  <si>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</si>
  <si>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</si>
  <si>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</si>
  <si>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</si>
  <si>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</si>
  <si>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</si>
  <si>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</si>
  <si>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</si>
  <si>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</si>
  <si>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</si>
  <si>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</si>
  <si>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</si>
  <si>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</si>
  <si>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</si>
  <si>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</si>
  <si>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</si>
  <si>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</si>
  <si>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</si>
  <si>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</si>
  <si>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</si>
  <si>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</si>
  <si>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</si>
  <si>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</si>
  <si>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</si>
  <si>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</si>
  <si>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</si>
  <si>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</si>
  <si>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</si>
  <si>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</si>
  <si>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</si>
  <si>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</si>
  <si>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</si>
  <si>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</si>
  <si>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</si>
  <si>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</si>
  <si>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</si>
  <si>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</si>
  <si>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</si>
  <si>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</si>
  <si>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</si>
  <si>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</si>
  <si>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</si>
  <si>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</si>
  <si>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</si>
  <si>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</si>
  <si>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</si>
  <si>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</si>
  <si>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</si>
  <si>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</si>
  <si>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</si>
  <si>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</si>
  <si>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</si>
  <si>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</si>
  <si>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</si>
  <si>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</si>
  <si>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</si>
  <si>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</si>
  <si>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</si>
  <si>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</si>
  <si>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</si>
  <si>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</si>
  <si>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</si>
  <si>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</si>
  <si>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</si>
  <si>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</si>
  <si>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</si>
  <si>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</si>
  <si>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</si>
  <si>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</si>
  <si>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</si>
  <si>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</si>
  <si>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</si>
  <si>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</si>
  <si>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</si>
  <si>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</si>
  <si>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</si>
  <si>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</si>
  <si>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</si>
  <si>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</si>
  <si>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</si>
  <si>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</si>
  <si>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</si>
  <si>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</si>
  <si>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</si>
  <si>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</si>
  <si>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</si>
  <si>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</si>
  <si>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</si>
  <si>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</si>
  <si>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</si>
  <si>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</si>
  <si>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</si>
  <si>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</si>
  <si>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</si>
  <si>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</si>
  <si>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</si>
  <si>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</si>
  <si>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</si>
  <si>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</si>
  <si>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</si>
  <si>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</si>
  <si>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</si>
  <si>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</si>
  <si>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</si>
  <si>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</si>
  <si>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</si>
  <si>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</si>
  <si>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</si>
  <si>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</si>
  <si>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</si>
  <si>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</si>
  <si>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</si>
  <si>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</si>
  <si>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</si>
  <si>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</si>
  <si>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</si>
  <si>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</si>
  <si>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</si>
  <si>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</si>
  <si>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</si>
  <si>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</si>
  <si>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</si>
  <si>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</si>
  <si>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</si>
  <si>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</si>
  <si>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</si>
  <si>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</si>
  <si>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</si>
  <si>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</si>
  <si>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</si>
  <si>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</si>
  <si>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</si>
  <si>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</si>
  <si>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</si>
  <si>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</si>
  <si>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</si>
  <si>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</si>
  <si>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</si>
  <si>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</si>
  <si>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</si>
  <si>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</si>
  <si>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</si>
  <si>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</si>
  <si>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</si>
  <si>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</si>
  <si>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</si>
  <si>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</si>
  <si>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</si>
  <si>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</si>
  <si>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</si>
  <si>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</si>
  <si>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</si>
  <si>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</si>
  <si>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</si>
  <si>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</si>
  <si>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</si>
  <si>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</si>
  <si>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</si>
  <si>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</si>
  <si>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</si>
  <si>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</si>
  <si>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</si>
  <si>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</si>
  <si>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</si>
  <si>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</si>
  <si>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</si>
  <si>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</si>
  <si>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</si>
  <si>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</si>
  <si>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</si>
  <si>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</si>
  <si>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</si>
  <si>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</si>
  <si>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</si>
  <si>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</si>
  <si>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</si>
  <si>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</si>
  <si>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</si>
  <si>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</si>
  <si>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</si>
  <si>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</si>
  <si>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</si>
  <si>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</si>
  <si>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</si>
  <si>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</si>
  <si>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</si>
  <si>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</si>
  <si>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</si>
  <si>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</si>
  <si>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</si>
  <si>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</si>
  <si>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</si>
  <si>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</si>
  <si>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</si>
  <si>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</si>
  <si>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</si>
  <si>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</si>
  <si>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</si>
  <si>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</si>
  <si>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</si>
  <si>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</si>
  <si>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</si>
  <si>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</si>
  <si>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</si>
  <si>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</si>
  <si>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</si>
  <si>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</si>
  <si>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</si>
  <si>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</si>
  <si>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</si>
  <si>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</si>
  <si>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</si>
  <si>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</si>
  <si>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</si>
  <si>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</si>
  <si>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</si>
  <si>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</si>
  <si>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</si>
  <si>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</si>
  <si>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</si>
  <si>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</si>
  <si>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</si>
  <si>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</si>
  <si>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</si>
  <si>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</si>
  <si>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</si>
  <si>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</si>
  <si>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</si>
  <si>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</si>
  <si>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</si>
  <si>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</si>
  <si>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</si>
  <si>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</si>
  <si>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</si>
  <si>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</si>
  <si>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</si>
  <si>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</si>
  <si>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</si>
  <si>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</si>
  <si>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</si>
  <si>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</si>
  <si>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</si>
  <si>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</si>
  <si>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</si>
  <si>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</si>
  <si>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</si>
  <si>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</si>
  <si>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</si>
  <si>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</si>
  <si>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</si>
  <si>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</si>
  <si>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</si>
  <si>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</si>
  <si>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</si>
  <si>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</si>
  <si>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</si>
  <si>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</si>
  <si>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</si>
  <si>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</si>
  <si>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</si>
  <si>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</si>
  <si>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</si>
  <si>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</si>
  <si>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</si>
  <si>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</si>
  <si>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</si>
  <si>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</si>
  <si>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</si>
  <si>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</si>
  <si>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</si>
  <si>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</si>
  <si>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</si>
  <si>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</si>
  <si>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</si>
  <si>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</si>
  <si>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</si>
  <si>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</si>
  <si>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</si>
  <si>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</si>
  <si>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</si>
  <si>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</si>
  <si>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</si>
  <si>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</si>
  <si>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</si>
  <si>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</si>
  <si>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</si>
  <si>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</si>
  <si>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</si>
  <si>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</si>
  <si>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</si>
  <si>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</si>
  <si>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</si>
  <si>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</si>
  <si>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</si>
  <si>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</si>
  <si>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</si>
  <si>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</si>
  <si>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</si>
  <si>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</si>
  <si>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</si>
  <si>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</si>
  <si>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</si>
  <si>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</si>
  <si>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</si>
  <si>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</si>
  <si>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</si>
  <si>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</si>
  <si>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</si>
  <si>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</si>
  <si>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</si>
  <si>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</si>
  <si>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</si>
  <si>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</si>
  <si>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</si>
  <si>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</si>
  <si>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</si>
  <si>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</si>
  <si>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</si>
  <si>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</si>
  <si>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</si>
  <si>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</si>
  <si>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</si>
  <si>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</si>
  <si>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</si>
  <si>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</si>
  <si>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</si>
  <si>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</si>
  <si>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</si>
  <si>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</si>
  <si>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</si>
  <si>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</si>
  <si>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</si>
  <si>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</si>
  <si>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</si>
  <si>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</si>
  <si>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</si>
  <si>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</si>
  <si>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</si>
  <si>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</si>
  <si>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</si>
  <si>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</si>
  <si>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</si>
  <si>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</si>
  <si>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</si>
  <si>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</si>
  <si>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</si>
  <si>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</si>
  <si>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</si>
  <si>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</si>
  <si>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</si>
  <si>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</si>
  <si>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</si>
  <si>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</si>
  <si>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</si>
  <si>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</si>
  <si>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</si>
  <si>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</si>
  <si>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</si>
  <si>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</si>
  <si>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</si>
  <si>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</si>
  <si>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</si>
  <si>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</si>
  <si>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</si>
  <si>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</si>
  <si>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</si>
  <si>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</si>
  <si>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</si>
  <si>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</si>
  <si>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</si>
  <si>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</si>
  <si>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</si>
  <si>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</si>
  <si>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</si>
  <si>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</si>
  <si>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</si>
  <si>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</si>
  <si>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</si>
  <si>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</si>
  <si>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</si>
  <si>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</si>
  <si>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</si>
  <si>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</si>
  <si>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</si>
  <si>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</si>
  <si>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</si>
  <si>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</si>
  <si>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</si>
  <si>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</si>
  <si>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</si>
  <si>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</si>
  <si>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</si>
  <si>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</si>
  <si>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</si>
  <si>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</si>
  <si>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</si>
  <si>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</si>
  <si>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</si>
  <si>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</si>
  <si>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</si>
  <si>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</si>
  <si>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</si>
  <si>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</si>
  <si>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</si>
  <si>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</si>
  <si>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</si>
  <si>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</si>
  <si>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</si>
  <si>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</si>
  <si>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</si>
  <si>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</si>
  <si>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</si>
  <si>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</si>
  <si>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</si>
  <si>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</si>
  <si>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</si>
  <si>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</si>
  <si>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</si>
  <si>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</si>
  <si>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</si>
  <si>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</si>
  <si>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</si>
  <si>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</si>
  <si>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</si>
  <si>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</si>
  <si>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</si>
  <si>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</si>
  <si>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</si>
  <si>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</si>
  <si>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</si>
  <si>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</si>
  <si>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</si>
  <si>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</si>
  <si>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</si>
  <si>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</si>
  <si>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</si>
  <si>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</si>
  <si>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</si>
  <si>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</si>
  <si>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</si>
  <si>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</si>
  <si>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</si>
  <si>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</si>
  <si>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</si>
  <si>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</si>
  <si>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</si>
  <si>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</si>
  <si>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</si>
  <si>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</si>
  <si>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</si>
  <si>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</si>
  <si>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</si>
  <si>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</si>
  <si>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</si>
  <si>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</si>
  <si>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</si>
  <si>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</si>
  <si>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</si>
  <si>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</si>
  <si>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</si>
  <si>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</si>
  <si>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</si>
  <si>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</si>
  <si>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</si>
  <si>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</si>
  <si>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</si>
  <si>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</si>
  <si>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</si>
  <si>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</si>
  <si>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</si>
  <si>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</si>
  <si>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</si>
  <si>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</si>
  <si>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</si>
  <si>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</si>
  <si>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</si>
  <si>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</si>
  <si>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</si>
  <si>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</si>
  <si>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</si>
  <si>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</si>
  <si>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</si>
  <si>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</si>
  <si>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</si>
  <si>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</si>
  <si>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</si>
  <si>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</si>
  <si>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</si>
  <si>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</si>
  <si>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</si>
  <si>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</si>
  <si>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</si>
  <si>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</si>
  <si>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</si>
  <si>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</si>
  <si>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</si>
  <si>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</si>
  <si>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</si>
  <si>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</si>
  <si>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</si>
  <si>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</si>
  <si>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</si>
  <si>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</si>
  <si>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</si>
  <si>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</si>
  <si>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</si>
  <si>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</si>
  <si>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</si>
  <si>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</si>
  <si>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</si>
  <si>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</si>
  <si>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</si>
  <si>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</si>
  <si>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</si>
  <si>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</si>
  <si>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</si>
  <si>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</si>
  <si>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</si>
  <si>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</si>
  <si>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</si>
  <si>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</si>
  <si>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</si>
  <si>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</si>
  <si>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</si>
  <si>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</si>
  <si>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</si>
  <si>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</si>
  <si>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</si>
  <si>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</si>
  <si>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</si>
  <si>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</si>
  <si>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</si>
  <si>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</si>
  <si>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</si>
  <si>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</si>
  <si>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</si>
  <si>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</si>
  <si>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</si>
  <si>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</si>
  <si>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</si>
  <si>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</si>
  <si>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</si>
  <si>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</si>
  <si>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</si>
  <si>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</si>
  <si>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</si>
  <si>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</si>
  <si>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</si>
  <si>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</si>
  <si>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</si>
  <si>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</si>
  <si>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</si>
  <si>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</si>
  <si>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</si>
  <si>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</si>
  <si>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</si>
  <si>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</si>
  <si>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</si>
  <si>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</si>
  <si>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</si>
  <si>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</si>
  <si>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</si>
  <si>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</si>
  <si>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</si>
  <si>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</si>
  <si>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</si>
  <si>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</si>
  <si>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</si>
  <si>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</si>
  <si>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</si>
  <si>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</si>
  <si>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</si>
  <si>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</si>
  <si>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</si>
  <si>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</si>
  <si>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</si>
  <si>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</si>
  <si>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</si>
  <si>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</si>
  <si>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</si>
  <si>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</si>
  <si>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</si>
  <si>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</si>
  <si>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</si>
  <si>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</si>
  <si>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</si>
  <si>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</si>
  <si>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</si>
  <si>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</si>
  <si>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</si>
  <si>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</si>
  <si>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</si>
  <si>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</si>
  <si>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</si>
  <si>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</si>
  <si>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</si>
  <si>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</si>
  <si>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</si>
  <si>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</si>
  <si>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</si>
  <si>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</si>
  <si>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</si>
  <si>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</si>
  <si>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</si>
  <si>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</si>
  <si>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</si>
  <si>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</si>
  <si>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</si>
  <si>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</si>
  <si>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</si>
  <si>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</si>
  <si>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</si>
  <si>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</si>
  <si>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</si>
  <si>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</si>
  <si>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</si>
  <si>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</si>
  <si>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</si>
  <si>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</si>
  <si>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</si>
  <si>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</si>
  <si>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</si>
  <si>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</si>
  <si>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</si>
  <si>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</si>
  <si>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</si>
  <si>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</si>
  <si>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</si>
  <si>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</si>
  <si>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</si>
  <si>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</si>
  <si>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</si>
  <si>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</si>
  <si>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</si>
  <si>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</si>
  <si>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</si>
  <si>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</si>
  <si>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</si>
  <si>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</si>
  <si>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</si>
  <si>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</si>
  <si>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</si>
  <si>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</si>
  <si>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</si>
  <si>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</si>
  <si>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</si>
  <si>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</si>
  <si>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</si>
  <si>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</si>
  <si>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</si>
  <si>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</si>
  <si>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</si>
  <si>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</si>
  <si>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</si>
  <si>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</si>
  <si>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</si>
  <si>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</si>
  <si>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</si>
  <si>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</si>
  <si>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</si>
  <si>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</si>
  <si>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</si>
  <si>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</si>
  <si>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</si>
  <si>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</si>
  <si>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</si>
  <si>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</si>
  <si>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</si>
  <si>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</si>
  <si>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</si>
  <si>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</si>
  <si>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</si>
  <si>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</si>
  <si>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</si>
  <si>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</si>
  <si>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</si>
  <si>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</si>
  <si>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</si>
  <si>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</si>
  <si>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</si>
  <si>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</si>
  <si>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</si>
  <si>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</si>
  <si>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</si>
  <si>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</si>
  <si>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</si>
  <si>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</si>
  <si>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</si>
  <si>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</si>
  <si>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</si>
  <si>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</si>
  <si>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</si>
  <si>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</si>
  <si>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</si>
  <si>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</si>
  <si>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</si>
  <si>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</si>
  <si>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</si>
  <si>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</si>
  <si>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</si>
  <si>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</si>
  <si>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</si>
  <si>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</si>
  <si>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</si>
  <si>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</si>
  <si>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</si>
  <si>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</si>
  <si>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</si>
  <si>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</si>
  <si>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</si>
  <si>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</si>
  <si>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</si>
  <si>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</si>
  <si>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</si>
  <si>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</si>
  <si>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</si>
  <si>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</si>
  <si>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</si>
  <si>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</si>
  <si>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</si>
  <si>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</si>
  <si>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</si>
  <si>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</si>
  <si>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</si>
  <si>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</si>
  <si>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</si>
  <si>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</si>
  <si>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</si>
  <si>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</si>
  <si>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</si>
  <si>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</si>
  <si>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</si>
  <si>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</si>
  <si>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</si>
  <si>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</si>
  <si>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</si>
  <si>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</si>
  <si>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</si>
  <si>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</si>
  <si>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</si>
  <si>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</si>
  <si>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</si>
  <si>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</si>
  <si>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</si>
  <si>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</si>
  <si>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</si>
  <si>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</si>
  <si>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</si>
  <si>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</si>
  <si>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</si>
  <si>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</si>
  <si>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</si>
  <si>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</si>
  <si>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</si>
  <si>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</si>
  <si>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</si>
  <si>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</si>
  <si>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</si>
  <si>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</si>
  <si>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</si>
  <si>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</si>
  <si>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</si>
  <si>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</si>
  <si>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</si>
  <si>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</si>
  <si>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</si>
  <si>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</si>
  <si>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</si>
  <si>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</si>
  <si>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</si>
  <si>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</si>
  <si>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</si>
  <si>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</si>
  <si>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</si>
  <si>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</si>
  <si>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</si>
  <si>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</si>
  <si>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</si>
  <si>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</si>
  <si>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</si>
  <si>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</si>
  <si>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</si>
  <si>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</si>
  <si>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</si>
  <si>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</si>
  <si>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</si>
  <si>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</si>
  <si>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</si>
  <si>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</si>
  <si>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</si>
  <si>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</si>
  <si>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</si>
  <si>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</si>
  <si>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</si>
  <si>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</si>
  <si>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</si>
  <si>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</si>
  <si>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</si>
  <si>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</si>
  <si>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</si>
  <si>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</si>
  <si>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</si>
  <si>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</si>
  <si>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</si>
  <si>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</si>
  <si>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</si>
  <si>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</si>
  <si>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</si>
  <si>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</si>
  <si>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</si>
  <si>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</si>
  <si>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</si>
  <si>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</si>
  <si>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</si>
  <si>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</si>
  <si>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</si>
  <si>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</si>
  <si>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</si>
  <si>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</si>
  <si>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</si>
  <si>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</si>
  <si>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</si>
  <si>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</si>
  <si>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</si>
  <si>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</si>
  <si>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</si>
  <si>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</si>
  <si>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</si>
  <si>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</si>
  <si>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</si>
  <si>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</si>
  <si>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</si>
  <si>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</si>
  <si>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</si>
  <si>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</si>
  <si>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</si>
  <si>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</si>
  <si>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</si>
  <si>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</si>
  <si>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</si>
  <si>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</si>
  <si>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</si>
  <si>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</si>
  <si>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</si>
  <si>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</si>
  <si>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</si>
  <si>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</si>
  <si>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</si>
  <si>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</si>
  <si>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</si>
  <si>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</si>
  <si>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</si>
  <si>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</si>
  <si>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</si>
  <si>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</si>
  <si>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</si>
  <si>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</si>
  <si>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</si>
  <si>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</si>
  <si>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</si>
  <si>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</si>
  <si>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</si>
  <si>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</si>
  <si>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</si>
  <si>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</si>
  <si>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</si>
  <si>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</si>
  <si>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</si>
  <si>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</si>
  <si>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</si>
  <si>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</si>
  <si>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</si>
  <si>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</si>
  <si>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</si>
  <si>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</si>
  <si>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</si>
  <si>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</si>
  <si>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</si>
  <si>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</si>
  <si>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</si>
  <si>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</si>
  <si>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</si>
  <si>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</si>
  <si>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</si>
  <si>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</si>
  <si>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</si>
  <si>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</si>
  <si>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</si>
  <si>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</si>
  <si>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</si>
  <si>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</si>
  <si>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</si>
  <si>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</si>
  <si>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</si>
  <si>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</si>
  <si>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</si>
  <si>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</si>
  <si>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</si>
  <si>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</si>
  <si>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</si>
  <si>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</si>
  <si>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</si>
  <si>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</si>
  <si>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</si>
  <si>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</si>
  <si>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</si>
  <si>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</si>
  <si>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</si>
  <si>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</si>
  <si>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</si>
  <si>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</si>
  <si>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</si>
  <si>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</si>
  <si>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</si>
  <si>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</si>
  <si>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</si>
  <si>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</si>
  <si>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</si>
  <si>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</si>
  <si>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</si>
  <si>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</si>
  <si>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</si>
  <si>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</si>
  <si>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</si>
  <si>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</si>
  <si>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</si>
  <si>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</si>
  <si>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</si>
  <si>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</si>
  <si>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</si>
  <si>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</si>
  <si>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</si>
  <si>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</si>
  <si>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</si>
  <si>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</si>
  <si>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</si>
  <si>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</si>
  <si>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</si>
  <si>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</si>
  <si>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</si>
  <si>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</si>
  <si>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</si>
  <si>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</si>
  <si>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</si>
  <si>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</si>
  <si>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</si>
  <si>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</si>
  <si>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</si>
  <si>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</si>
  <si>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</si>
  <si>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</si>
  <si>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</si>
  <si>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</si>
  <si>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</si>
  <si>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</si>
  <si>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</si>
  <si>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</si>
  <si>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</si>
  <si>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</si>
  <si>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</si>
  <si>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</si>
  <si>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</si>
  <si>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</si>
  <si>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</si>
  <si>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</si>
  <si>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</si>
  <si>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</si>
  <si>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</si>
  <si>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</si>
  <si>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</si>
  <si>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</si>
  <si>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</si>
  <si>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</si>
  <si>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</si>
  <si>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</si>
  <si>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</si>
  <si>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</si>
  <si>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</si>
  <si>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</si>
  <si>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</si>
  <si>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</si>
  <si>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</si>
  <si>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</si>
  <si>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</si>
  <si>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</si>
  <si>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</si>
  <si>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</si>
  <si>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</si>
  <si>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</si>
  <si>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</si>
  <si>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</si>
  <si>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</si>
  <si>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</si>
  <si>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</si>
  <si>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</si>
  <si>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</si>
  <si>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</si>
  <si>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</si>
  <si>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</si>
  <si>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</si>
  <si>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</si>
  <si>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</si>
  <si>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</si>
  <si>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</si>
  <si>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</si>
  <si>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</si>
  <si>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</si>
  <si>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</si>
  <si>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</si>
  <si>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</si>
  <si>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</si>
  <si>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</si>
  <si>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</si>
  <si>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</si>
  <si>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</si>
  <si>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</si>
  <si>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</si>
  <si>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</si>
  <si>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</si>
  <si>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</si>
  <si>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</si>
  <si>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</si>
  <si>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</si>
  <si>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</si>
  <si>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</si>
  <si>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</si>
  <si>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</si>
  <si>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</si>
  <si>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</si>
  <si>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</si>
  <si>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</si>
  <si>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</si>
  <si>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</si>
  <si>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</si>
  <si>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</si>
  <si>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</si>
  <si>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</si>
  <si>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</si>
  <si>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</si>
  <si>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</si>
  <si>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</si>
  <si>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</si>
  <si>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</si>
  <si>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</si>
  <si>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</si>
  <si>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</si>
  <si>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</si>
  <si>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</si>
  <si>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</si>
  <si>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</si>
  <si>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</si>
  <si>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</si>
  <si>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</si>
  <si>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</si>
  <si>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</si>
  <si>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</si>
  <si>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</si>
  <si>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</si>
  <si>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</si>
  <si>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</si>
  <si>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</si>
  <si>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</si>
  <si>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</si>
  <si>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</si>
  <si>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</si>
  <si>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</si>
  <si>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</si>
  <si>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</si>
  <si>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</si>
  <si>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</si>
  <si>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</si>
  <si>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</si>
  <si>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</si>
  <si>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</si>
  <si>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</si>
  <si>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</si>
  <si>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</si>
  <si>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</si>
  <si>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</si>
  <si>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</si>
  <si>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</si>
  <si>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</si>
  <si>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</si>
  <si>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</si>
  <si>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</si>
  <si>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</si>
  <si>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</si>
  <si>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</si>
  <si>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</si>
  <si>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</si>
  <si>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</si>
  <si>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</si>
  <si>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</si>
  <si>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</si>
  <si>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</si>
  <si>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</si>
  <si>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</si>
  <si>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</si>
  <si>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</si>
  <si>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</si>
  <si>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</si>
  <si>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</si>
  <si>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</si>
  <si>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</si>
  <si>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</si>
  <si>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</si>
  <si>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</si>
  <si>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</si>
  <si>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</si>
  <si>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</si>
  <si>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</si>
  <si>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</si>
  <si>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</si>
  <si>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</si>
  <si>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</si>
  <si>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</si>
  <si>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</si>
  <si>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</si>
  <si>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</si>
  <si>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</si>
  <si>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</si>
  <si>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</si>
  <si>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</si>
  <si>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</si>
  <si>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</si>
  <si>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</si>
  <si>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</si>
  <si>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</si>
  <si>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</si>
  <si>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</si>
  <si>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</si>
  <si>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</si>
  <si>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</si>
  <si>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</si>
  <si>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</si>
  <si>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</si>
  <si>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</si>
  <si>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</si>
  <si>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</si>
  <si>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</si>
  <si>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</si>
  <si>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</si>
  <si>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</si>
  <si>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</si>
  <si>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</si>
  <si>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</si>
  <si>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</si>
  <si>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</si>
  <si>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</si>
  <si>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</si>
  <si>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</si>
  <si>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</si>
  <si>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</si>
  <si>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</si>
  <si>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</si>
  <si>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</si>
  <si>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</si>
  <si>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</si>
  <si>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</si>
  <si>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</si>
  <si>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</si>
  <si>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</si>
  <si>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</si>
  <si>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</si>
  <si>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</si>
  <si>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</si>
  <si>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</si>
  <si>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</si>
  <si>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</si>
  <si>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</si>
  <si>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</si>
  <si>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</si>
  <si>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</si>
  <si>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</si>
  <si>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</si>
  <si>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</si>
  <si>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</si>
  <si>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</si>
  <si>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</si>
  <si>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</si>
  <si>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</si>
  <si>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</si>
  <si>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</si>
  <si>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</si>
  <si>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</si>
  <si>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</si>
  <si>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</si>
  <si>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</si>
  <si>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</si>
  <si>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</si>
  <si>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</si>
  <si>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</si>
  <si>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</si>
  <si>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</si>
  <si>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</si>
  <si>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</si>
  <si>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</si>
  <si>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</si>
  <si>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</si>
  <si>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</si>
  <si>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</si>
  <si>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</si>
  <si>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</si>
  <si>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</si>
  <si>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</si>
  <si>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</si>
  <si>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</si>
  <si>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</si>
  <si>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</si>
  <si>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</si>
  <si>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</si>
  <si>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</si>
  <si>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</si>
  <si>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</si>
  <si>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</si>
  <si>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</si>
  <si>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</si>
  <si>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</si>
  <si>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</si>
  <si>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</si>
  <si>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</si>
  <si>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</si>
  <si>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</si>
  <si>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</si>
  <si>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</si>
  <si>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</si>
  <si>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</si>
  <si>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</si>
  <si>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</si>
  <si>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</si>
  <si>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</si>
  <si>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</si>
  <si>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</si>
  <si>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</si>
  <si>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</si>
  <si>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</si>
  <si>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</si>
  <si>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</si>
  <si>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</si>
  <si>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</si>
  <si>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</si>
  <si>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</si>
  <si>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</si>
  <si>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</si>
  <si>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</si>
  <si>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</si>
  <si>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</si>
  <si>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</si>
  <si>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</si>
  <si>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</si>
  <si>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</si>
  <si>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</si>
  <si>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</si>
  <si>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</si>
  <si>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</si>
  <si>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</si>
  <si>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</si>
  <si>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</si>
  <si>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</si>
  <si>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</si>
  <si>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</si>
  <si>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</si>
  <si>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</si>
  <si>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</si>
  <si>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</si>
  <si>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</si>
  <si>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</si>
  <si>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</si>
  <si>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</si>
  <si>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</si>
  <si>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</si>
  <si>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</si>
  <si>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</si>
  <si>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</si>
  <si>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</si>
  <si>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</si>
  <si>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</si>
  <si>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</si>
  <si>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</si>
  <si>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</si>
  <si>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</si>
  <si>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</si>
  <si>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</si>
  <si>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</si>
  <si>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</si>
  <si>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</si>
  <si>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</si>
  <si>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</si>
  <si>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</si>
  <si>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</si>
  <si>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</si>
  <si>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</si>
  <si>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</si>
  <si>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</si>
  <si>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</si>
  <si>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</si>
  <si>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</si>
  <si>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</si>
  <si>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</si>
  <si>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</si>
  <si>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</si>
  <si>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</si>
  <si>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</si>
  <si>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</si>
  <si>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</si>
  <si>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</si>
  <si>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</si>
  <si>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</si>
  <si>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</si>
  <si>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</si>
  <si>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</si>
  <si>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</si>
  <si>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</si>
  <si>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</si>
  <si>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</si>
  <si>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</si>
  <si>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</si>
  <si>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</si>
  <si>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</si>
  <si>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</si>
  <si>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</si>
  <si>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</si>
  <si>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</si>
  <si>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</si>
  <si>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</si>
  <si>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</si>
  <si>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</si>
  <si>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</si>
  <si>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</si>
  <si>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</si>
  <si>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</si>
  <si>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</si>
  <si>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</si>
  <si>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</si>
  <si>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</si>
  <si>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</si>
  <si>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</si>
  <si>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</si>
  <si>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</si>
  <si>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</si>
  <si>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</si>
  <si>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</si>
  <si>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</si>
  <si>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</si>
  <si>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</si>
  <si>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</si>
  <si>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</si>
  <si>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</si>
  <si>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</si>
  <si>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</si>
  <si>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</si>
  <si>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</si>
  <si>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</si>
  <si>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</si>
  <si>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</si>
  <si>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</si>
  <si>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</si>
  <si>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</si>
  <si>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</si>
  <si>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</si>
  <si>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</si>
  <si>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</si>
  <si>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</si>
  <si>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</si>
  <si>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</si>
  <si>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</si>
  <si>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</si>
  <si>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</si>
  <si>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</si>
  <si>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</si>
  <si>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</si>
  <si>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</si>
  <si>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</si>
  <si>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</si>
  <si>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</si>
  <si>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</si>
  <si>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</si>
  <si>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</si>
  <si>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</si>
  <si>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</si>
  <si>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</si>
  <si>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</si>
  <si>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</si>
  <si>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</si>
  <si>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</si>
  <si>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</si>
  <si>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</si>
  <si>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</si>
  <si>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</si>
  <si>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</si>
  <si>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</si>
  <si>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</si>
  <si>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</si>
  <si>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</si>
  <si>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</si>
  <si>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</si>
  <si>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</si>
  <si>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</si>
  <si>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</si>
  <si>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</si>
  <si>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</si>
  <si>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</si>
  <si>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</si>
  <si>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</si>
  <si>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</si>
  <si>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</si>
  <si>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</si>
  <si>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</si>
  <si>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</si>
  <si>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</si>
  <si>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</si>
  <si>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</si>
  <si>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</si>
  <si>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</si>
  <si>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</si>
  <si>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</si>
  <si>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</si>
  <si>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</si>
  <si>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</si>
  <si>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</si>
  <si>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</si>
  <si>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</si>
  <si>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</si>
  <si>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</si>
  <si>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</si>
  <si>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</si>
  <si>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</si>
  <si>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</si>
  <si>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</si>
  <si>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</si>
  <si>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</si>
  <si>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</si>
  <si>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</si>
  <si>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</si>
  <si>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</si>
  <si>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</si>
  <si>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</si>
  <si>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</si>
  <si>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</si>
  <si>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</si>
  <si>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</si>
  <si>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</si>
  <si>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</si>
  <si>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</si>
  <si>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</si>
  <si>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</si>
  <si>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</si>
  <si>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</si>
  <si>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</si>
  <si>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</si>
  <si>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</si>
  <si>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</si>
  <si>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</si>
  <si>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</si>
  <si>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</si>
  <si>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</si>
  <si>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</si>
  <si>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</si>
  <si>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</si>
  <si>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</si>
  <si>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</si>
  <si>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</si>
  <si>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</si>
  <si>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</si>
  <si>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</si>
  <si>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</si>
  <si>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</si>
  <si>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</si>
  <si>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</si>
  <si>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</si>
  <si>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</si>
  <si>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</si>
  <si>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</si>
  <si>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</si>
  <si>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</si>
  <si>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</si>
  <si>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</si>
  <si>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</si>
  <si>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</si>
  <si>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</si>
  <si>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</si>
  <si>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</si>
  <si>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</si>
  <si>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</si>
  <si>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</si>
  <si>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</si>
  <si>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</si>
  <si>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</si>
  <si>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</si>
  <si>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</si>
  <si>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</si>
  <si>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</si>
  <si>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</si>
  <si>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</si>
  <si>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</si>
  <si>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</si>
  <si>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</si>
  <si>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</si>
  <si>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</si>
  <si>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</si>
  <si>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</si>
  <si>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</si>
  <si>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</si>
  <si>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</si>
  <si>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</si>
  <si>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</si>
  <si>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</si>
  <si>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</si>
  <si>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</si>
  <si>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</si>
  <si>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</si>
  <si>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</si>
  <si>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</si>
  <si>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</si>
  <si>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</si>
  <si>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</si>
  <si>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</si>
  <si>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</si>
  <si>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</si>
  <si>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</si>
  <si>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</si>
  <si>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</si>
  <si>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</si>
  <si>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</si>
  <si>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</si>
  <si>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</si>
  <si>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</si>
  <si>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</si>
  <si>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</si>
  <si>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</si>
  <si>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</si>
  <si>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</si>
  <si>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</si>
  <si>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</si>
  <si>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</si>
  <si>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</si>
  <si>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</si>
  <si>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</si>
  <si>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</si>
  <si>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</si>
  <si>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</si>
  <si>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</si>
  <si>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</si>
  <si>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</si>
  <si>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</si>
  <si>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</si>
  <si>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</si>
  <si>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</si>
  <si>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</si>
  <si>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</si>
  <si>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</si>
  <si>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</si>
  <si>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</si>
  <si>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</si>
  <si>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</si>
  <si>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</si>
  <si>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</si>
  <si>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</si>
  <si>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</si>
  <si>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</si>
  <si>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</si>
  <si>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</si>
  <si>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</si>
  <si>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</si>
  <si>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</si>
  <si>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</si>
  <si>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</si>
  <si>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</si>
  <si>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</si>
  <si>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</si>
  <si>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</si>
  <si>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</si>
  <si>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</si>
  <si>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</si>
  <si>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</si>
  <si>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</si>
  <si>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</si>
  <si>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</si>
  <si>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</si>
  <si>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</si>
  <si>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</si>
  <si>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</si>
  <si>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</si>
  <si>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</si>
  <si>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</si>
  <si>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</si>
  <si>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</si>
  <si>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</si>
  <si>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</si>
  <si>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</si>
  <si>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</si>
  <si>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</si>
  <si>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</si>
  <si>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</si>
  <si>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</si>
  <si>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</si>
  <si>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</si>
  <si>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</si>
  <si>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</si>
  <si>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</si>
  <si>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</si>
  <si>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</si>
  <si>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</si>
  <si>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</si>
  <si>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</si>
  <si>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</si>
  <si>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</si>
  <si>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</si>
  <si>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</si>
  <si>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</si>
  <si>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</si>
  <si>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</si>
  <si>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</si>
  <si>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</si>
  <si>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</si>
  <si>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</si>
  <si>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</si>
  <si>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</si>
  <si>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</si>
  <si>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</si>
  <si>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</si>
  <si>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</si>
  <si>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</si>
  <si>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</si>
  <si>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</si>
  <si>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</si>
  <si>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</si>
  <si>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</si>
  <si>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</si>
  <si>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</si>
  <si>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</si>
  <si>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</si>
  <si>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</si>
  <si>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</si>
  <si>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</si>
  <si>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</si>
  <si>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</si>
  <si>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</si>
  <si>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</si>
  <si>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</si>
  <si>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</si>
  <si>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</si>
  <si>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</si>
  <si>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</si>
  <si>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</si>
  <si>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</si>
  <si>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</si>
  <si>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</si>
  <si>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</si>
  <si>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</si>
  <si>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</si>
  <si>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</si>
  <si>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</si>
  <si>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</si>
  <si>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</si>
  <si>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</si>
  <si>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</si>
  <si>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</si>
  <si>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</si>
  <si>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</si>
  <si>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</si>
  <si>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</si>
  <si>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</si>
  <si>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</si>
  <si>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</si>
  <si>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</si>
  <si>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</si>
  <si>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</si>
  <si>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</si>
  <si>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</si>
  <si>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</si>
  <si>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</si>
  <si>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</si>
  <si>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</si>
  <si>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</si>
  <si>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</si>
  <si>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</si>
  <si>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</si>
  <si>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</si>
  <si>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</si>
  <si>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</si>
  <si>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</si>
  <si>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</si>
  <si>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</si>
  <si>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</si>
  <si>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</si>
  <si>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</si>
  <si>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</si>
  <si>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</si>
  <si>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</si>
  <si>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</si>
  <si>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</si>
  <si>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</si>
  <si>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</si>
  <si>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</si>
  <si>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</si>
  <si>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</si>
  <si>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</si>
  <si>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</si>
  <si>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</si>
  <si>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</si>
  <si>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</si>
  <si>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</si>
  <si>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</si>
  <si>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</si>
  <si>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</si>
  <si>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</si>
  <si>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</si>
  <si>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</si>
  <si>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</si>
  <si>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</si>
  <si>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</si>
  <si>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</si>
  <si>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</si>
  <si>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</si>
  <si>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</si>
  <si>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</si>
  <si>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</si>
  <si>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</si>
  <si>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</si>
  <si>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</si>
  <si>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</si>
  <si>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</si>
  <si>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</si>
  <si>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</si>
  <si>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</si>
  <si>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</si>
  <si>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</si>
  <si>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</si>
  <si>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</si>
  <si>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</si>
  <si>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</si>
  <si>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</si>
  <si>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</si>
  <si>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</si>
  <si>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</si>
  <si>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</si>
  <si>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</si>
  <si>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</si>
  <si>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</si>
  <si>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</si>
  <si>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</si>
  <si>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</si>
  <si>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</si>
  <si>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</si>
  <si>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</si>
  <si>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</si>
  <si>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</si>
  <si>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</si>
  <si>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</si>
  <si>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</si>
  <si>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</si>
  <si>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</si>
  <si>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</si>
  <si>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</si>
  <si>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</si>
  <si>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</si>
  <si>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</si>
  <si>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</si>
  <si>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</si>
  <si>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</si>
  <si>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</si>
  <si>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</si>
  <si>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</si>
  <si>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</si>
  <si>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</si>
  <si>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</si>
  <si>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</si>
  <si>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</si>
  <si>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</si>
  <si>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</si>
  <si>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</si>
  <si>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</si>
  <si>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</si>
  <si>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</si>
  <si>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</si>
  <si>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</si>
  <si>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</si>
  <si>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</si>
  <si>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</si>
  <si>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</si>
  <si>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</si>
  <si>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</si>
  <si>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</si>
  <si>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</si>
  <si>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</si>
  <si>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</si>
  <si>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</si>
  <si>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</si>
  <si>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</si>
  <si>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</si>
  <si>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</si>
  <si>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</si>
  <si>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</si>
  <si>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</si>
  <si>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</si>
  <si>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</si>
  <si>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</si>
  <si>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</si>
  <si>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</si>
  <si>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</si>
  <si>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</si>
  <si>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</si>
  <si>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</si>
  <si>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</si>
  <si>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</si>
  <si>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</si>
  <si>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</si>
  <si>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</si>
  <si>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</si>
  <si>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</si>
  <si>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</si>
  <si>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</si>
  <si>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</si>
  <si>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</si>
  <si>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</si>
  <si>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</si>
  <si>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</si>
  <si>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</si>
  <si>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</si>
  <si>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</si>
  <si>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</si>
  <si>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</si>
  <si>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</si>
  <si>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</si>
  <si>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</si>
  <si>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</si>
  <si>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</si>
  <si>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</si>
  <si>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</si>
  <si>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</si>
  <si>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</si>
  <si>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</si>
  <si>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</si>
  <si>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</si>
  <si>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</si>
  <si>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</si>
  <si>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</si>
  <si>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</si>
  <si>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</si>
  <si>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</si>
  <si>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</si>
  <si>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</si>
  <si>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</si>
  <si>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</si>
  <si>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</si>
  <si>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</si>
  <si>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</si>
  <si>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</si>
  <si>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</si>
  <si>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</si>
  <si>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</si>
  <si>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</si>
  <si>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</si>
  <si>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</si>
  <si>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</si>
  <si>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</si>
  <si>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</si>
  <si>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</si>
  <si>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</si>
  <si>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</si>
  <si>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</si>
  <si>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</si>
  <si>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</si>
  <si>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</si>
  <si>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</si>
  <si>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</si>
  <si>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</si>
  <si>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</si>
  <si>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</si>
  <si>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</si>
  <si>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</si>
  <si>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</si>
  <si>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</si>
  <si>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</si>
  <si>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</si>
  <si>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</si>
  <si>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</si>
  <si>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</si>
  <si>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</si>
  <si>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</si>
  <si>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</si>
  <si>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</si>
  <si>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</si>
  <si>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</si>
  <si>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</si>
  <si>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</si>
  <si>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</si>
  <si>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</si>
  <si>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</si>
  <si>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</si>
  <si>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</si>
  <si>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</si>
  <si>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</si>
  <si>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</si>
  <si>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</si>
  <si>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</si>
  <si>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</si>
  <si>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</si>
  <si>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</si>
  <si>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</si>
  <si>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</si>
  <si>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</si>
  <si>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</si>
  <si>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</si>
  <si>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</si>
  <si>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</si>
  <si>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</si>
  <si>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</si>
  <si>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</si>
  <si>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</si>
  <si>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</si>
  <si>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</si>
  <si>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</si>
  <si>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</si>
  <si>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</si>
  <si>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</si>
  <si>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</si>
  <si>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</si>
  <si>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</si>
  <si>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</si>
  <si>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</si>
  <si>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</si>
  <si>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</si>
  <si>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</si>
  <si>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</si>
  <si>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</si>
  <si>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</si>
  <si>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</si>
  <si>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</si>
  <si>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</si>
  <si>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</si>
  <si>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</si>
  <si>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</si>
  <si>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</si>
  <si>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</si>
  <si>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</si>
  <si>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</si>
  <si>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</si>
  <si>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</si>
  <si>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</si>
  <si>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</si>
  <si>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</si>
  <si>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</si>
  <si>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</si>
  <si>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</si>
  <si>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</si>
  <si>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</si>
  <si>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</si>
  <si>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</si>
  <si>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</si>
  <si>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</si>
  <si>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</si>
  <si>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</si>
  <si>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</si>
  <si>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</si>
  <si>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</si>
  <si>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</si>
  <si>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</si>
  <si>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</si>
  <si>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</si>
  <si>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</si>
  <si>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</si>
  <si>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</si>
  <si>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</si>
  <si>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</si>
  <si>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</si>
  <si>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</si>
  <si>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</si>
  <si>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</si>
  <si>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</si>
  <si>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</si>
  <si>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</si>
  <si>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</si>
  <si>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</si>
  <si>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</si>
  <si>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</si>
  <si>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</si>
  <si>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</si>
  <si>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</si>
  <si>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</si>
  <si>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</si>
  <si>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</si>
  <si>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</si>
  <si>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</si>
  <si>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</si>
  <si>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</si>
  <si>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</si>
  <si>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</si>
  <si>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</si>
  <si>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</si>
  <si>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</si>
  <si>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</si>
  <si>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</si>
  <si>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</si>
  <si>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</si>
  <si>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</si>
  <si>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</si>
  <si>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</si>
  <si>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</si>
  <si>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</si>
  <si>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</si>
  <si>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</si>
  <si>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</si>
  <si>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</si>
  <si>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</si>
  <si>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</si>
  <si>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</si>
  <si>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</si>
  <si>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</si>
  <si>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</si>
  <si>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</si>
  <si>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</si>
  <si>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</si>
  <si>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</si>
  <si>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</si>
  <si>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</si>
  <si>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</si>
  <si>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</si>
  <si>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</si>
  <si>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</si>
  <si>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</si>
  <si>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</si>
  <si>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</si>
  <si>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</si>
  <si>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</si>
  <si>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</si>
  <si>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</si>
  <si>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</si>
  <si>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</si>
  <si>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</si>
  <si>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</si>
  <si>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</si>
  <si>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</si>
  <si>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</si>
  <si>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</si>
  <si>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</si>
  <si>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</si>
  <si>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</si>
  <si>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</si>
  <si>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</si>
  <si>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</si>
  <si>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</si>
  <si>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</si>
  <si>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</si>
  <si>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</si>
  <si>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</si>
  <si>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</si>
  <si>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</si>
  <si>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</si>
  <si>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</si>
  <si>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</si>
  <si>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</si>
  <si>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</si>
  <si>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</si>
  <si>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</si>
  <si>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</si>
  <si>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</si>
  <si>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</si>
  <si>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</si>
  <si>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</si>
  <si>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</si>
  <si>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</si>
  <si>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</si>
  <si>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</si>
  <si>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</si>
  <si>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</si>
  <si>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</si>
  <si>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</si>
  <si>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</si>
  <si>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</si>
  <si>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</si>
  <si>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</si>
  <si>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</si>
  <si>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</si>
  <si>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</si>
  <si>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</si>
  <si>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</si>
  <si>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</si>
  <si>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</si>
  <si>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</si>
  <si>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</si>
  <si>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</si>
  <si>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</si>
  <si>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</si>
  <si>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</si>
  <si>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</si>
  <si>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</si>
  <si>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</si>
  <si>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</si>
  <si>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</si>
  <si>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</si>
  <si>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</si>
  <si>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</si>
  <si>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</si>
  <si>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</si>
  <si>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</si>
  <si>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</si>
  <si>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</si>
  <si>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</si>
  <si>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</si>
  <si>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</si>
  <si>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</si>
  <si>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</si>
  <si>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</si>
  <si>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</si>
  <si>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</si>
  <si>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</si>
  <si>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</si>
  <si>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</si>
  <si>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</si>
  <si>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</si>
  <si>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</si>
  <si>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</si>
  <si>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</si>
  <si>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</si>
  <si>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</si>
  <si>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</si>
  <si>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</si>
  <si>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</si>
  <si>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</si>
  <si>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</si>
  <si>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</si>
  <si>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</si>
  <si>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</si>
  <si>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</si>
  <si>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</si>
  <si>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</si>
  <si>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</si>
  <si>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</si>
  <si>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</si>
  <si>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</si>
  <si>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</si>
  <si>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</si>
  <si>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</si>
  <si>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</si>
  <si>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</si>
  <si>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</si>
  <si>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</si>
  <si>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</si>
  <si>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</si>
  <si>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</si>
  <si>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</si>
  <si>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</si>
  <si>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</si>
  <si>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</si>
  <si>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</si>
  <si>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</si>
  <si>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</si>
  <si>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</si>
  <si>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</si>
  <si>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</si>
  <si>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</si>
  <si>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</si>
  <si>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</si>
  <si>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</si>
  <si>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</si>
  <si>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</si>
  <si>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</si>
  <si>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</si>
  <si>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</si>
  <si>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</si>
  <si>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</si>
  <si>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</si>
  <si>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</si>
  <si>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</si>
  <si>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</si>
  <si>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</si>
  <si>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</si>
  <si>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</si>
  <si>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</si>
  <si>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</si>
  <si>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</si>
  <si>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</si>
  <si>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</si>
  <si>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</si>
  <si>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</si>
  <si>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</si>
  <si>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</si>
  <si>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</si>
  <si>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</si>
  <si>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</si>
  <si>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</si>
  <si>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</si>
  <si>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</si>
  <si>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</si>
  <si>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</si>
  <si>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</si>
  <si>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</si>
  <si>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</si>
  <si>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</si>
  <si>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</si>
  <si>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</si>
  <si>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</si>
  <si>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</si>
  <si>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</si>
  <si>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</si>
  <si>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</si>
  <si>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</si>
  <si>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</si>
  <si>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</si>
  <si>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</si>
  <si>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</si>
  <si>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</si>
  <si>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</si>
  <si>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</si>
  <si>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</si>
  <si>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</si>
  <si>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</si>
  <si>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</si>
  <si>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</si>
  <si>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</si>
  <si>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</si>
  <si>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</si>
  <si>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</si>
  <si>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</si>
  <si>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</si>
  <si>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</si>
  <si>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</si>
  <si>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</si>
  <si>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</si>
  <si>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</si>
  <si>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</si>
  <si>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</si>
  <si>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</si>
  <si>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</si>
  <si>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</si>
  <si>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</si>
  <si>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</si>
  <si>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</si>
  <si>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</si>
  <si>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</si>
  <si>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</si>
  <si>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</si>
  <si>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</si>
  <si>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</si>
  <si>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</si>
  <si>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</si>
  <si>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</si>
  <si>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</si>
  <si>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</si>
  <si>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</si>
  <si>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</si>
  <si>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</si>
  <si>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</si>
  <si>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</si>
  <si>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</si>
  <si>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</si>
  <si>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</si>
  <si>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</si>
  <si>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</si>
  <si>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</si>
  <si>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</si>
  <si>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</si>
  <si>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</si>
  <si>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</si>
  <si>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</si>
  <si>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</si>
  <si>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</si>
  <si>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</si>
  <si>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</si>
  <si>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</si>
  <si>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</si>
  <si>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</si>
  <si>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</si>
  <si>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</si>
  <si>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</si>
  <si>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</si>
  <si>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</si>
  <si>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</si>
  <si>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</si>
  <si>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</si>
  <si>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</si>
  <si>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</si>
  <si>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</si>
  <si>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</si>
  <si>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</si>
  <si>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</si>
  <si>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</si>
  <si>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</si>
  <si>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</si>
  <si>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</si>
  <si>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</si>
  <si>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</si>
  <si>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</si>
  <si>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</si>
  <si>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</si>
  <si>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</si>
  <si>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</si>
  <si>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</si>
  <si>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</si>
  <si>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</si>
  <si>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</si>
  <si>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</si>
  <si>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</si>
  <si>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</si>
  <si>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</si>
  <si>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</si>
  <si>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</si>
  <si>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</si>
  <si>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</si>
  <si>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</si>
  <si>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</si>
  <si>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</si>
  <si>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</si>
  <si>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</si>
  <si>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</si>
  <si>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</si>
  <si>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</si>
  <si>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</si>
  <si>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</si>
  <si>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</si>
  <si>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</si>
  <si>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</si>
  <si>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</si>
  <si>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</si>
  <si>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</si>
  <si>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</si>
  <si>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</si>
  <si>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</si>
  <si>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</si>
  <si>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</si>
  <si>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</si>
  <si>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</si>
  <si>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</si>
  <si>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</si>
  <si>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</si>
  <si>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</si>
  <si>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</si>
  <si>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</si>
  <si>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</si>
  <si>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</si>
  <si>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</si>
  <si>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</si>
  <si>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</si>
  <si>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</si>
  <si>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</si>
  <si>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</si>
  <si>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</si>
  <si>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</si>
  <si>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</si>
  <si>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</si>
  <si>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</si>
  <si>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</si>
  <si>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</si>
  <si>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</si>
  <si>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</si>
  <si>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</si>
  <si>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</si>
  <si>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</si>
  <si>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</si>
  <si>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</si>
  <si>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</si>
  <si>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</si>
  <si>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</si>
  <si>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</si>
  <si>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</si>
  <si>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</si>
  <si>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</si>
  <si>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</si>
  <si>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</si>
  <si>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</si>
  <si>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</si>
  <si>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</si>
  <si>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</si>
  <si>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</si>
  <si>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</si>
  <si>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</si>
  <si>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</si>
  <si>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</si>
  <si>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</si>
  <si>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</si>
  <si>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</si>
  <si>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</si>
  <si>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</si>
  <si>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</si>
  <si>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</si>
  <si>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</si>
  <si>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</si>
  <si>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</si>
  <si>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</si>
  <si>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</si>
  <si>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</si>
  <si>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</si>
  <si>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</si>
  <si>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</si>
  <si>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</si>
  <si>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</si>
  <si>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</si>
  <si>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</si>
  <si>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</si>
  <si>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</si>
  <si>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</si>
  <si>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</si>
  <si>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</si>
  <si>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</si>
  <si>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</si>
  <si>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</si>
  <si>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</si>
  <si>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</si>
  <si>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</si>
  <si>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</si>
  <si>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</si>
  <si>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</si>
  <si>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</si>
  <si>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</si>
  <si>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</si>
  <si>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</si>
  <si>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</si>
  <si>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</si>
  <si>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</si>
  <si>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</si>
  <si>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</si>
  <si>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</si>
  <si>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</si>
  <si>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</si>
  <si>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</si>
  <si>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</si>
  <si>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</si>
  <si>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</si>
  <si>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</si>
  <si>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</si>
  <si>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</si>
  <si>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</si>
  <si>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</si>
  <si>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</si>
  <si>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</si>
  <si>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</si>
  <si>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</si>
  <si>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</si>
  <si>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</si>
  <si>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</si>
  <si>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</si>
  <si>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</si>
  <si>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</si>
  <si>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</si>
  <si>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</si>
  <si>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</si>
  <si>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</si>
  <si>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</si>
  <si>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</si>
  <si>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</si>
  <si>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</si>
  <si>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</si>
  <si>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</si>
  <si>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</si>
  <si>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</si>
  <si>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</si>
  <si>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</si>
  <si>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</si>
  <si>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</si>
  <si>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</si>
  <si>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</si>
  <si>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</si>
  <si>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</si>
  <si>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</si>
  <si>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</si>
  <si>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</si>
  <si>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</si>
  <si>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</si>
  <si>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</si>
  <si>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</si>
  <si>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</si>
  <si>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</si>
  <si>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</si>
  <si>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</si>
  <si>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</si>
  <si>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</si>
  <si>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</si>
  <si>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</si>
  <si>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</si>
  <si>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</si>
  <si>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</si>
  <si>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</si>
  <si>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</si>
  <si>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</si>
  <si>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</si>
  <si>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</si>
  <si>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</si>
  <si>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</si>
  <si>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</si>
  <si>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</si>
  <si>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</si>
  <si>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</si>
  <si>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</si>
  <si>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</si>
  <si>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</si>
  <si>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</si>
  <si>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</si>
  <si>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</si>
  <si>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</si>
  <si>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</si>
  <si>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</si>
  <si>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</si>
  <si>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</si>
  <si>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</si>
  <si>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</si>
  <si>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</si>
  <si>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</si>
  <si>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</si>
  <si>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</si>
  <si>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</si>
  <si>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</si>
  <si>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</si>
  <si>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</si>
  <si>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</si>
  <si>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</si>
  <si>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</si>
  <si>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</si>
  <si>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</si>
  <si>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</si>
  <si>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</si>
  <si>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</si>
  <si>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</si>
  <si>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</si>
  <si>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</si>
  <si>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</si>
  <si>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</si>
  <si>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</si>
  <si>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</si>
  <si>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</si>
  <si>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</si>
  <si>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</si>
  <si>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</si>
  <si>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</si>
  <si>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</si>
  <si>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</si>
  <si>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</si>
  <si>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</si>
  <si>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</si>
  <si>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</si>
  <si>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</si>
  <si>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</si>
  <si>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</si>
  <si>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</si>
  <si>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</si>
  <si>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</si>
  <si>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</si>
  <si>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</si>
  <si>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</si>
  <si>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</si>
  <si>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</si>
  <si>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</si>
  <si>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</si>
  <si>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</si>
  <si>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</si>
  <si>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</si>
  <si>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</si>
  <si>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</si>
  <si>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</si>
  <si>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</si>
  <si>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</si>
  <si>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</si>
  <si>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</si>
  <si>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</si>
  <si>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</si>
  <si>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</si>
  <si>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</si>
  <si>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</si>
  <si>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</si>
  <si>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</si>
  <si>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</si>
  <si>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</si>
  <si>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</si>
  <si>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</si>
  <si>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</si>
  <si>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</si>
  <si>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</si>
  <si>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</si>
  <si>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</si>
  <si>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</si>
  <si>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</si>
  <si>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</si>
  <si>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</si>
  <si>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</si>
  <si>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</si>
  <si>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</si>
  <si>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</si>
  <si>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</si>
  <si>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</si>
  <si>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</si>
  <si>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</si>
  <si>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</si>
  <si>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</si>
  <si>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</si>
  <si>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</si>
  <si>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</si>
  <si>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</si>
  <si>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</si>
  <si>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</si>
  <si>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</si>
  <si>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</si>
  <si>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</si>
  <si>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</si>
  <si>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</si>
  <si>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</si>
  <si>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</si>
  <si>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</si>
  <si>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</si>
  <si>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</si>
  <si>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</si>
  <si>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</si>
  <si>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</si>
  <si>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</si>
  <si>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</si>
  <si>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</si>
  <si>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</si>
  <si>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</si>
  <si>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</si>
  <si>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</si>
  <si>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</si>
  <si>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</si>
  <si>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</si>
  <si>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</si>
  <si>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</si>
  <si>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</si>
  <si>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</si>
  <si>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</si>
  <si>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</si>
  <si>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</si>
  <si>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</si>
  <si>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</si>
  <si>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</si>
  <si>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</si>
  <si>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</si>
  <si>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</si>
  <si>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</si>
  <si>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</si>
  <si>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</si>
  <si>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</si>
  <si>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</si>
  <si>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</si>
  <si>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</si>
  <si>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</si>
  <si>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</si>
  <si>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</si>
  <si>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</si>
  <si>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</si>
  <si>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</si>
  <si>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</si>
  <si>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</si>
  <si>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</si>
  <si>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</si>
  <si>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</si>
  <si>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</si>
  <si>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</si>
  <si>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</si>
  <si>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</si>
  <si>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</si>
  <si>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</si>
  <si>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</si>
  <si>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</si>
  <si>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</si>
  <si>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</si>
  <si>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</si>
  <si>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</si>
  <si>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</si>
  <si>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</si>
  <si>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</si>
  <si>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</si>
  <si>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</si>
  <si>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</si>
  <si>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</si>
  <si>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</si>
  <si>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</si>
  <si>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</si>
  <si>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</si>
  <si>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</si>
  <si>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</si>
  <si>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</si>
  <si>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</si>
  <si>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</si>
  <si>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</si>
  <si>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</si>
  <si>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</si>
  <si>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</si>
  <si>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</si>
  <si>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</si>
  <si>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</si>
  <si>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</si>
  <si>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</si>
  <si>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</si>
  <si>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</si>
  <si>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</si>
  <si>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</si>
  <si>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</si>
  <si>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</si>
  <si>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</si>
  <si>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</si>
  <si>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</si>
  <si>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</si>
  <si>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</si>
  <si>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</si>
  <si>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</si>
  <si>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</si>
  <si>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</si>
  <si>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</si>
  <si>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</si>
  <si>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</si>
  <si>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</si>
  <si>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</si>
  <si>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</si>
  <si>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</si>
  <si>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</si>
  <si>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</si>
  <si>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</si>
  <si>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</si>
  <si>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</si>
  <si>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</si>
  <si>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</si>
  <si>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</si>
  <si>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</si>
  <si>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</si>
  <si>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</si>
  <si>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</si>
  <si>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</si>
  <si>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</si>
  <si>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</si>
  <si>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</si>
  <si>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</si>
  <si>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</si>
  <si>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</si>
  <si>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</si>
  <si>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</si>
  <si>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</si>
  <si>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</si>
  <si>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</si>
  <si>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</si>
  <si>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</si>
  <si>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</si>
  <si>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</si>
  <si>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</si>
  <si>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</si>
  <si>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</si>
  <si>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</si>
  <si>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</si>
  <si>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</si>
  <si>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</si>
  <si>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</si>
  <si>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</si>
  <si>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</si>
  <si>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</si>
  <si>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</si>
  <si>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</si>
  <si>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</si>
  <si>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</si>
  <si>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</si>
  <si>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</si>
  <si>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</si>
  <si>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</si>
  <si>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</si>
  <si>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</si>
  <si>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</si>
  <si>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</si>
  <si>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</si>
  <si>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</si>
  <si>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</si>
  <si>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</si>
  <si>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</si>
  <si>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</si>
  <si>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</si>
  <si>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</si>
  <si>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</si>
  <si>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</si>
  <si>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</si>
  <si>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</si>
  <si>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</si>
  <si>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</si>
  <si>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</si>
  <si>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</si>
  <si>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</si>
  <si>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</si>
  <si>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</si>
  <si>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</si>
  <si>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</si>
  <si>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</si>
  <si>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</si>
  <si>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</si>
  <si>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</si>
  <si>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</si>
  <si>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</si>
  <si>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</si>
  <si>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</si>
  <si>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</si>
  <si>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</si>
  <si>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</si>
  <si>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</si>
  <si>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</si>
  <si>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</si>
  <si>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</si>
  <si>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</si>
  <si>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</si>
  <si>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</si>
  <si>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</si>
  <si>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</si>
  <si>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</si>
  <si>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</si>
  <si>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</si>
  <si>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</si>
  <si>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</si>
  <si>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</si>
  <si>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</si>
  <si>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</si>
  <si>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</si>
  <si>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</si>
  <si>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</si>
  <si>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</si>
  <si>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</si>
  <si>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</si>
  <si>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</si>
  <si>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</si>
  <si>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</si>
  <si>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</si>
  <si>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</si>
  <si>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</si>
  <si>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</si>
  <si>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</si>
  <si>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</si>
  <si>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</si>
  <si>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</si>
  <si>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</si>
  <si>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</si>
  <si>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</si>
  <si>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</si>
  <si>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</si>
  <si>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</si>
  <si>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</si>
  <si>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</si>
  <si>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</si>
  <si>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</si>
  <si>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</si>
  <si>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</si>
  <si>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</si>
  <si>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</si>
  <si>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</si>
  <si>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</si>
  <si>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</si>
  <si>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</si>
  <si>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</si>
  <si>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</si>
  <si>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</si>
  <si>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</si>
  <si>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</si>
  <si>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</si>
  <si>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</si>
  <si>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</si>
  <si>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</si>
  <si>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</si>
  <si>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</si>
  <si>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</si>
  <si>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</si>
  <si>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</si>
  <si>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</si>
  <si>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</si>
  <si>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</si>
  <si>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</si>
  <si>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</si>
  <si>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</si>
  <si>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</si>
  <si>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</si>
  <si>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</si>
  <si>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</si>
  <si>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</si>
  <si>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</si>
  <si>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</si>
  <si>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</si>
  <si>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</si>
  <si>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</si>
  <si>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</si>
  <si>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</si>
  <si>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</si>
  <si>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</si>
  <si>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</si>
  <si>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</si>
  <si>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</si>
  <si>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</si>
  <si>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</si>
  <si>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</si>
  <si>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</si>
  <si>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</si>
  <si>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</si>
  <si>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</si>
  <si>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</si>
  <si>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</si>
  <si>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</si>
  <si>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</si>
  <si>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</si>
  <si>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</si>
  <si>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</si>
  <si>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</si>
  <si>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</si>
  <si>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</si>
  <si>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</si>
  <si>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</si>
  <si>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</si>
  <si>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</si>
  <si>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</si>
  <si>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</si>
  <si>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</si>
  <si>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</si>
  <si>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</si>
  <si>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</si>
  <si>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</si>
  <si>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</si>
  <si>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</si>
  <si>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</si>
  <si>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</si>
  <si>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</si>
  <si>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</si>
  <si>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</si>
  <si>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</si>
  <si>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</si>
  <si>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</si>
  <si>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</si>
  <si>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</si>
  <si>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</si>
  <si>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</si>
  <si>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</si>
  <si>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</si>
  <si>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</si>
  <si>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</si>
  <si>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</si>
  <si>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</si>
  <si>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</si>
  <si>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</si>
  <si>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</si>
  <si>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</si>
  <si>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</si>
  <si>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</si>
  <si>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</si>
  <si>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</si>
  <si>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</si>
  <si>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</si>
  <si>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</si>
  <si>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</si>
  <si>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</si>
  <si>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</si>
  <si>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</si>
  <si>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</si>
  <si>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</si>
  <si>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</si>
  <si>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</si>
  <si>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</si>
  <si>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</si>
  <si>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</si>
  <si>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</si>
  <si>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</si>
  <si>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</si>
  <si>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</si>
  <si>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</si>
  <si>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</si>
  <si>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</si>
  <si>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</si>
  <si>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</si>
  <si>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</si>
  <si>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</si>
  <si>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</si>
  <si>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</si>
  <si>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</si>
  <si>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</si>
  <si>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</si>
  <si>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</si>
  <si>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</si>
  <si>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</si>
  <si>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</si>
  <si>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</si>
  <si>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</si>
  <si>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</si>
  <si>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</si>
  <si>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</si>
  <si>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</si>
  <si>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</si>
  <si>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</si>
  <si>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</si>
  <si>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</si>
  <si>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</si>
  <si>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</si>
  <si>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</si>
  <si>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</si>
  <si>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</si>
  <si>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</si>
  <si>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</si>
  <si>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</si>
  <si>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</si>
  <si>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</si>
  <si>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</si>
  <si>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</si>
  <si>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</si>
  <si>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</si>
  <si>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</si>
  <si>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</si>
  <si>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</si>
  <si>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</si>
  <si>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</si>
  <si>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</si>
  <si>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</si>
  <si>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</si>
  <si>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</si>
  <si>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</si>
  <si>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</si>
  <si>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</si>
  <si>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</si>
  <si>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</si>
  <si>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</si>
  <si>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</si>
  <si>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</si>
  <si>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</si>
  <si>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</si>
  <si>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</si>
  <si>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</si>
  <si>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</si>
  <si>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</si>
  <si>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</si>
  <si>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</si>
  <si>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</si>
  <si>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</si>
  <si>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</si>
  <si>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</si>
  <si>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</si>
  <si>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</si>
  <si>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</si>
  <si>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</si>
  <si>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</si>
  <si>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</si>
  <si>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</si>
  <si>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</si>
  <si>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</si>
  <si>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</si>
  <si>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</si>
  <si>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</si>
  <si>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</si>
  <si>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</si>
  <si>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</si>
  <si>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</si>
  <si>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</si>
  <si>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</si>
  <si>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</si>
  <si>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</si>
  <si>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</si>
  <si>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</si>
  <si>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</si>
  <si>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</si>
  <si>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</si>
  <si>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</si>
  <si>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</si>
  <si>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</si>
  <si>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</si>
  <si>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</si>
  <si>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</si>
  <si>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</si>
  <si>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</si>
  <si>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</si>
  <si>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</si>
  <si>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</si>
  <si>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</si>
  <si>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</si>
  <si>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</si>
  <si>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</si>
  <si>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</si>
  <si>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</si>
  <si>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</si>
  <si>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</si>
  <si>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</si>
  <si>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</si>
  <si>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</si>
  <si>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</si>
  <si>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</si>
  <si>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</si>
  <si>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</si>
  <si>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</si>
  <si>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</si>
  <si>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</si>
  <si>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</si>
  <si>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</si>
  <si>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</si>
  <si>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</si>
  <si>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</si>
  <si>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</si>
  <si>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</si>
  <si>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</si>
  <si>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</si>
  <si>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</si>
  <si>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</si>
  <si>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</si>
  <si>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</si>
  <si>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</si>
  <si>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</si>
  <si>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</si>
  <si>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</si>
  <si>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</si>
  <si>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</si>
  <si>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</si>
  <si>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</si>
  <si>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</si>
  <si>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</si>
  <si>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</si>
  <si>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</si>
  <si>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</si>
  <si>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</si>
  <si>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</si>
  <si>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</si>
  <si>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</si>
  <si>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</si>
  <si>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</si>
  <si>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</si>
  <si>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</si>
  <si>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</si>
  <si>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</si>
  <si>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</si>
  <si>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</si>
  <si>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</si>
  <si>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</si>
  <si>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</si>
  <si>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</si>
  <si>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</si>
  <si>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</si>
  <si>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</si>
  <si>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</si>
  <si>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</si>
  <si>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</si>
  <si>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</si>
  <si>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</si>
  <si>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</si>
  <si>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</si>
  <si>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</si>
  <si>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</si>
  <si>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</si>
  <si>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</si>
  <si>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</si>
  <si>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</si>
  <si>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</si>
  <si>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</si>
  <si>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</si>
  <si>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</si>
  <si>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</si>
  <si>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</si>
  <si>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</si>
  <si>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</si>
  <si>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</si>
  <si>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</si>
  <si>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</si>
  <si>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</si>
  <si>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</si>
  <si>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</si>
  <si>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</si>
  <si>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</si>
  <si>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</si>
  <si>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</si>
  <si>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</si>
  <si>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</si>
  <si>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</si>
  <si>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</si>
  <si>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</si>
  <si>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</si>
  <si>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</si>
  <si>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</si>
  <si>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</si>
  <si>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</si>
  <si>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</si>
  <si>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</si>
  <si>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</si>
  <si>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</si>
  <si>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</si>
  <si>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</si>
  <si>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</si>
  <si>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</si>
  <si>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</si>
  <si>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</si>
  <si>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</si>
  <si>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</si>
  <si>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</si>
  <si>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</si>
  <si>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</si>
  <si>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</si>
  <si>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</si>
  <si>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</si>
  <si>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</si>
  <si>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</si>
  <si>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</si>
  <si>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</si>
  <si>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</si>
  <si>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</si>
  <si>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</si>
  <si>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</si>
  <si>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</si>
  <si>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</si>
  <si>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</si>
  <si>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</si>
  <si>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</si>
  <si>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</si>
  <si>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</si>
  <si>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</si>
  <si>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</si>
  <si>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</si>
  <si>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</si>
  <si>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</si>
  <si>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</si>
  <si>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</si>
  <si>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</si>
  <si>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</si>
  <si>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</si>
  <si>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</si>
  <si>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</si>
  <si>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</si>
  <si>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</si>
  <si>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</si>
  <si>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</si>
  <si>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</si>
  <si>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</si>
  <si>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</si>
  <si>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</si>
  <si>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</si>
  <si>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</si>
  <si>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</si>
  <si>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</si>
  <si>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</si>
  <si>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</si>
  <si>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</si>
  <si>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</si>
  <si>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</si>
  <si>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</si>
  <si>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</si>
  <si>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</si>
  <si>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</si>
  <si>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</si>
  <si>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</si>
  <si>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</si>
  <si>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</si>
  <si>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</si>
  <si>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</si>
  <si>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</si>
  <si>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</si>
  <si>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</si>
  <si>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</si>
  <si>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</si>
  <si>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</si>
  <si>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</si>
  <si>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</si>
  <si>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</si>
  <si>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</si>
  <si>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</si>
  <si>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</si>
  <si>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</si>
  <si>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</si>
  <si>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</si>
  <si>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</si>
  <si>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</si>
  <si>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</si>
  <si>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</si>
  <si>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</si>
  <si>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</si>
  <si>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</si>
  <si>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</si>
  <si>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</si>
  <si>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</si>
  <si>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</si>
  <si>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</si>
  <si>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</si>
  <si>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</si>
  <si>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</si>
  <si>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</si>
  <si>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</si>
  <si>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</si>
  <si>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</si>
  <si>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</si>
  <si>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</si>
  <si>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</si>
  <si>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</si>
  <si>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</si>
  <si>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</si>
  <si>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</si>
  <si>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</si>
  <si>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</si>
  <si>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</si>
  <si>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</si>
  <si>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</si>
  <si>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</si>
  <si>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</si>
  <si>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</si>
  <si>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</si>
  <si>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</si>
  <si>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</si>
  <si>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</si>
  <si>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</si>
  <si>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</si>
  <si>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</si>
  <si>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</si>
  <si>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</si>
  <si>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</si>
  <si>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</si>
  <si>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</si>
  <si>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</si>
  <si>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</si>
  <si>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</si>
  <si>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</si>
  <si>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</si>
  <si>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</si>
  <si>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</si>
  <si>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</si>
  <si>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</si>
  <si>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</si>
  <si>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</si>
  <si>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</si>
  <si>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</si>
  <si>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</si>
  <si>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</si>
  <si>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</si>
  <si>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</si>
  <si>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</si>
  <si>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</si>
  <si>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</si>
  <si>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</si>
  <si>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</si>
  <si>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</si>
  <si>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</si>
  <si>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</si>
  <si>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</si>
  <si>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</si>
  <si>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</si>
  <si>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</si>
  <si>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</si>
  <si>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</si>
  <si>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</si>
  <si>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</si>
  <si>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</si>
  <si>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</si>
  <si>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</si>
  <si>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</si>
  <si>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</si>
  <si>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</si>
  <si>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</si>
  <si>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</si>
  <si>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</si>
  <si>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</si>
  <si>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</si>
  <si>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</si>
  <si>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</si>
  <si>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</si>
  <si>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</si>
  <si>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</si>
  <si>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</si>
  <si>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</si>
  <si>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</si>
  <si>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</si>
  <si>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</si>
  <si>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</si>
  <si>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</si>
  <si>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</si>
  <si>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</si>
  <si>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</si>
  <si>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</si>
  <si>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</si>
  <si>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</si>
  <si>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</si>
  <si>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</si>
  <si>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</si>
  <si>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</si>
  <si>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</si>
  <si>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</si>
  <si>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</si>
  <si>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</si>
  <si>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</si>
  <si>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</si>
  <si>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</si>
  <si>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</si>
  <si>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</si>
  <si>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</si>
  <si>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</si>
  <si>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</si>
  <si>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</si>
  <si>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</si>
  <si>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</si>
  <si>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</si>
  <si>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</si>
  <si>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</si>
  <si>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</si>
  <si>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</si>
  <si>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</si>
  <si>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</si>
  <si>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</si>
  <si>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</si>
  <si>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</si>
  <si>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</si>
  <si>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</si>
  <si>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</si>
  <si>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</si>
  <si>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</si>
  <si>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</si>
  <si>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</si>
  <si>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</si>
  <si>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</si>
  <si>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</si>
  <si>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</si>
  <si>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</si>
  <si>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</si>
  <si>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</si>
  <si>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</si>
  <si>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</si>
  <si>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</si>
  <si>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</si>
  <si>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</si>
  <si>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</si>
  <si>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</si>
  <si>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</si>
  <si>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</si>
  <si>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</si>
  <si>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</si>
  <si>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</si>
  <si>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</si>
  <si>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</si>
  <si>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</si>
  <si>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</si>
  <si>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</si>
  <si>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</si>
  <si>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</si>
  <si>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</si>
  <si>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</si>
  <si>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</si>
  <si>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</si>
  <si>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</si>
  <si>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</si>
  <si>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</si>
  <si>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</si>
  <si>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</si>
  <si>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</si>
  <si>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</si>
  <si>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</si>
  <si>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</si>
  <si>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</si>
  <si>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</si>
  <si>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</si>
  <si>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</si>
  <si>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</si>
  <si>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</si>
  <si>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</si>
  <si>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</si>
  <si>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</si>
  <si>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</si>
  <si>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</si>
  <si>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</si>
  <si>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</si>
  <si>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</si>
  <si>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</si>
  <si>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</si>
  <si>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</si>
  <si>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</si>
  <si>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</si>
  <si>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</si>
  <si>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</si>
  <si>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</si>
  <si>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</si>
  <si>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</si>
  <si>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</si>
  <si>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</si>
  <si>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</si>
  <si>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</si>
  <si>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</si>
  <si>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</si>
  <si>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</si>
  <si>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</si>
  <si>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</si>
  <si>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</si>
  <si>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</si>
  <si>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</si>
  <si>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</si>
  <si>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</si>
  <si>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</si>
  <si>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</si>
  <si>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</si>
  <si>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</si>
  <si>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</si>
  <si>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</si>
  <si>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</si>
  <si>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</si>
  <si>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</si>
  <si>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</si>
  <si>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</si>
  <si>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</si>
  <si>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</si>
  <si>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</si>
  <si>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</si>
  <si>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</si>
  <si>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</si>
  <si>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</si>
  <si>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</si>
  <si>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</si>
  <si>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</si>
  <si>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</si>
  <si>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</si>
  <si>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</si>
  <si>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</si>
  <si>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</si>
  <si>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</si>
  <si>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</si>
  <si>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</si>
  <si>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</si>
  <si>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</si>
  <si>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</si>
  <si>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</si>
  <si>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</si>
  <si>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</si>
  <si>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</si>
  <si>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</si>
  <si>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</si>
  <si>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</si>
  <si>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</si>
  <si>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</si>
  <si>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</si>
  <si>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</si>
  <si>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</si>
  <si>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</si>
  <si>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</si>
  <si>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</si>
  <si>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</si>
  <si>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</si>
  <si>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</si>
  <si>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</si>
  <si>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</si>
  <si>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</si>
  <si>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</si>
  <si>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</si>
  <si>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</si>
  <si>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</si>
  <si>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</si>
  <si>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</si>
  <si>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</si>
  <si>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</si>
  <si>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</si>
  <si>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</si>
  <si>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</si>
  <si>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</si>
  <si>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</si>
  <si>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</si>
  <si>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</si>
  <si>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</si>
  <si>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</si>
  <si>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</si>
  <si>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</si>
  <si>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</si>
  <si>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</si>
  <si>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</si>
  <si>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</si>
  <si>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</si>
  <si>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</si>
  <si>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</si>
  <si>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</si>
  <si>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</si>
  <si>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</si>
  <si>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</si>
  <si>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</si>
  <si>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</si>
  <si>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</si>
  <si>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</si>
  <si>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</si>
  <si>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</si>
  <si>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</si>
  <si>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</si>
  <si>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</si>
  <si>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</si>
  <si>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</si>
  <si>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</si>
  <si>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</si>
  <si>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</si>
  <si>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</si>
  <si>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</si>
  <si>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</si>
  <si>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</si>
  <si>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</si>
  <si>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</si>
  <si>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</si>
  <si>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</si>
  <si>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</si>
  <si>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</si>
  <si>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</si>
  <si>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</si>
  <si>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</si>
  <si>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</si>
  <si>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</si>
  <si>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</si>
  <si>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</si>
  <si>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</si>
  <si>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</si>
  <si>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</si>
  <si>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</si>
  <si>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</si>
  <si>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</si>
  <si>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</si>
  <si>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</si>
  <si>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</si>
  <si>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</si>
  <si>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</si>
  <si>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</si>
  <si>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</si>
  <si>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</si>
  <si>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</si>
  <si>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</si>
  <si>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</si>
  <si>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</si>
  <si>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</si>
  <si>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</si>
  <si>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</si>
  <si>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</si>
  <si>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</si>
  <si>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</si>
  <si>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</si>
  <si>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</si>
  <si>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</si>
  <si>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</si>
  <si>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</si>
  <si>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</si>
  <si>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</si>
  <si>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</si>
  <si>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</si>
  <si>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</si>
  <si>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</si>
  <si>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</si>
  <si>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</si>
  <si>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</si>
  <si>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</si>
  <si>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</si>
  <si>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</si>
  <si>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</si>
  <si>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</si>
  <si>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</si>
  <si>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</si>
  <si>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</si>
  <si>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</si>
  <si>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</si>
  <si>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</si>
  <si>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</si>
  <si>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</si>
  <si>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</si>
  <si>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</si>
  <si>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</si>
  <si>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</si>
  <si>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</si>
  <si>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</si>
  <si>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</si>
  <si>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</si>
  <si>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</si>
  <si>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</si>
  <si>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</si>
  <si>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</si>
  <si>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</si>
  <si>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</si>
  <si>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</si>
  <si>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</si>
  <si>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</si>
  <si>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</si>
  <si>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</si>
  <si>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</si>
  <si>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</si>
  <si>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</si>
  <si>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</si>
  <si>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</si>
  <si>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</si>
  <si>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</si>
  <si>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</si>
  <si>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</si>
  <si>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</si>
  <si>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</si>
  <si>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</si>
  <si>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</si>
  <si>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</si>
  <si>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</si>
  <si>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</si>
  <si>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</si>
  <si>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</si>
  <si>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</si>
  <si>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</si>
  <si>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</si>
  <si>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</si>
  <si>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</si>
  <si>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</si>
  <si>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</si>
  <si>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</si>
  <si>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</si>
  <si>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</si>
  <si>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</si>
  <si>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</si>
  <si>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</si>
  <si>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</si>
  <si>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</si>
  <si>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</si>
  <si>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</si>
  <si>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</si>
  <si>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</si>
  <si>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</si>
  <si>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</si>
  <si>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</si>
  <si>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</si>
  <si>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</si>
  <si>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</si>
  <si>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</si>
  <si>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</si>
  <si>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</si>
  <si>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</si>
  <si>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</si>
  <si>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</si>
  <si>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</si>
  <si>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</si>
  <si>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</si>
  <si>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</si>
  <si>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</si>
  <si>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</si>
  <si>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</si>
  <si>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</si>
  <si>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</si>
  <si>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</si>
  <si>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</si>
  <si>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</si>
  <si>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</si>
  <si>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</si>
  <si>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</si>
  <si>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</si>
  <si>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</si>
  <si>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</si>
  <si>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</si>
  <si>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</si>
  <si>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</si>
  <si>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</si>
  <si>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</si>
  <si>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</si>
  <si>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</si>
  <si>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</si>
  <si>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</si>
  <si>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</si>
  <si>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</si>
  <si>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</si>
  <si>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</si>
  <si>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</si>
  <si>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</si>
  <si>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</si>
  <si>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</si>
  <si>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</si>
  <si>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</si>
  <si>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</si>
  <si>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</si>
  <si>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</si>
  <si>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</si>
  <si>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</si>
  <si>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</si>
  <si>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</si>
  <si>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</si>
  <si>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</si>
  <si>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</si>
  <si>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</si>
  <si>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</si>
  <si>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</si>
  <si>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</si>
  <si>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</si>
  <si>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</si>
  <si>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</si>
  <si>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</si>
  <si>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</si>
  <si>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</si>
  <si>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</si>
  <si>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</si>
  <si>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</si>
  <si>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</si>
  <si>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</si>
  <si>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</si>
  <si>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</si>
  <si>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</si>
  <si>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</si>
  <si>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</si>
  <si>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</si>
  <si>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</si>
  <si>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</si>
  <si>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</si>
  <si>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</si>
  <si>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</si>
  <si>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</si>
  <si>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</si>
  <si>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</si>
  <si>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</si>
  <si>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</si>
  <si>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</si>
  <si>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</si>
  <si>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</si>
  <si>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</si>
  <si>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</si>
  <si>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</si>
  <si>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</si>
  <si>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</si>
  <si>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</si>
  <si>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</si>
  <si>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</si>
  <si>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</si>
  <si>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</si>
  <si>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</si>
  <si>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</si>
  <si>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</si>
  <si>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</si>
  <si>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</si>
  <si>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</si>
  <si>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</si>
  <si>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</si>
  <si>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</si>
  <si>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</si>
  <si>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</si>
  <si>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</si>
  <si>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</si>
  <si>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</si>
  <si>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</si>
  <si>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</si>
  <si>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</si>
  <si>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</si>
  <si>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</si>
  <si>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</si>
  <si>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</si>
  <si>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</si>
  <si>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</si>
  <si>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</si>
  <si>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</si>
  <si>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</si>
  <si>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</si>
  <si>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</si>
  <si>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</si>
  <si>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</si>
  <si>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</si>
  <si>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</si>
  <si>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</si>
  <si>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</si>
  <si>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</si>
  <si>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</si>
  <si>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</si>
  <si>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</si>
  <si>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</si>
  <si>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</si>
  <si>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</si>
  <si>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</si>
  <si>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</si>
  <si>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</si>
  <si>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</si>
  <si>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</si>
  <si>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</si>
  <si>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</si>
  <si>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</si>
  <si>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</si>
  <si>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</si>
  <si>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</si>
  <si>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</si>
  <si>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</si>
  <si>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</si>
  <si>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</si>
  <si>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</si>
  <si>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</si>
  <si>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</si>
  <si>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</si>
  <si>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</si>
  <si>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</si>
  <si>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</si>
  <si>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</si>
  <si>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</si>
  <si>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</si>
  <si>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</si>
  <si>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</si>
  <si>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</si>
  <si>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</si>
  <si>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</si>
  <si>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</si>
  <si>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</si>
  <si>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</si>
  <si>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</si>
  <si>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</si>
  <si>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</si>
  <si>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</si>
  <si>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</si>
  <si>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</si>
  <si>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</si>
  <si>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</si>
  <si>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</si>
  <si>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</si>
  <si>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</si>
  <si>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</si>
  <si>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</si>
  <si>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</si>
  <si>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</si>
  <si>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</si>
  <si>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</si>
  <si>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</si>
  <si>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</si>
  <si>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</si>
  <si>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</si>
  <si>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</si>
  <si>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</si>
  <si>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</si>
  <si>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</si>
  <si>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</si>
  <si>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</si>
  <si>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</si>
  <si>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</si>
  <si>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</si>
  <si>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</si>
  <si>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</si>
  <si>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</si>
  <si>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</si>
  <si>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</si>
  <si>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</si>
  <si>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</si>
  <si>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</si>
  <si>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</si>
  <si>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</si>
  <si>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</si>
  <si>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</si>
  <si>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</si>
  <si>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</si>
  <si>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</si>
  <si>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</si>
  <si>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</si>
  <si>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</si>
  <si>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</si>
  <si>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</si>
  <si>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</si>
  <si>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</si>
  <si>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</si>
  <si>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</si>
  <si>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</si>
  <si>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</si>
  <si>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</si>
  <si>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</si>
  <si>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</si>
  <si>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</si>
  <si>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</si>
  <si>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</si>
  <si>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</si>
  <si>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</si>
  <si>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</si>
  <si>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</si>
  <si>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</si>
  <si>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</si>
  <si>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</si>
  <si>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</si>
  <si>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</si>
  <si>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</si>
  <si>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</si>
  <si>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</si>
  <si>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</si>
  <si>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</si>
  <si>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</si>
  <si>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</si>
  <si>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</si>
  <si>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</si>
  <si>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</si>
  <si>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</si>
  <si>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</si>
  <si>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</si>
  <si>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</si>
  <si>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</si>
  <si>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</si>
  <si>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</si>
  <si>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</si>
  <si>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</si>
  <si>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</si>
  <si>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</si>
  <si>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</si>
  <si>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</si>
  <si>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</si>
  <si>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</si>
  <si>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</si>
  <si>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</si>
  <si>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</si>
  <si>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</si>
  <si>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</si>
  <si>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</si>
  <si>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</si>
  <si>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</si>
  <si>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</si>
  <si>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</si>
  <si>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</si>
  <si>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</si>
  <si>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</si>
  <si>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</si>
  <si>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</si>
  <si>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</si>
  <si>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</si>
  <si>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</si>
  <si>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</si>
  <si>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</si>
  <si>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</si>
  <si>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</si>
  <si>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</si>
  <si>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</si>
  <si>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</si>
  <si>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</si>
  <si>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</si>
  <si>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</si>
  <si>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</si>
  <si>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</si>
  <si>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</si>
  <si>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</si>
  <si>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</si>
  <si>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</si>
  <si>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</si>
  <si>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</si>
  <si>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</si>
  <si>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</si>
  <si>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</si>
  <si>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</si>
  <si>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</si>
  <si>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</si>
  <si>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</si>
  <si>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</si>
  <si>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</si>
  <si>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</si>
  <si>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</si>
  <si>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</si>
  <si>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</si>
  <si>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</si>
  <si>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</si>
  <si>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</si>
  <si>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</si>
  <si>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</si>
  <si>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</si>
  <si>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</si>
  <si>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</si>
  <si>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</si>
  <si>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</si>
  <si>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</si>
  <si>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</si>
  <si>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</si>
  <si>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</si>
  <si>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</si>
  <si>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</si>
  <si>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</si>
  <si>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</si>
  <si>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</si>
  <si>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</si>
  <si>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</si>
  <si>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</si>
  <si>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</si>
  <si>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</si>
  <si>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</si>
  <si>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</si>
  <si>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</si>
  <si>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</si>
  <si>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</si>
  <si>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</si>
  <si>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</si>
  <si>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</si>
  <si>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</si>
  <si>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</si>
  <si>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</si>
  <si>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</si>
  <si>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</si>
  <si>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</si>
  <si>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</si>
  <si>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</si>
  <si>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</si>
  <si>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</si>
  <si>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</si>
  <si>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</si>
  <si>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</si>
  <si>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</si>
  <si>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</si>
  <si>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</si>
  <si>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</si>
  <si>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</si>
  <si>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</si>
  <si>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</si>
  <si>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</si>
  <si>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</si>
  <si>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</si>
  <si>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</si>
  <si>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</si>
  <si>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</si>
  <si>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</si>
  <si>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</si>
  <si>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</si>
  <si>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</si>
  <si>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</si>
  <si>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</si>
  <si>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</si>
  <si>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</si>
  <si>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</si>
  <si>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</si>
  <si>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</si>
  <si>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</si>
  <si>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</si>
  <si>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</si>
  <si>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</si>
  <si>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</si>
  <si>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</si>
  <si>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</si>
  <si>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</si>
  <si>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</si>
  <si>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</si>
  <si>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</si>
  <si>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</si>
  <si>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</si>
  <si>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</si>
  <si>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</si>
  <si>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</si>
  <si>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</si>
  <si>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</si>
  <si>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</si>
  <si>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</si>
  <si>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</si>
  <si>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</si>
  <si>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</si>
  <si>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</si>
  <si>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</si>
  <si>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</si>
  <si>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</si>
  <si>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</si>
  <si>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</si>
  <si>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</si>
  <si>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</si>
  <si>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</si>
  <si>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</si>
  <si>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</si>
  <si>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</si>
  <si>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</si>
  <si>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</si>
  <si>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</si>
  <si>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</si>
  <si>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</si>
  <si>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</si>
  <si>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</si>
  <si>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</si>
  <si>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</si>
  <si>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</si>
  <si>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</si>
  <si>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</si>
  <si>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</si>
  <si>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</si>
  <si>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</si>
  <si>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</si>
  <si>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</si>
  <si>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</si>
  <si>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</si>
  <si>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</si>
  <si>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</si>
  <si>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</si>
  <si>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</si>
  <si>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</si>
  <si>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</si>
  <si>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</si>
  <si>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</si>
  <si>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</si>
  <si>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</si>
  <si>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</si>
  <si>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</si>
  <si>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</si>
  <si>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</si>
  <si>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</si>
  <si>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</si>
  <si>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</si>
  <si>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</si>
  <si>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</si>
  <si>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</si>
  <si>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</si>
  <si>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</si>
  <si>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</si>
  <si>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</si>
  <si>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</si>
  <si>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</si>
  <si>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</si>
  <si>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</si>
  <si>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</si>
  <si>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</si>
  <si>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</si>
  <si>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</si>
  <si>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</si>
  <si>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</si>
  <si>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</si>
  <si>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</si>
  <si>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</si>
  <si>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</si>
  <si>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</si>
  <si>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</si>
  <si>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</si>
  <si>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</si>
  <si>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</si>
  <si>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</si>
  <si>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</si>
  <si>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</si>
  <si>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</si>
  <si>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</si>
  <si>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</si>
  <si>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</si>
  <si>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</si>
  <si>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</si>
  <si>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</si>
  <si>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</si>
  <si>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</si>
  <si>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</si>
  <si>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</si>
  <si>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</si>
  <si>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</si>
  <si>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</si>
  <si>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</si>
  <si>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</si>
  <si>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</si>
  <si>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</si>
  <si>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</si>
  <si>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</si>
  <si>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</si>
  <si>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</si>
  <si>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</si>
  <si>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</si>
  <si>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</si>
  <si>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</si>
  <si>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</si>
  <si>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</si>
  <si>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</si>
  <si>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</si>
  <si>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</si>
  <si>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</si>
  <si>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</si>
  <si>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</si>
  <si>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</si>
  <si>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</si>
  <si>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</si>
  <si>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</si>
  <si>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</si>
  <si>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</si>
  <si>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</si>
  <si>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</si>
  <si>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</si>
  <si>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</si>
  <si>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</si>
  <si>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</si>
  <si>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</si>
  <si>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</si>
  <si>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</si>
  <si>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</si>
  <si>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</si>
  <si>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</si>
  <si>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</si>
  <si>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</si>
  <si>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</si>
  <si>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</si>
  <si>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</si>
  <si>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</si>
  <si>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</si>
  <si>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</si>
  <si>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</si>
  <si>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</si>
  <si>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</si>
  <si>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</si>
  <si>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</si>
  <si>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</si>
  <si>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</si>
  <si>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</si>
  <si>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</si>
  <si>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</si>
  <si>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</si>
  <si>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</si>
  <si>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</si>
  <si>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</si>
  <si>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</si>
  <si>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</si>
  <si>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</si>
  <si>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</si>
  <si>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</si>
  <si>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</si>
  <si>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</si>
  <si>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</si>
  <si>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</si>
  <si>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</si>
  <si>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</si>
  <si>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</si>
  <si>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</si>
  <si>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</si>
  <si>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</si>
  <si>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</si>
  <si>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</si>
  <si>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</si>
  <si>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</si>
  <si>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</si>
  <si>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</si>
  <si>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</si>
  <si>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</si>
  <si>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</si>
  <si>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</si>
  <si>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</si>
  <si>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</si>
  <si>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</si>
  <si>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</si>
  <si>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</si>
  <si>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</si>
  <si>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</si>
  <si>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</si>
  <si>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</si>
  <si>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</si>
  <si>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</si>
  <si>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</si>
  <si>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</si>
  <si>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</si>
  <si>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</si>
  <si>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</si>
  <si>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</si>
  <si>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</si>
  <si>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</si>
  <si>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</si>
  <si>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</si>
  <si>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</si>
  <si>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</si>
  <si>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</si>
  <si>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</si>
  <si>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</si>
  <si>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</si>
  <si>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</si>
  <si>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</si>
  <si>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</si>
  <si>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</si>
  <si>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</si>
  <si>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</si>
  <si>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</si>
  <si>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</si>
  <si>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</si>
  <si>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</si>
  <si>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</si>
  <si>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</si>
  <si>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</si>
  <si>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</si>
  <si>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</si>
  <si>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</si>
  <si>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</si>
  <si>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</si>
  <si>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</si>
  <si>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</si>
  <si>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</si>
  <si>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</si>
  <si>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</si>
  <si>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</si>
  <si>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</si>
  <si>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</si>
  <si>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</si>
  <si>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</si>
  <si>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</si>
  <si>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</si>
  <si>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</si>
  <si>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</si>
  <si>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</si>
  <si>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</si>
  <si>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</si>
  <si>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</si>
  <si>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</si>
  <si>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</si>
  <si>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</si>
  <si>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</si>
  <si>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</si>
  <si>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</si>
  <si>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</si>
  <si>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</si>
  <si>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</si>
  <si>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</si>
  <si>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</si>
  <si>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</si>
  <si>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</si>
  <si>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</si>
  <si>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</si>
  <si>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</si>
  <si>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</si>
  <si>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</si>
  <si>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</si>
  <si>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</si>
  <si>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</si>
  <si>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</si>
  <si>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</si>
  <si>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</si>
  <si>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</si>
  <si>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</si>
  <si>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</si>
  <si>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</si>
  <si>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</si>
  <si>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</si>
  <si>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</si>
  <si>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</si>
  <si>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</si>
  <si>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</si>
  <si>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</si>
  <si>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</si>
  <si>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</si>
  <si>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</si>
  <si>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</si>
  <si>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</si>
  <si>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</si>
  <si>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</si>
  <si>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</si>
  <si>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</si>
  <si>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</si>
  <si>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</si>
  <si>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</si>
  <si>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</si>
  <si>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</si>
  <si>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</si>
  <si>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</si>
  <si>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</si>
  <si>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</si>
  <si>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</si>
  <si>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</si>
  <si>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</si>
  <si>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</si>
  <si>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</si>
  <si>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</si>
  <si>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</si>
  <si>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</si>
  <si>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</si>
  <si>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</si>
  <si>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</si>
  <si>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</si>
  <si>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</si>
  <si>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</si>
  <si>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</si>
  <si>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</si>
  <si>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</si>
  <si>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</si>
  <si>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</si>
  <si>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</si>
  <si>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</si>
  <si>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</si>
  <si>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</si>
  <si>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</si>
  <si>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</si>
  <si>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</si>
  <si>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</si>
  <si>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</si>
  <si>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</si>
  <si>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</si>
  <si>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</si>
  <si>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</si>
  <si>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</si>
  <si>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</si>
  <si>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</si>
  <si>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</si>
  <si>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 xml:space="preserve">The Fool </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</si>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</sst>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readingOrder="0"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134</v>
      </c>
      <c r="J19" s="63" t="s">
        <v>135</v>
      </c>
      <c r="K19" s="64" t="s">
        <v>136</v>
      </c>
      <c r="L19" s="8"/>
      <c r="M19" s="8"/>
      <c r="N19" s="8"/>
      <c r="O19" s="8"/>
      <c r="P19" s="8"/>
      <c r="Q19" s="8"/>
      <c r="R19" s="8"/>
      <c r="S19" s="8"/>
      <c r="T19" s="8"/>
      <c r="U19" s="8"/>
      <c r="V19" s="8"/>
      <c r="W19" s="8"/>
      <c r="X19" s="8"/>
      <c r="Y19" s="8"/>
    </row>
    <row r="20">
      <c r="A20" s="65" t="s">
        <v>137</v>
      </c>
      <c r="B20" s="65" t="s">
        <v>137</v>
      </c>
      <c r="C20" s="65" t="s">
        <v>137</v>
      </c>
      <c r="D20" s="65" t="s">
        <v>137</v>
      </c>
      <c r="E20" s="65" t="s">
        <v>137</v>
      </c>
      <c r="F20" s="65" t="s">
        <v>137</v>
      </c>
      <c r="G20" s="65" t="s">
        <v>137</v>
      </c>
      <c r="H20" s="65" t="s">
        <v>137</v>
      </c>
      <c r="I20" s="65" t="s">
        <v>137</v>
      </c>
      <c r="J20" s="65" t="s">
        <v>137</v>
      </c>
      <c r="K20" s="65" t="s">
        <v>137</v>
      </c>
      <c r="L20" s="66"/>
      <c r="M20" s="66"/>
      <c r="N20" s="66"/>
      <c r="O20" s="66"/>
      <c r="P20" s="66"/>
      <c r="Q20" s="66"/>
      <c r="R20" s="66"/>
      <c r="S20" s="66"/>
      <c r="T20" s="66"/>
      <c r="U20" s="66"/>
      <c r="V20" s="66"/>
      <c r="W20" s="66"/>
      <c r="X20" s="66"/>
      <c r="Y20" s="66"/>
    </row>
    <row r="21">
      <c r="A21" s="65" t="s">
        <v>138</v>
      </c>
      <c r="B21" s="65" t="s">
        <v>138</v>
      </c>
      <c r="C21" s="65" t="s">
        <v>138</v>
      </c>
      <c r="D21" s="65" t="s">
        <v>138</v>
      </c>
      <c r="E21" s="65" t="s">
        <v>138</v>
      </c>
      <c r="F21" s="65" t="s">
        <v>138</v>
      </c>
      <c r="G21" s="65" t="s">
        <v>138</v>
      </c>
      <c r="H21" s="65" t="s">
        <v>138</v>
      </c>
      <c r="I21" s="65" t="s">
        <v>138</v>
      </c>
      <c r="J21" s="65" t="s">
        <v>138</v>
      </c>
      <c r="K21" s="65" t="s">
        <v>138</v>
      </c>
      <c r="L21" s="66"/>
      <c r="M21" s="66"/>
      <c r="N21" s="66"/>
      <c r="O21" s="66"/>
      <c r="P21" s="66"/>
      <c r="Q21" s="66"/>
      <c r="R21" s="66"/>
      <c r="S21" s="66"/>
      <c r="T21" s="66"/>
      <c r="U21" s="66"/>
      <c r="V21" s="66"/>
      <c r="W21" s="66"/>
      <c r="X21" s="66"/>
      <c r="Y21" s="66"/>
    </row>
    <row r="22">
      <c r="A22" s="65" t="s">
        <v>139</v>
      </c>
      <c r="B22" s="65" t="s">
        <v>139</v>
      </c>
      <c r="C22" s="65" t="s">
        <v>139</v>
      </c>
      <c r="D22" s="65" t="s">
        <v>139</v>
      </c>
      <c r="E22" s="65" t="s">
        <v>139</v>
      </c>
      <c r="F22" s="65" t="s">
        <v>139</v>
      </c>
      <c r="G22" s="65" t="s">
        <v>139</v>
      </c>
      <c r="H22" s="65" t="s">
        <v>139</v>
      </c>
      <c r="I22" s="65" t="s">
        <v>139</v>
      </c>
      <c r="J22" s="65" t="s">
        <v>139</v>
      </c>
      <c r="K22" s="65" t="s">
        <v>139</v>
      </c>
      <c r="L22" s="66"/>
      <c r="M22" s="66"/>
      <c r="N22" s="66"/>
      <c r="O22" s="66"/>
      <c r="P22" s="66"/>
      <c r="Q22" s="66"/>
      <c r="R22" s="66"/>
      <c r="S22" s="66"/>
      <c r="T22" s="66"/>
      <c r="U22" s="66"/>
      <c r="V22" s="66"/>
      <c r="W22" s="66"/>
      <c r="X22" s="66"/>
      <c r="Y22" s="66"/>
    </row>
    <row r="23">
      <c r="A23" s="65" t="s">
        <v>140</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141</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142</v>
      </c>
      <c r="J23" s="7" t="s">
        <v>143</v>
      </c>
      <c r="K23" s="7" t="s">
        <v>144</v>
      </c>
      <c r="L23" s="66"/>
      <c r="M23" s="66"/>
      <c r="N23" s="66"/>
      <c r="O23" s="66"/>
      <c r="P23" s="66"/>
      <c r="Q23" s="66"/>
      <c r="R23" s="66"/>
      <c r="S23" s="66"/>
      <c r="T23" s="66"/>
      <c r="U23" s="66"/>
      <c r="V23" s="66"/>
      <c r="W23" s="66"/>
      <c r="X23" s="66"/>
      <c r="Y23" s="66"/>
    </row>
    <row r="24">
      <c r="A24" s="65" t="s">
        <v>145</v>
      </c>
      <c r="B24" s="65" t="str">
        <f>IFERROR(__xludf.DUMMYFUNCTION("GOOGLETRANSLATE(A24,""zh-tw"",""ja"")"),"2025年12月30日にインドネシア語を追加しました")</f>
        <v>2025年12月30日にインドネシア語を追加しました</v>
      </c>
      <c r="C24" s="65" t="s">
        <v>146</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147</v>
      </c>
      <c r="J24" s="7" t="s">
        <v>148</v>
      </c>
      <c r="K24" s="7" t="s">
        <v>149</v>
      </c>
      <c r="L24" s="66"/>
      <c r="M24" s="66"/>
      <c r="N24" s="66"/>
      <c r="O24" s="66"/>
      <c r="P24" s="66"/>
      <c r="Q24" s="66"/>
      <c r="R24" s="66"/>
      <c r="S24" s="66"/>
      <c r="T24" s="66"/>
      <c r="U24" s="66"/>
      <c r="V24" s="66"/>
      <c r="W24" s="66"/>
      <c r="X24" s="66"/>
      <c r="Y24" s="66"/>
    </row>
    <row r="25">
      <c r="A25" s="65" t="s">
        <v>150</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151</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152</v>
      </c>
      <c r="J25" s="7" t="s">
        <v>153</v>
      </c>
      <c r="K25" s="7" t="s">
        <v>154</v>
      </c>
      <c r="L25" s="66"/>
      <c r="M25" s="66"/>
      <c r="N25" s="66"/>
      <c r="O25" s="66"/>
      <c r="P25" s="66"/>
      <c r="Q25" s="66"/>
      <c r="R25" s="66"/>
      <c r="S25" s="66"/>
      <c r="T25" s="66"/>
      <c r="U25" s="66"/>
      <c r="V25" s="66"/>
      <c r="W25" s="66"/>
      <c r="X25" s="66"/>
      <c r="Y25" s="66"/>
    </row>
    <row r="26">
      <c r="A26" s="65" t="s">
        <v>155</v>
      </c>
      <c r="B26" s="65" t="str">
        <f>IFERROR(__xludf.DUMMYFUNCTION("GOOGLETRANSLATE(A26,""zh-tw"",""ja"")"),"2025/12/5に料理+3を追加しました")</f>
        <v>2025/12/5に料理+3を追加しました</v>
      </c>
      <c r="C26" s="65" t="s">
        <v>156</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157</v>
      </c>
      <c r="K26" s="7" t="s">
        <v>158</v>
      </c>
      <c r="L26" s="66"/>
      <c r="M26" s="66"/>
      <c r="N26" s="66"/>
      <c r="O26" s="66"/>
      <c r="P26" s="66"/>
      <c r="Q26" s="66"/>
      <c r="R26" s="66"/>
      <c r="S26" s="66"/>
      <c r="T26" s="66"/>
      <c r="U26" s="66"/>
      <c r="V26" s="66"/>
      <c r="W26" s="66"/>
      <c r="X26" s="66"/>
      <c r="Y26" s="66"/>
    </row>
    <row r="27">
      <c r="A27" s="65" t="s">
        <v>159</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160</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161</v>
      </c>
      <c r="J27" s="7" t="s">
        <v>162</v>
      </c>
      <c r="K27" s="7" t="s">
        <v>163</v>
      </c>
      <c r="L27" s="66"/>
      <c r="M27" s="66"/>
      <c r="N27" s="66"/>
      <c r="O27" s="66"/>
      <c r="P27" s="66"/>
      <c r="Q27" s="66"/>
      <c r="R27" s="66"/>
      <c r="S27" s="66"/>
      <c r="T27" s="66"/>
      <c r="U27" s="66"/>
      <c r="V27" s="66"/>
      <c r="W27" s="66"/>
      <c r="X27" s="66"/>
      <c r="Y27" s="66"/>
    </row>
    <row r="28">
      <c r="A28" s="65" t="s">
        <v>164</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165</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166</v>
      </c>
      <c r="J28" s="7" t="s">
        <v>167</v>
      </c>
      <c r="K28" s="7" t="s">
        <v>168</v>
      </c>
      <c r="L28" s="66"/>
      <c r="M28" s="66"/>
      <c r="N28" s="66"/>
      <c r="O28" s="66"/>
      <c r="P28" s="66"/>
      <c r="Q28" s="66"/>
      <c r="R28" s="66"/>
      <c r="S28" s="66"/>
      <c r="T28" s="66"/>
      <c r="U28" s="66"/>
      <c r="V28" s="66"/>
      <c r="W28" s="66"/>
      <c r="X28" s="66"/>
      <c r="Y28" s="66"/>
    </row>
    <row r="29">
      <c r="A29" s="65" t="s">
        <v>169</v>
      </c>
      <c r="B29" s="65" t="str">
        <f>IFERROR(__xludf.DUMMYFUNCTION("GOOGLETRANSLATE(A29,""zh-tw"",""ja"")"),"2025年11月26日にポルトガル語を追加しました")</f>
        <v>2025年11月26日にポルトガル語を追加しました</v>
      </c>
      <c r="C29" s="65" t="s">
        <v>170</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171</v>
      </c>
      <c r="J29" s="7" t="s">
        <v>172</v>
      </c>
      <c r="K29" s="7" t="s">
        <v>173</v>
      </c>
      <c r="L29" s="66"/>
      <c r="M29" s="66"/>
      <c r="N29" s="66"/>
      <c r="O29" s="66"/>
      <c r="P29" s="66"/>
      <c r="Q29" s="66"/>
      <c r="R29" s="66"/>
      <c r="S29" s="66"/>
      <c r="T29" s="66"/>
      <c r="U29" s="66"/>
      <c r="V29" s="66"/>
      <c r="W29" s="66"/>
      <c r="X29" s="66"/>
      <c r="Y29" s="66"/>
    </row>
    <row r="30">
      <c r="A30" s="65" t="s">
        <v>174</v>
      </c>
      <c r="B30" s="65" t="str">
        <f>IFERROR(__xludf.DUMMYFUNCTION("GOOGLETRANSLATE(A30,""zh-tw"",""ja"")"),"2025/11/15にマイナーバージョンアップ内容を追加しました")</f>
        <v>2025/11/15にマイナーバージョンアップ内容を追加しました</v>
      </c>
      <c r="C30" s="65" t="s">
        <v>175</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176</v>
      </c>
      <c r="J30" s="7" t="s">
        <v>177</v>
      </c>
      <c r="K30" s="7" t="s">
        <v>178</v>
      </c>
      <c r="L30" s="66"/>
      <c r="M30" s="66"/>
      <c r="N30" s="66"/>
      <c r="O30" s="66"/>
      <c r="P30" s="66"/>
      <c r="Q30" s="66"/>
      <c r="R30" s="66"/>
      <c r="S30" s="66"/>
      <c r="T30" s="66"/>
      <c r="U30" s="66"/>
      <c r="V30" s="66"/>
      <c r="W30" s="66"/>
      <c r="X30" s="66"/>
      <c r="Y30" s="66"/>
    </row>
    <row r="31">
      <c r="A31" s="65" t="s">
        <v>179</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180</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181</v>
      </c>
      <c r="J31" s="7" t="s">
        <v>182</v>
      </c>
      <c r="K31" s="7" t="s">
        <v>183</v>
      </c>
      <c r="L31" s="66"/>
      <c r="M31" s="66"/>
      <c r="N31" s="66"/>
      <c r="O31" s="66"/>
      <c r="P31" s="66"/>
      <c r="Q31" s="66"/>
      <c r="R31" s="66"/>
      <c r="S31" s="66"/>
      <c r="T31" s="66"/>
      <c r="U31" s="66"/>
      <c r="V31" s="66"/>
      <c r="W31" s="66"/>
      <c r="X31" s="66"/>
      <c r="Y31" s="66"/>
    </row>
    <row r="32">
      <c r="A32" s="65" t="s">
        <v>184</v>
      </c>
      <c r="B32" s="65" t="str">
        <f>IFERROR(__xludf.DUMMYFUNCTION("GOOGLETRANSLATE(A32,""zh-tw"",""ja"")"),"2025年11月3日：バージョン0.85を追加：SLG-C-23～SLG-C-29、SLG-A-24")</f>
        <v>2025年11月3日：バージョン0.85を追加：SLG-C-23～SLG-C-29、SLG-A-24</v>
      </c>
      <c r="C32" s="65" t="s">
        <v>185</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186</v>
      </c>
      <c r="J32" s="7" t="s">
        <v>187</v>
      </c>
      <c r="K32" s="7" t="s">
        <v>188</v>
      </c>
      <c r="L32" s="66"/>
      <c r="M32" s="66"/>
      <c r="N32" s="66"/>
      <c r="O32" s="66"/>
      <c r="P32" s="66"/>
      <c r="Q32" s="66"/>
      <c r="R32" s="66"/>
      <c r="S32" s="66"/>
      <c r="T32" s="66"/>
      <c r="U32" s="66"/>
      <c r="V32" s="66"/>
      <c r="W32" s="66"/>
      <c r="X32" s="66"/>
      <c r="Y32" s="66"/>
    </row>
    <row r="33">
      <c r="A33" s="65" t="s">
        <v>189</v>
      </c>
      <c r="B33" s="65" t="str">
        <f>IFERROR(__xludf.DUMMYFUNCTION("GOOGLETRANSLATE(A33,""zh-tw"",""ja"")"),"2025年10月14日: 0.82D: R4、R68、アイテム+3を追加")</f>
        <v>2025年10月14日: 0.82D: R4、R68、アイテム+3を追加</v>
      </c>
      <c r="C33" s="65" t="s">
        <v>190</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191</v>
      </c>
      <c r="K33" s="7" t="s">
        <v>192</v>
      </c>
      <c r="L33" s="66"/>
      <c r="M33" s="66"/>
      <c r="N33" s="66"/>
      <c r="O33" s="66"/>
      <c r="P33" s="66"/>
      <c r="Q33" s="66"/>
      <c r="R33" s="66"/>
      <c r="S33" s="66"/>
      <c r="T33" s="66"/>
      <c r="U33" s="66"/>
      <c r="V33" s="66"/>
      <c r="W33" s="66"/>
      <c r="X33" s="66"/>
      <c r="Y33" s="66"/>
    </row>
    <row r="34">
      <c r="A34" s="65" t="s">
        <v>193</v>
      </c>
      <c r="B34" s="65" t="str">
        <f>IFERROR(__xludf.DUMMYFUNCTION("GOOGLETRANSLATE(A34,""zh-tw"",""ja"")"),"2025年10月6日にベトナム語翻訳を追加しました。")</f>
        <v>2025年10月6日にベトナム語翻訳を追加しました。</v>
      </c>
      <c r="C34" s="65" t="s">
        <v>194</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195</v>
      </c>
      <c r="J34" s="7" t="s">
        <v>196</v>
      </c>
      <c r="K34" s="7" t="s">
        <v>197</v>
      </c>
      <c r="L34" s="66"/>
      <c r="M34" s="66"/>
      <c r="N34" s="66"/>
      <c r="O34" s="66"/>
      <c r="P34" s="66"/>
      <c r="Q34" s="66"/>
      <c r="R34" s="66"/>
      <c r="S34" s="66"/>
      <c r="T34" s="66"/>
      <c r="U34" s="66"/>
      <c r="V34" s="66"/>
      <c r="W34" s="66"/>
      <c r="X34" s="66"/>
      <c r="Y34" s="66"/>
    </row>
    <row r="35">
      <c r="A35" s="65" t="s">
        <v>198</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199</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200</v>
      </c>
      <c r="J35" s="7" t="s">
        <v>201</v>
      </c>
      <c r="K35" s="7" t="s">
        <v>202</v>
      </c>
      <c r="L35" s="66"/>
      <c r="M35" s="66"/>
      <c r="N35" s="66"/>
      <c r="O35" s="66"/>
      <c r="P35" s="66"/>
      <c r="Q35" s="66"/>
      <c r="R35" s="66"/>
      <c r="S35" s="66"/>
      <c r="T35" s="66"/>
      <c r="U35" s="66"/>
      <c r="V35" s="66"/>
      <c r="W35" s="66"/>
      <c r="X35" s="66"/>
      <c r="Y35" s="66"/>
    </row>
    <row r="36">
      <c r="A36" s="65" t="s">
        <v>203</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204</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205</v>
      </c>
      <c r="J36" s="7" t="s">
        <v>206</v>
      </c>
      <c r="K36" s="7" t="s">
        <v>207</v>
      </c>
      <c r="L36" s="66"/>
      <c r="M36" s="66"/>
      <c r="N36" s="66"/>
      <c r="O36" s="66"/>
      <c r="P36" s="66"/>
      <c r="Q36" s="66"/>
      <c r="R36" s="66"/>
      <c r="S36" s="66"/>
      <c r="T36" s="66"/>
      <c r="U36" s="66"/>
      <c r="V36" s="66"/>
      <c r="W36" s="66"/>
      <c r="X36" s="66"/>
      <c r="Y36" s="66"/>
    </row>
    <row r="37">
      <c r="A37" s="65" t="s">
        <v>208</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209</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210</v>
      </c>
      <c r="J37" s="7" t="s">
        <v>211</v>
      </c>
      <c r="K37" s="7" t="s">
        <v>212</v>
      </c>
      <c r="L37" s="66"/>
      <c r="M37" s="66"/>
      <c r="N37" s="66"/>
      <c r="O37" s="66"/>
      <c r="P37" s="66"/>
      <c r="Q37" s="66"/>
      <c r="R37" s="66"/>
      <c r="S37" s="66"/>
      <c r="T37" s="66"/>
      <c r="U37" s="66"/>
      <c r="V37" s="66"/>
      <c r="W37" s="66"/>
      <c r="X37" s="66"/>
      <c r="Y37" s="66"/>
    </row>
    <row r="38">
      <c r="A38" s="65" t="s">
        <v>213</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214</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215</v>
      </c>
      <c r="J38" s="7" t="s">
        <v>216</v>
      </c>
      <c r="K38" s="7" t="s">
        <v>217</v>
      </c>
      <c r="L38" s="66"/>
      <c r="M38" s="66"/>
      <c r="N38" s="66"/>
      <c r="O38" s="66"/>
      <c r="P38" s="66"/>
      <c r="Q38" s="66"/>
      <c r="R38" s="66"/>
      <c r="S38" s="66"/>
      <c r="T38" s="66"/>
      <c r="U38" s="66"/>
      <c r="V38" s="66"/>
      <c r="W38" s="66"/>
      <c r="X38" s="66"/>
      <c r="Y38" s="66"/>
    </row>
    <row r="39">
      <c r="A39" s="65" t="s">
        <v>218</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219</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220</v>
      </c>
      <c r="J39" s="7" t="s">
        <v>221</v>
      </c>
      <c r="K39" s="7" t="s">
        <v>222</v>
      </c>
      <c r="L39" s="66"/>
      <c r="M39" s="66"/>
      <c r="N39" s="66"/>
      <c r="O39" s="66"/>
      <c r="P39" s="66"/>
      <c r="Q39" s="66"/>
      <c r="R39" s="66"/>
      <c r="S39" s="66"/>
      <c r="T39" s="66"/>
      <c r="U39" s="66"/>
      <c r="V39" s="66"/>
      <c r="W39" s="66"/>
      <c r="X39" s="66"/>
      <c r="Y39" s="66"/>
    </row>
    <row r="40">
      <c r="A40" s="65" t="s">
        <v>223</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224</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225</v>
      </c>
      <c r="J40" s="7" t="s">
        <v>226</v>
      </c>
      <c r="K40" s="7" t="s">
        <v>227</v>
      </c>
      <c r="L40" s="66"/>
      <c r="M40" s="66"/>
      <c r="N40" s="66"/>
      <c r="O40" s="66"/>
      <c r="P40" s="66"/>
      <c r="Q40" s="66"/>
      <c r="R40" s="66"/>
      <c r="S40" s="66"/>
      <c r="T40" s="66"/>
      <c r="U40" s="66"/>
      <c r="V40" s="66"/>
      <c r="W40" s="66"/>
      <c r="X40" s="66"/>
      <c r="Y40" s="66"/>
    </row>
    <row r="41">
      <c r="A41" s="65" t="s">
        <v>228</v>
      </c>
      <c r="B41" s="65" t="str">
        <f>IFERROR(__xludf.DUMMYFUNCTION("GOOGLETRANSLATE(A41,""zh-tw"",""ja"")"),"2025年8月11日にバージョン0.79Hが追加されました。（TIPS）")</f>
        <v>2025年8月11日にバージョン0.79Hが追加されました。（TIPS）</v>
      </c>
      <c r="C41" s="65" t="s">
        <v>229</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230</v>
      </c>
      <c r="J41" s="7" t="s">
        <v>231</v>
      </c>
      <c r="K41" s="7" t="s">
        <v>232</v>
      </c>
      <c r="L41" s="66"/>
      <c r="M41" s="66"/>
      <c r="N41" s="66"/>
      <c r="O41" s="66"/>
      <c r="P41" s="66"/>
      <c r="Q41" s="66"/>
      <c r="R41" s="66"/>
      <c r="S41" s="66"/>
      <c r="T41" s="66"/>
      <c r="U41" s="66"/>
      <c r="V41" s="66"/>
      <c r="W41" s="66"/>
      <c r="X41" s="66"/>
      <c r="Y41" s="66"/>
    </row>
    <row r="42">
      <c r="A42" s="65" t="s">
        <v>233</v>
      </c>
      <c r="B42" s="65" t="str">
        <f>IFERROR(__xludf.DUMMYFUNCTION("GOOGLETRANSLATE(A42,""zh-tw"",""ja"")"),"バージョン0.79E（RPG35.41）は2025年7月20日に追加されました。")</f>
        <v>バージョン0.79E（RPG35.41）は2025年7月20日に追加されました。</v>
      </c>
      <c r="C42" s="65" t="s">
        <v>234</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235</v>
      </c>
      <c r="J42" s="7" t="s">
        <v>236</v>
      </c>
      <c r="K42" s="7" t="s">
        <v>237</v>
      </c>
      <c r="L42" s="66"/>
      <c r="M42" s="66"/>
      <c r="N42" s="66"/>
      <c r="O42" s="66"/>
      <c r="P42" s="66"/>
      <c r="Q42" s="66"/>
      <c r="R42" s="66"/>
      <c r="S42" s="66"/>
      <c r="T42" s="66"/>
      <c r="U42" s="66"/>
      <c r="V42" s="66"/>
      <c r="W42" s="66"/>
      <c r="X42" s="66"/>
      <c r="Y42" s="66"/>
    </row>
    <row r="43">
      <c r="A43" s="65" t="s">
        <v>238</v>
      </c>
      <c r="B43" s="65" t="str">
        <f>IFERROR(__xludf.DUMMYFUNCTION("GOOGLETRANSLATE(A43,""zh-tw"",""ja"")"),"2025/7/20にバージョン0.79DのTIPSを追加しました")</f>
        <v>2025/7/20にバージョン0.79DのTIPSを追加しました</v>
      </c>
      <c r="C43" s="65" t="s">
        <v>239</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240</v>
      </c>
      <c r="J43" s="7" t="s">
        <v>241</v>
      </c>
      <c r="K43" s="7" t="s">
        <v>242</v>
      </c>
      <c r="L43" s="66"/>
      <c r="M43" s="66"/>
      <c r="N43" s="66"/>
      <c r="O43" s="66"/>
      <c r="P43" s="66"/>
      <c r="Q43" s="66"/>
      <c r="R43" s="66"/>
      <c r="S43" s="66"/>
      <c r="T43" s="66"/>
      <c r="U43" s="66"/>
      <c r="V43" s="66"/>
      <c r="W43" s="66"/>
      <c r="X43" s="66"/>
      <c r="Y43" s="66"/>
    </row>
    <row r="44">
      <c r="A44" s="65" t="s">
        <v>243</v>
      </c>
      <c r="B44" s="65" t="str">
        <f>IFERROR(__xludf.DUMMYFUNCTION("GOOGLETRANSLATE(A44,""zh-tw"",""ja"")"),"2025年7月12日に、SLG-A、SLG-C、TIPS、Weap、Dropsのバージョン0.79が追加されました。")</f>
        <v>2025年7月12日に、SLG-A、SLG-C、TIPS、Weap、Dropsのバージョン0.79が追加されました。</v>
      </c>
      <c r="C44" s="65" t="s">
        <v>244</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245</v>
      </c>
      <c r="J44" s="7" t="s">
        <v>246</v>
      </c>
      <c r="K44" s="7" t="s">
        <v>247</v>
      </c>
      <c r="L44" s="66"/>
      <c r="M44" s="66"/>
      <c r="N44" s="66"/>
      <c r="O44" s="66"/>
      <c r="P44" s="66"/>
      <c r="Q44" s="66"/>
      <c r="R44" s="66"/>
      <c r="S44" s="66"/>
      <c r="T44" s="66"/>
      <c r="U44" s="66"/>
      <c r="V44" s="66"/>
      <c r="W44" s="66"/>
      <c r="X44" s="66"/>
      <c r="Y44" s="66"/>
    </row>
    <row r="45">
      <c r="A45" s="65" t="s">
        <v>248</v>
      </c>
      <c r="B45" s="65" t="str">
        <f>IFERROR(__xludf.DUMMYFUNCTION("GOOGLETRANSLATE(A45,""zh-tw"",""ja"")"),"2025年6月11日：バージョン0.77の一部説明を修正し、ヒントを追加しました。")</f>
        <v>2025年6月11日：バージョン0.77の一部説明を修正し、ヒントを追加しました。</v>
      </c>
      <c r="C45" s="65" t="s">
        <v>249</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250</v>
      </c>
      <c r="J45" s="7" t="s">
        <v>251</v>
      </c>
      <c r="K45" s="7" t="s">
        <v>252</v>
      </c>
      <c r="L45" s="66"/>
      <c r="M45" s="66"/>
      <c r="N45" s="66"/>
      <c r="O45" s="66"/>
      <c r="P45" s="66"/>
      <c r="Q45" s="66"/>
      <c r="R45" s="66"/>
      <c r="S45" s="66"/>
      <c r="T45" s="66"/>
      <c r="U45" s="66"/>
      <c r="V45" s="66"/>
      <c r="W45" s="66"/>
      <c r="X45" s="66"/>
      <c r="Y45" s="66"/>
    </row>
    <row r="46">
      <c r="A46" s="65" t="s">
        <v>253</v>
      </c>
      <c r="B46" s="65" t="str">
        <f>IFERROR(__xludf.DUMMYFUNCTION("GOOGLETRANSLATE(A46,""zh-tw"",""ja"")"),"2025年6月10日にバージョン0.77に更新されました。")</f>
        <v>2025年6月10日にバージョン0.77に更新されました。</v>
      </c>
      <c r="C46" s="65" t="s">
        <v>254</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255</v>
      </c>
      <c r="J46" s="7" t="s">
        <v>256</v>
      </c>
      <c r="K46" s="7" t="s">
        <v>257</v>
      </c>
      <c r="L46" s="66"/>
      <c r="M46" s="66"/>
      <c r="N46" s="66"/>
      <c r="O46" s="66"/>
      <c r="P46" s="66"/>
      <c r="Q46" s="66"/>
      <c r="R46" s="66"/>
      <c r="S46" s="66"/>
      <c r="T46" s="66"/>
      <c r="U46" s="66"/>
      <c r="V46" s="66"/>
      <c r="W46" s="66"/>
      <c r="X46" s="66"/>
      <c r="Y46" s="66"/>
    </row>
    <row r="47">
      <c r="A47" s="65" t="s">
        <v>258</v>
      </c>
      <c r="B47" s="65" t="str">
        <f>IFERROR(__xludf.DUMMYFUNCTION("GOOGLETRANSLATE(A47,""zh-tw"",""ja"")"),"2025年6月3日にバージョン0.77に更新されました。")</f>
        <v>2025年6月3日にバージョン0.77に更新されました。</v>
      </c>
      <c r="C47" s="65" t="s">
        <v>259</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260</v>
      </c>
      <c r="J47" s="7" t="s">
        <v>261</v>
      </c>
      <c r="K47" s="7" t="s">
        <v>262</v>
      </c>
      <c r="L47" s="66"/>
      <c r="M47" s="66"/>
      <c r="N47" s="66"/>
      <c r="O47" s="66"/>
      <c r="P47" s="66"/>
      <c r="Q47" s="66"/>
      <c r="R47" s="66"/>
      <c r="S47" s="66"/>
      <c r="T47" s="66"/>
      <c r="U47" s="66"/>
      <c r="V47" s="66"/>
      <c r="W47" s="66"/>
      <c r="X47" s="66"/>
      <c r="Y47" s="66"/>
    </row>
    <row r="48">
      <c r="A48" s="65" t="s">
        <v>263</v>
      </c>
      <c r="B48" s="65" t="str">
        <f>IFERROR(__xludf.DUMMYFUNCTION("GOOGLETRANSLATE(A48,""zh-tw"",""ja"")"),"2025年5月26日に、SLGページのレイアウトがすべて再設計されました。")</f>
        <v>2025年5月26日に、SLGページのレイアウトがすべて再設計されました。</v>
      </c>
      <c r="C48" s="65" t="s">
        <v>264</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265</v>
      </c>
      <c r="J48" s="7" t="s">
        <v>266</v>
      </c>
      <c r="K48" s="7" t="s">
        <v>267</v>
      </c>
      <c r="L48" s="66"/>
      <c r="M48" s="66"/>
      <c r="N48" s="66"/>
      <c r="O48" s="66"/>
      <c r="P48" s="66"/>
      <c r="Q48" s="66"/>
      <c r="R48" s="66"/>
      <c r="S48" s="66"/>
      <c r="T48" s="66"/>
      <c r="U48" s="66"/>
      <c r="V48" s="66"/>
      <c r="W48" s="66"/>
      <c r="X48" s="66"/>
      <c r="Y48" s="66"/>
    </row>
    <row r="49">
      <c r="A49" s="65" t="s">
        <v>268</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269</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270</v>
      </c>
      <c r="J49" s="7" t="s">
        <v>271</v>
      </c>
      <c r="K49" s="7" t="s">
        <v>272</v>
      </c>
      <c r="L49" s="66"/>
      <c r="M49" s="66"/>
      <c r="N49" s="66"/>
      <c r="O49" s="66"/>
      <c r="P49" s="66"/>
      <c r="Q49" s="66"/>
      <c r="R49" s="66"/>
      <c r="S49" s="66"/>
      <c r="T49" s="66"/>
      <c r="U49" s="66"/>
      <c r="V49" s="66"/>
      <c r="W49" s="66"/>
      <c r="X49" s="66"/>
      <c r="Y49" s="66"/>
    </row>
    <row r="50">
      <c r="A50" s="65" t="s">
        <v>273</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274</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275</v>
      </c>
      <c r="J50" s="7" t="s">
        <v>276</v>
      </c>
      <c r="K50" s="7" t="s">
        <v>277</v>
      </c>
      <c r="L50" s="66"/>
      <c r="M50" s="66"/>
      <c r="N50" s="66"/>
      <c r="O50" s="66"/>
      <c r="P50" s="66"/>
      <c r="Q50" s="66"/>
      <c r="R50" s="66"/>
      <c r="S50" s="66"/>
      <c r="T50" s="66"/>
      <c r="U50" s="66"/>
      <c r="V50" s="66"/>
      <c r="W50" s="66"/>
      <c r="X50" s="66"/>
      <c r="Y50" s="66"/>
    </row>
    <row r="51">
      <c r="A51" s="65" t="s">
        <v>278</v>
      </c>
      <c r="B51" s="65" t="str">
        <f>IFERROR(__xludf.DUMMYFUNCTION("GOOGLETRANSLATE(A51,""zh-tw"",""ja"")"),"2025 年 5 月 6 日に、大焼成溶岩帯のマップ画像を追加しました。")</f>
        <v>2025 年 5 月 6 日に、大焼成溶岩帯のマップ画像を追加しました。</v>
      </c>
      <c r="C51" s="65" t="s">
        <v>279</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280</v>
      </c>
      <c r="J51" s="7" t="s">
        <v>281</v>
      </c>
      <c r="K51" s="7" t="s">
        <v>282</v>
      </c>
      <c r="L51" s="66"/>
      <c r="M51" s="66"/>
      <c r="N51" s="66"/>
      <c r="O51" s="66"/>
      <c r="P51" s="66"/>
      <c r="Q51" s="66"/>
      <c r="R51" s="66"/>
      <c r="S51" s="66"/>
      <c r="T51" s="66"/>
      <c r="U51" s="66"/>
      <c r="V51" s="66"/>
      <c r="W51" s="66"/>
      <c r="X51" s="66"/>
      <c r="Y51" s="66"/>
    </row>
    <row r="52">
      <c r="A52" s="65" t="s">
        <v>283</v>
      </c>
      <c r="B52" s="65" t="str">
        <f>IFERROR(__xludf.DUMMYFUNCTION("GOOGLETRANSLATE(A52,""zh-tw"",""ja"")"),"2025年5月5日から[日付不明]まで、マップセクションが更新され、洞窟の入り口にドロップされたアイテムの位置が表示されます。乞うご期待！")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2" s="65" t="s">
        <v>284</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2" s="28" t="str">
        <f>IFERROR(__xludf.DUMMYFUNCTION("GOOGLETRANSLATE(A52,""zh-tw"",""DE"")"),"Vom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2" s="67" t="s">
        <v>285</v>
      </c>
      <c r="J52" s="7" t="s">
        <v>286</v>
      </c>
      <c r="K52" s="7" t="s">
        <v>287</v>
      </c>
      <c r="L52" s="66"/>
      <c r="M52" s="66"/>
      <c r="N52" s="66"/>
      <c r="O52" s="66"/>
      <c r="P52" s="66"/>
      <c r="Q52" s="66"/>
      <c r="R52" s="66"/>
      <c r="S52" s="66"/>
      <c r="T52" s="66"/>
      <c r="U52" s="66"/>
      <c r="V52" s="66"/>
      <c r="W52" s="66"/>
      <c r="X52" s="66"/>
      <c r="Y52" s="66"/>
    </row>
    <row r="53">
      <c r="A53" s="65" t="s">
        <v>288</v>
      </c>
      <c r="B53" s="65" t="str">
        <f>IFERROR(__xludf.DUMMYFUNCTION("GOOGLETRANSLATE(A53,""zh-tw"",""ja"")"),"2025 年 5 月 4 日にロシア語とドイツ語の翻訳を追加しました。")</f>
        <v>2025 年 5 月 4 日にロシア語とドイツ語の翻訳を追加しました。</v>
      </c>
      <c r="C53" s="65" t="s">
        <v>289</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290</v>
      </c>
      <c r="J53" s="7" t="s">
        <v>291</v>
      </c>
      <c r="K53" s="7" t="s">
        <v>292</v>
      </c>
      <c r="L53" s="66"/>
      <c r="M53" s="66"/>
      <c r="N53" s="66"/>
      <c r="O53" s="66"/>
      <c r="P53" s="66"/>
      <c r="Q53" s="66"/>
      <c r="R53" s="66"/>
      <c r="S53" s="66"/>
      <c r="T53" s="66"/>
      <c r="U53" s="66"/>
      <c r="V53" s="66"/>
      <c r="W53" s="66"/>
      <c r="X53" s="66"/>
      <c r="Y53" s="66"/>
    </row>
    <row r="54">
      <c r="A54" s="65" t="s">
        <v>293</v>
      </c>
      <c r="B54" s="65" t="str">
        <f>IFERROR(__xludf.DUMMYFUNCTION("GOOGLETRANSLATE(A54,""zh-tw"",""ja"")"),"バージョン0.75は2025年5月2日に追加されました。")</f>
        <v>バージョン0.75は2025年5月2日に追加されました。</v>
      </c>
      <c r="C54" s="65" t="s">
        <v>294</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295</v>
      </c>
      <c r="J54" s="7" t="s">
        <v>296</v>
      </c>
      <c r="K54" s="7" t="s">
        <v>297</v>
      </c>
      <c r="L54" s="66"/>
      <c r="M54" s="66"/>
      <c r="N54" s="66"/>
      <c r="O54" s="66"/>
      <c r="P54" s="66"/>
      <c r="Q54" s="66"/>
      <c r="R54" s="66"/>
      <c r="S54" s="66"/>
      <c r="T54" s="66"/>
      <c r="U54" s="66"/>
      <c r="V54" s="66"/>
      <c r="W54" s="66"/>
      <c r="X54" s="66"/>
      <c r="Y54" s="66"/>
    </row>
    <row r="55">
      <c r="A55" s="65" t="s">
        <v>298</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299</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300</v>
      </c>
      <c r="J55" s="7" t="s">
        <v>301</v>
      </c>
      <c r="K55" s="7" t="s">
        <v>302</v>
      </c>
      <c r="L55" s="66"/>
      <c r="M55" s="66"/>
      <c r="N55" s="66"/>
      <c r="O55" s="66"/>
      <c r="P55" s="66"/>
      <c r="Q55" s="66"/>
      <c r="R55" s="66"/>
      <c r="S55" s="66"/>
      <c r="T55" s="66"/>
      <c r="U55" s="66"/>
      <c r="V55" s="66"/>
      <c r="W55" s="66"/>
      <c r="X55" s="66"/>
      <c r="Y55" s="66"/>
    </row>
    <row r="56">
      <c r="A56" s="65" t="s">
        <v>303</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304</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305</v>
      </c>
      <c r="J56" s="7" t="s">
        <v>306</v>
      </c>
      <c r="K56" s="7" t="s">
        <v>307</v>
      </c>
      <c r="L56" s="66"/>
      <c r="M56" s="66"/>
      <c r="N56" s="66"/>
      <c r="O56" s="66"/>
      <c r="P56" s="66"/>
      <c r="Q56" s="66"/>
      <c r="R56" s="66"/>
      <c r="S56" s="66"/>
      <c r="T56" s="66"/>
      <c r="U56" s="66"/>
      <c r="V56" s="66"/>
      <c r="W56" s="66"/>
      <c r="X56" s="66"/>
      <c r="Y56" s="66"/>
    </row>
    <row r="57">
      <c r="A57" s="65" t="s">
        <v>308</v>
      </c>
      <c r="B57" s="65" t="str">
        <f>IFERROR(__xludf.DUMMYFUNCTION("GOOGLETRANSLATE(A57,""zh-tw"",""ja"")"),"2025/4/13に「料理」ページを新規作成しました")</f>
        <v>2025/4/13に「料理」ページを新規作成しました</v>
      </c>
      <c r="C57" s="65" t="s">
        <v>309</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310</v>
      </c>
      <c r="J57" s="7" t="s">
        <v>311</v>
      </c>
      <c r="K57" s="7" t="s">
        <v>312</v>
      </c>
      <c r="L57" s="66"/>
      <c r="M57" s="66"/>
      <c r="N57" s="66"/>
      <c r="O57" s="66"/>
      <c r="P57" s="66"/>
      <c r="Q57" s="66"/>
      <c r="R57" s="66"/>
      <c r="S57" s="66"/>
      <c r="T57" s="66"/>
      <c r="U57" s="66"/>
      <c r="V57" s="66"/>
      <c r="W57" s="66"/>
      <c r="X57" s="66"/>
      <c r="Y57" s="66"/>
    </row>
    <row r="58">
      <c r="A58" s="65" t="s">
        <v>313</v>
      </c>
      <c r="B58" s="65" t="str">
        <f>IFERROR(__xludf.DUMMYFUNCTION("GOOGLETRANSLATE(A58,""zh-tw"",""ja"")"),"2025年4月6日（S32〜34）にバージョン0.721にアップデートされました。")</f>
        <v>2025年4月6日（S32〜34）にバージョン0.721にアップデートされました。</v>
      </c>
      <c r="C58" s="65" t="s">
        <v>314</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315</v>
      </c>
      <c r="J58" s="7" t="s">
        <v>316</v>
      </c>
      <c r="K58" s="7" t="s">
        <v>317</v>
      </c>
      <c r="L58" s="66"/>
      <c r="M58" s="66"/>
      <c r="N58" s="66"/>
      <c r="O58" s="66"/>
      <c r="P58" s="66"/>
      <c r="Q58" s="66"/>
      <c r="R58" s="66"/>
      <c r="S58" s="66"/>
      <c r="T58" s="66"/>
      <c r="U58" s="66"/>
      <c r="V58" s="66"/>
      <c r="W58" s="66"/>
      <c r="X58" s="66"/>
      <c r="Y58" s="66"/>
    </row>
    <row r="59">
      <c r="A59" s="65" t="s">
        <v>318</v>
      </c>
      <c r="B59" s="65" t="s">
        <v>319</v>
      </c>
      <c r="C59" s="65" t="s">
        <v>320</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321</v>
      </c>
      <c r="J59" s="7" t="s">
        <v>322</v>
      </c>
      <c r="K59" s="7" t="s">
        <v>323</v>
      </c>
      <c r="L59" s="66"/>
      <c r="M59" s="66"/>
      <c r="N59" s="66"/>
      <c r="O59" s="66"/>
      <c r="P59" s="66"/>
      <c r="Q59" s="66"/>
      <c r="R59" s="66"/>
      <c r="S59" s="66"/>
      <c r="T59" s="66"/>
      <c r="U59" s="66"/>
      <c r="V59" s="66"/>
      <c r="W59" s="66"/>
      <c r="X59" s="66"/>
      <c r="Y59" s="66"/>
    </row>
    <row r="60">
      <c r="A60" s="65" t="s">
        <v>324</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325</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326</v>
      </c>
      <c r="J60" s="7" t="s">
        <v>327</v>
      </c>
      <c r="K60" s="7" t="s">
        <v>328</v>
      </c>
      <c r="L60" s="66"/>
      <c r="M60" s="66"/>
      <c r="N60" s="66"/>
      <c r="O60" s="66"/>
      <c r="P60" s="66"/>
      <c r="Q60" s="66"/>
      <c r="R60" s="66"/>
      <c r="S60" s="66"/>
      <c r="T60" s="66"/>
      <c r="U60" s="66"/>
      <c r="V60" s="66"/>
      <c r="W60" s="66"/>
      <c r="X60" s="66"/>
      <c r="Y60" s="66"/>
    </row>
    <row r="61">
      <c r="A61" s="65" t="s">
        <v>329</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330</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331</v>
      </c>
      <c r="J61" s="7" t="s">
        <v>332</v>
      </c>
      <c r="K61" s="7" t="s">
        <v>333</v>
      </c>
      <c r="L61" s="66"/>
      <c r="M61" s="66"/>
      <c r="N61" s="66"/>
      <c r="O61" s="66"/>
      <c r="P61" s="66"/>
      <c r="Q61" s="66"/>
      <c r="R61" s="66"/>
      <c r="S61" s="66"/>
      <c r="T61" s="66"/>
      <c r="U61" s="66"/>
      <c r="V61" s="66"/>
      <c r="W61" s="66"/>
      <c r="X61" s="66"/>
      <c r="Y61" s="66"/>
    </row>
    <row r="62">
      <c r="A62" s="65" t="s">
        <v>334</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335</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IFERROR(__xludf.DUMMYFUNCTION("GOOGLETRANSLATE(A62,""zh-tw"",""DE"")"),"Aktualisierung vom 25. März 2025: Kartennamen und einige Inhalte innerhalb der Veranstaltung wurden korrigiert.")</f>
        <v>Aktualisierung vom 25. März 2025: Kartennamen und einige Inhalte innerhalb der Veranstaltung wurden korrigiert.</v>
      </c>
      <c r="I62" s="67" t="s">
        <v>336</v>
      </c>
      <c r="J62" s="7" t="s">
        <v>337</v>
      </c>
      <c r="K62" s="7" t="s">
        <v>338</v>
      </c>
      <c r="L62" s="66"/>
      <c r="M62" s="66"/>
      <c r="N62" s="66"/>
      <c r="O62" s="66"/>
      <c r="P62" s="66"/>
      <c r="Q62" s="66"/>
      <c r="R62" s="66"/>
      <c r="S62" s="66"/>
      <c r="T62" s="66"/>
      <c r="U62" s="66"/>
      <c r="V62" s="66"/>
      <c r="W62" s="66"/>
      <c r="X62" s="66"/>
      <c r="Y62" s="66"/>
    </row>
    <row r="63">
      <c r="A63" s="65" t="s">
        <v>339</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340</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341</v>
      </c>
      <c r="J63" s="7" t="s">
        <v>342</v>
      </c>
      <c r="K63" s="7" t="s">
        <v>343</v>
      </c>
      <c r="L63" s="66"/>
      <c r="M63" s="66"/>
      <c r="N63" s="66"/>
      <c r="O63" s="66"/>
      <c r="P63" s="66"/>
      <c r="Q63" s="66"/>
      <c r="R63" s="66"/>
      <c r="S63" s="66"/>
      <c r="T63" s="66"/>
      <c r="U63" s="66"/>
      <c r="V63" s="66"/>
      <c r="W63" s="66"/>
      <c r="X63" s="66"/>
      <c r="Y63" s="66"/>
    </row>
    <row r="64">
      <c r="A64" s="65" t="s">
        <v>344</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345</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346</v>
      </c>
      <c r="J64" s="7" t="s">
        <v>347</v>
      </c>
      <c r="K64" s="7" t="s">
        <v>348</v>
      </c>
      <c r="L64" s="66"/>
      <c r="M64" s="66"/>
      <c r="N64" s="66"/>
      <c r="O64" s="66"/>
      <c r="P64" s="66"/>
      <c r="Q64" s="66"/>
      <c r="R64" s="66"/>
      <c r="S64" s="66"/>
      <c r="T64" s="66"/>
      <c r="U64" s="66"/>
      <c r="V64" s="66"/>
      <c r="W64" s="66"/>
      <c r="X64" s="66"/>
      <c r="Y64" s="66"/>
    </row>
    <row r="65">
      <c r="A65" s="65" t="s">
        <v>349</v>
      </c>
      <c r="B65" s="65" t="str">
        <f>IFERROR(__xludf.DUMMYFUNCTION("GOOGLETRANSLATE(A65,""zh-tw"",""ja"")"),"2025/3/16にバージョン0.7の情報を更新しました")</f>
        <v>2025/3/16にバージョン0.7の情報を更新しました</v>
      </c>
      <c r="C65" s="65" t="s">
        <v>350</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351</v>
      </c>
      <c r="J65" s="7" t="s">
        <v>352</v>
      </c>
      <c r="K65" s="7" t="s">
        <v>353</v>
      </c>
      <c r="L65" s="66"/>
      <c r="M65" s="66"/>
      <c r="N65" s="66"/>
      <c r="O65" s="66"/>
      <c r="P65" s="66"/>
      <c r="Q65" s="66"/>
      <c r="R65" s="66"/>
      <c r="S65" s="66"/>
      <c r="T65" s="66"/>
      <c r="U65" s="66"/>
      <c r="V65" s="66"/>
      <c r="W65" s="66"/>
      <c r="X65" s="66"/>
      <c r="Y65" s="66"/>
    </row>
    <row r="66">
      <c r="A66" s="65" t="s">
        <v>354</v>
      </c>
      <c r="B66" s="65" t="str">
        <f>IFERROR(__xludf.DUMMYFUNCTION("GOOGLETRANSLATE(A66,""zh-tw"",""ja"")"),"2025/3/15にステータスページネーションを追加しました")</f>
        <v>2025/3/15にステータスページネーションを追加しました</v>
      </c>
      <c r="C66" s="65" t="s">
        <v>355</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356</v>
      </c>
      <c r="J66" s="7" t="s">
        <v>357</v>
      </c>
      <c r="K66" s="7" t="s">
        <v>358</v>
      </c>
      <c r="L66" s="66"/>
      <c r="M66" s="66"/>
      <c r="N66" s="66"/>
      <c r="O66" s="66"/>
      <c r="P66" s="66"/>
      <c r="Q66" s="66"/>
      <c r="R66" s="66"/>
      <c r="S66" s="66"/>
      <c r="T66" s="66"/>
      <c r="U66" s="66"/>
      <c r="V66" s="66"/>
      <c r="W66" s="66"/>
      <c r="X66" s="66"/>
      <c r="Y66" s="66"/>
    </row>
    <row r="67">
      <c r="A67" s="65" t="s">
        <v>359</v>
      </c>
      <c r="B67" s="65" t="str">
        <f>IFERROR(__xludf.DUMMYFUNCTION("GOOGLETRANSLATE(A67,""zh-tw"",""ja"")"),"2025/3/13にTIPSを更新しました")</f>
        <v>2025/3/13にTIPSを更新しました</v>
      </c>
      <c r="C67" s="65" t="s">
        <v>360</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361</v>
      </c>
      <c r="J67" s="7" t="s">
        <v>362</v>
      </c>
      <c r="K67" s="7" t="s">
        <v>363</v>
      </c>
      <c r="L67" s="66"/>
      <c r="M67" s="66"/>
      <c r="N67" s="66"/>
      <c r="O67" s="66"/>
      <c r="P67" s="66"/>
      <c r="Q67" s="66"/>
      <c r="R67" s="66"/>
      <c r="S67" s="66"/>
      <c r="T67" s="66"/>
      <c r="U67" s="66"/>
      <c r="V67" s="66"/>
      <c r="W67" s="66"/>
      <c r="X67" s="66"/>
      <c r="Y67" s="66"/>
    </row>
    <row r="68">
      <c r="A68" s="65" t="s">
        <v>364</v>
      </c>
      <c r="B68" s="65" t="str">
        <f>IFERROR(__xludf.DUMMYFUNCTION("GOOGLETRANSLATE(A68,""zh-tw"",""ja"")"),"2025 年 3 月 12 日: 武器、防具、アイテムのページを再設計しました。")</f>
        <v>2025 年 3 月 12 日: 武器、防具、アイテムのページを再設計しました。</v>
      </c>
      <c r="C68" s="65" t="s">
        <v>365</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366</v>
      </c>
      <c r="J68" s="7" t="s">
        <v>367</v>
      </c>
      <c r="K68" s="7" t="s">
        <v>368</v>
      </c>
      <c r="L68" s="66"/>
      <c r="M68" s="66"/>
      <c r="N68" s="66"/>
      <c r="O68" s="66"/>
      <c r="P68" s="66"/>
      <c r="Q68" s="66"/>
      <c r="R68" s="66"/>
      <c r="S68" s="66"/>
      <c r="T68" s="66"/>
      <c r="U68" s="66"/>
      <c r="V68" s="66"/>
      <c r="W68" s="66"/>
      <c r="X68" s="66"/>
      <c r="Y68" s="66"/>
    </row>
    <row r="69">
      <c r="A69" s="65" t="s">
        <v>369</v>
      </c>
      <c r="B69" s="65" t="str">
        <f>IFERROR(__xludf.DUMMYFUNCTION("GOOGLETRANSLATE(A69,""zh-tw"",""ja"")"),"アップデートのお知らせ（2025年3月10日）")</f>
        <v>アップデートのお知らせ（2025年3月10日）</v>
      </c>
      <c r="C69" s="65" t="s">
        <v>370</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371</v>
      </c>
      <c r="J69" s="7" t="s">
        <v>372</v>
      </c>
      <c r="K69" s="7" t="s">
        <v>373</v>
      </c>
      <c r="L69" s="66"/>
      <c r="M69" s="66"/>
      <c r="N69" s="66"/>
      <c r="O69" s="66"/>
      <c r="P69" s="66"/>
      <c r="Q69" s="66"/>
      <c r="R69" s="66"/>
      <c r="S69" s="66"/>
      <c r="T69" s="66"/>
      <c r="U69" s="66"/>
      <c r="V69" s="66"/>
      <c r="W69" s="66"/>
      <c r="X69" s="66"/>
      <c r="Y69" s="66"/>
    </row>
    <row r="70">
      <c r="A70" s="65" t="s">
        <v>374</v>
      </c>
      <c r="B70" s="65" t="str">
        <f>IFERROR(__xludf.DUMMYFUNCTION("GOOGLETRANSLATE(A70,""zh-tw"",""ja"")"),"アップデートのお知らせ（2025年2月10日）")</f>
        <v>アップデートのお知らせ（2025年2月10日）</v>
      </c>
      <c r="C70" s="65" t="s">
        <v>375</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376</v>
      </c>
      <c r="J70" s="7" t="s">
        <v>377</v>
      </c>
      <c r="K70" s="7" t="s">
        <v>378</v>
      </c>
      <c r="L70" s="66"/>
      <c r="M70" s="66"/>
      <c r="N70" s="66"/>
      <c r="O70" s="66"/>
      <c r="P70" s="66"/>
      <c r="Q70" s="66"/>
      <c r="R70" s="66"/>
      <c r="S70" s="66"/>
      <c r="T70" s="66"/>
      <c r="U70" s="66"/>
      <c r="V70" s="66"/>
      <c r="W70" s="66"/>
      <c r="X70" s="66"/>
      <c r="Y70" s="66"/>
    </row>
    <row r="71">
      <c r="A71" s="65" t="s">
        <v>379</v>
      </c>
      <c r="B71" s="65" t="str">
        <f>IFERROR(__xludf.DUMMYFUNCTION("GOOGLETRANSLATE(A71,""zh-tw"",""ja"")"),"2025年2月4日：バージョン0.65 Bを追加しました。")</f>
        <v>2025年2月4日：バージョン0.65 Bを追加しました。</v>
      </c>
      <c r="C71" s="65" t="s">
        <v>380</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381</v>
      </c>
      <c r="J71" s="7" t="s">
        <v>382</v>
      </c>
      <c r="K71" s="7" t="s">
        <v>383</v>
      </c>
      <c r="L71" s="66"/>
      <c r="M71" s="66"/>
      <c r="N71" s="66"/>
      <c r="O71" s="66"/>
      <c r="P71" s="66"/>
      <c r="Q71" s="66"/>
      <c r="R71" s="66"/>
      <c r="S71" s="66"/>
      <c r="T71" s="66"/>
      <c r="U71" s="66"/>
      <c r="V71" s="66"/>
      <c r="W71" s="66"/>
      <c r="X71" s="66"/>
      <c r="Y71" s="66"/>
    </row>
    <row r="72">
      <c r="A72" s="65" t="s">
        <v>384</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385</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386</v>
      </c>
      <c r="J72" s="7" t="s">
        <v>387</v>
      </c>
      <c r="K72" s="7" t="s">
        <v>388</v>
      </c>
      <c r="L72" s="66"/>
      <c r="M72" s="66"/>
      <c r="N72" s="66"/>
      <c r="O72" s="66"/>
      <c r="P72" s="66"/>
      <c r="Q72" s="66"/>
      <c r="R72" s="66"/>
      <c r="S72" s="66"/>
      <c r="T72" s="66"/>
      <c r="U72" s="66"/>
      <c r="V72" s="66"/>
      <c r="W72" s="66"/>
      <c r="X72" s="66"/>
      <c r="Y72" s="66"/>
    </row>
    <row r="73">
      <c r="A73" s="65" t="s">
        <v>389</v>
      </c>
      <c r="B73" s="65" t="str">
        <f>IFERROR(__xludf.DUMMYFUNCTION("GOOGLETRANSLATE(A73,""zh-tw"",""ja"")"),"2025年2月2日：イベントとアーマーを含むバージョン0.65Aを追加しました。")</f>
        <v>2025年2月2日：イベントとアーマーを含むバージョン0.65Aを追加しました。</v>
      </c>
      <c r="C73" s="65" t="s">
        <v>390</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391</v>
      </c>
      <c r="J73" s="7" t="s">
        <v>392</v>
      </c>
      <c r="K73" s="7" t="s">
        <v>393</v>
      </c>
      <c r="L73" s="66"/>
      <c r="M73" s="66"/>
      <c r="N73" s="66"/>
      <c r="O73" s="66"/>
      <c r="P73" s="66"/>
      <c r="Q73" s="66"/>
      <c r="R73" s="66"/>
      <c r="S73" s="66"/>
      <c r="T73" s="66"/>
      <c r="U73" s="66"/>
      <c r="V73" s="66"/>
      <c r="W73" s="66"/>
      <c r="X73" s="66"/>
      <c r="Y73" s="66"/>
    </row>
    <row r="74">
      <c r="A74" s="65" t="s">
        <v>394</v>
      </c>
      <c r="B74" s="65" t="str">
        <f>IFERROR(__xludf.DUMMYFUNCTION("GOOGLETRANSLATE(A74,""zh-tw"",""ja"")"),"2025年1月15日の地図ライブラリ情報更新")</f>
        <v>2025年1月15日の地図ライブラリ情報更新</v>
      </c>
      <c r="C74" s="65" t="s">
        <v>395</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396</v>
      </c>
      <c r="J74" s="7" t="s">
        <v>397</v>
      </c>
      <c r="K74" s="7" t="s">
        <v>398</v>
      </c>
      <c r="L74" s="66"/>
      <c r="M74" s="66"/>
      <c r="N74" s="66"/>
      <c r="O74" s="66"/>
      <c r="P74" s="66"/>
      <c r="Q74" s="66"/>
      <c r="R74" s="66"/>
      <c r="S74" s="66"/>
      <c r="T74" s="66"/>
      <c r="U74" s="66"/>
      <c r="V74" s="66"/>
      <c r="W74" s="66"/>
      <c r="X74" s="66"/>
      <c r="Y74" s="66"/>
    </row>
    <row r="75">
      <c r="A75" s="65" t="s">
        <v>399</v>
      </c>
      <c r="B75" s="65" t="str">
        <f>IFERROR(__xludf.DUMMYFUNCTION("GOOGLETRANSLATE(A75,""zh-tw"",""ja"")"),"2025年1月13日: バージョン0.61の情報を追加しました: イベント")</f>
        <v>2025年1月13日: バージョン0.61の情報を追加しました: イベント</v>
      </c>
      <c r="C75" s="65" t="s">
        <v>400</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401</v>
      </c>
      <c r="J75" s="7" t="s">
        <v>402</v>
      </c>
      <c r="K75" s="7" t="s">
        <v>403</v>
      </c>
      <c r="L75" s="66"/>
      <c r="M75" s="66"/>
      <c r="N75" s="66"/>
      <c r="O75" s="66"/>
      <c r="P75" s="66"/>
      <c r="Q75" s="66"/>
      <c r="R75" s="66"/>
      <c r="S75" s="66"/>
      <c r="T75" s="66"/>
      <c r="U75" s="66"/>
      <c r="V75" s="66"/>
      <c r="W75" s="66"/>
      <c r="X75" s="66"/>
      <c r="Y75" s="66"/>
    </row>
    <row r="76">
      <c r="A76" s="65" t="s">
        <v>404</v>
      </c>
      <c r="B76" s="65" t="str">
        <f>IFERROR(__xludf.DUMMYFUNCTION("GOOGLETRANSLATE(A76,""zh-tw"",""ja"")"),"2025年1月6日: 0.6Cバージョン情報を追加: アーマー")</f>
        <v>2025年1月6日: 0.6Cバージョン情報を追加: アーマー</v>
      </c>
      <c r="C76" s="65" t="s">
        <v>405</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406</v>
      </c>
      <c r="J76" s="7" t="s">
        <v>407</v>
      </c>
      <c r="K76" s="7" t="s">
        <v>408</v>
      </c>
      <c r="L76" s="66"/>
      <c r="M76" s="66"/>
      <c r="N76" s="66"/>
      <c r="O76" s="66"/>
      <c r="P76" s="66"/>
      <c r="Q76" s="66"/>
      <c r="R76" s="66"/>
      <c r="S76" s="66"/>
      <c r="T76" s="66"/>
      <c r="U76" s="66"/>
      <c r="V76" s="66"/>
      <c r="W76" s="66"/>
      <c r="X76" s="66"/>
      <c r="Y76" s="66"/>
    </row>
    <row r="77">
      <c r="A77" s="65" t="s">
        <v>409</v>
      </c>
      <c r="B77" s="65" t="str">
        <f>IFERROR(__xludf.DUMMYFUNCTION("GOOGLETRANSLATE(A77,""zh-tw"",""ja"")"),"2025年1月5日: バージョン0.6Bの情報を追加: イベント")</f>
        <v>2025年1月5日: バージョン0.6Bの情報を追加: イベント</v>
      </c>
      <c r="C77" s="65" t="s">
        <v>410</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411</v>
      </c>
      <c r="J77" s="7" t="s">
        <v>412</v>
      </c>
      <c r="K77" s="7" t="s">
        <v>413</v>
      </c>
      <c r="L77" s="66"/>
      <c r="M77" s="66"/>
      <c r="N77" s="66"/>
      <c r="O77" s="66"/>
      <c r="P77" s="66"/>
      <c r="Q77" s="66"/>
      <c r="R77" s="66"/>
      <c r="S77" s="66"/>
      <c r="T77" s="66"/>
      <c r="U77" s="66"/>
      <c r="V77" s="66"/>
      <c r="W77" s="66"/>
      <c r="X77" s="66"/>
      <c r="Y77" s="66"/>
    </row>
    <row r="78">
      <c r="A78" s="65" t="s">
        <v>414</v>
      </c>
      <c r="B78" s="65" t="str">
        <f>IFERROR(__xludf.DUMMYFUNCTION("GOOGLETRANSLATE(A78,""zh-tw"",""ja"")"),"2025年1月3日: バージョン0.6Aの情報を追加しました: イベント")</f>
        <v>2025年1月3日: バージョン0.6Aの情報を追加しました: イベント</v>
      </c>
      <c r="C78" s="65" t="s">
        <v>415</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416</v>
      </c>
      <c r="J78" s="7" t="s">
        <v>417</v>
      </c>
      <c r="K78" s="7" t="s">
        <v>418</v>
      </c>
      <c r="L78" s="66"/>
      <c r="M78" s="66"/>
      <c r="N78" s="66"/>
      <c r="O78" s="66"/>
      <c r="P78" s="66"/>
      <c r="Q78" s="66"/>
      <c r="R78" s="66"/>
      <c r="S78" s="66"/>
      <c r="T78" s="66"/>
      <c r="U78" s="66"/>
      <c r="V78" s="66"/>
      <c r="W78" s="66"/>
      <c r="X78" s="66"/>
      <c r="Y78" s="66"/>
    </row>
    <row r="79">
      <c r="A79" s="65" t="s">
        <v>419</v>
      </c>
      <c r="B79" s="65" t="str">
        <f>IFERROR(__xludf.DUMMYFUNCTION("GOOGLETRANSLATE(A79,""zh-tw"",""ja"")"),"2025/1/2 バージョン0.6の情報を追加しました")</f>
        <v>2025/1/2 バージョン0.6の情報を追加しました</v>
      </c>
      <c r="C79" s="65" t="s">
        <v>420</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421</v>
      </c>
      <c r="J79" s="7" t="s">
        <v>422</v>
      </c>
      <c r="K79" s="7" t="s">
        <v>423</v>
      </c>
      <c r="L79" s="66"/>
      <c r="M79" s="66"/>
      <c r="N79" s="66"/>
      <c r="O79" s="66"/>
      <c r="P79" s="66"/>
      <c r="Q79" s="66"/>
      <c r="R79" s="66"/>
      <c r="S79" s="66"/>
      <c r="T79" s="66"/>
      <c r="U79" s="66"/>
      <c r="V79" s="66"/>
      <c r="W79" s="66"/>
      <c r="X79" s="66"/>
      <c r="Y79" s="66"/>
    </row>
    <row r="80">
      <c r="A80" s="65" t="s">
        <v>424</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425</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426</v>
      </c>
      <c r="J80" s="7" t="s">
        <v>427</v>
      </c>
      <c r="K80" s="7" t="s">
        <v>428</v>
      </c>
      <c r="L80" s="66"/>
      <c r="M80" s="66"/>
      <c r="N80" s="66"/>
      <c r="O80" s="66"/>
      <c r="P80" s="66"/>
      <c r="Q80" s="66"/>
      <c r="R80" s="66"/>
      <c r="S80" s="66"/>
      <c r="T80" s="66"/>
      <c r="U80" s="66"/>
      <c r="V80" s="66"/>
      <c r="W80" s="66"/>
      <c r="X80" s="66"/>
      <c r="Y80" s="66"/>
    </row>
    <row r="81">
      <c r="A81" s="65" t="s">
        <v>429</v>
      </c>
      <c r="B81" s="65" t="str">
        <f>IFERROR(__xludf.DUMMYFUNCTION("GOOGLETRANSLATE(A81,""zh-tw"",""ja"")"),"2024/12/2 0.55情報追加 - イベント")</f>
        <v>2024/12/2 0.55情報追加 - イベント</v>
      </c>
      <c r="C81" s="65" t="s">
        <v>430</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431</v>
      </c>
      <c r="J81" s="7" t="s">
        <v>432</v>
      </c>
      <c r="K81" s="7" t="s">
        <v>433</v>
      </c>
      <c r="L81" s="66"/>
      <c r="M81" s="66"/>
      <c r="N81" s="66"/>
      <c r="O81" s="66"/>
      <c r="P81" s="66"/>
      <c r="Q81" s="66"/>
      <c r="R81" s="66"/>
      <c r="S81" s="66"/>
      <c r="T81" s="66"/>
      <c r="U81" s="66"/>
      <c r="V81" s="66"/>
      <c r="W81" s="66"/>
      <c r="X81" s="66"/>
      <c r="Y81" s="66"/>
    </row>
    <row r="82">
      <c r="A82" s="65" t="s">
        <v>434</v>
      </c>
      <c r="B82" s="65" t="str">
        <f>IFERROR(__xludf.DUMMYFUNCTION("GOOGLETRANSLATE(A82,""zh-tw"",""ja"")"),"2024/11/29に遺跡関連マップを追加しました")</f>
        <v>2024/11/29に遺跡関連マップを追加しました</v>
      </c>
      <c r="C82" s="65" t="s">
        <v>435</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436</v>
      </c>
      <c r="J82" s="7" t="s">
        <v>437</v>
      </c>
      <c r="K82" s="7" t="s">
        <v>438</v>
      </c>
      <c r="L82" s="66"/>
      <c r="M82" s="66"/>
      <c r="N82" s="66"/>
      <c r="O82" s="66"/>
      <c r="P82" s="66"/>
      <c r="Q82" s="66"/>
      <c r="R82" s="66"/>
      <c r="S82" s="66"/>
      <c r="T82" s="66"/>
      <c r="U82" s="66"/>
      <c r="V82" s="66"/>
      <c r="W82" s="66"/>
      <c r="X82" s="66"/>
      <c r="Y82" s="66"/>
    </row>
    <row r="83">
      <c r="A83" s="65" t="s">
        <v>439</v>
      </c>
      <c r="B83" s="65" t="str">
        <f>IFERROR(__xludf.DUMMYFUNCTION("GOOGLETRANSLATE(A83,""zh-tw"",""ja"")"),"2024/11/24 0.5C版コンテンツ追加 - イベント、モンスター情報、ヒント")</f>
        <v>2024/11/24 0.5C版コンテンツ追加 - イベント、モンスター情報、ヒント</v>
      </c>
      <c r="C83" s="65" t="s">
        <v>440</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441</v>
      </c>
      <c r="J83" s="7" t="s">
        <v>442</v>
      </c>
      <c r="K83" s="7" t="s">
        <v>443</v>
      </c>
      <c r="L83" s="66"/>
      <c r="M83" s="66"/>
      <c r="N83" s="66"/>
      <c r="O83" s="66"/>
      <c r="P83" s="66"/>
      <c r="Q83" s="66"/>
      <c r="R83" s="66"/>
      <c r="S83" s="66"/>
      <c r="T83" s="66"/>
      <c r="U83" s="66"/>
      <c r="V83" s="66"/>
      <c r="W83" s="66"/>
      <c r="X83" s="66"/>
      <c r="Y83" s="66"/>
    </row>
    <row r="84">
      <c r="A84" s="65" t="s">
        <v>444</v>
      </c>
      <c r="B84" s="65" t="str">
        <f>IFERROR(__xludf.DUMMYFUNCTION("GOOGLETRANSLATE(A84,""zh-tw"",""ja"")"),"2024/11/22にバージョン0.5Bのコンテンツを追加しました - イベント/通知")</f>
        <v>2024/11/22にバージョン0.5Bのコンテンツを追加しました - イベント/通知</v>
      </c>
      <c r="C84" s="65" t="s">
        <v>445</v>
      </c>
      <c r="D84" s="65" t="str">
        <f>IFERROR(__xludf.DUMMYFUNCTION("GOOGLETRANSLATE(A84,""zh-tw"",""zh"")"),"2024/11/22 新增0.5B版本内容-事件/提示")</f>
        <v>2024/11/22 新增0.5B版本内容-事件/提示</v>
      </c>
      <c r="E84" s="28" t="str">
        <f>IFERROR(__xludf.DUMMYFUNCTION("GOOGLETRANSLATE(A84,""zh-tw"",""es-MX"")"),"Se agregó contenido de la versión 0.5B el 22/11/2024 - Eventos/Notificaciones")</f>
        <v>Se agregó contenido de la versión 0.5B el 22/11/2024 -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IFERROR(__xludf.DUMMYFUNCTION("GOOGLETRANSLATE(A84,""zh-tw"",""RU"")"),"Добавлен контент версии 0.5B 22.11.2024 - События/Уведомления")</f>
        <v>Добавлен контент версии 0.5B 22.11.2024 - События/Уведомления</v>
      </c>
      <c r="H84" s="28" t="str">
        <f>IFERROR(__xludf.DUMMYFUNCTION("GOOGLETRANSLATE(A84,""zh-tw"",""DE"")"),"Inhalte der Version 0.5B wurden am 22.11.2024 hinzugefügt – Ereignisse/Benachrichtigungen")</f>
        <v>Inhalte der Version 0.5B wurden am 22.11.2024 hinzugefügt – Ereignisse/Benachrichtigungen</v>
      </c>
      <c r="I84" s="67" t="s">
        <v>446</v>
      </c>
      <c r="J84" s="7" t="s">
        <v>447</v>
      </c>
      <c r="K84" s="7" t="s">
        <v>448</v>
      </c>
      <c r="L84" s="66"/>
      <c r="M84" s="66"/>
      <c r="N84" s="66"/>
      <c r="O84" s="66"/>
      <c r="P84" s="66"/>
      <c r="Q84" s="66"/>
      <c r="R84" s="66"/>
      <c r="S84" s="66"/>
      <c r="T84" s="66"/>
      <c r="U84" s="66"/>
      <c r="V84" s="66"/>
      <c r="W84" s="66"/>
      <c r="X84" s="66"/>
      <c r="Y84" s="66"/>
    </row>
    <row r="85">
      <c r="A85" s="65" t="s">
        <v>449</v>
      </c>
      <c r="B85" s="65" t="str">
        <f>IFERROR(__xludf.DUMMYFUNCTION("GOOGLETRANSLATE(A85,""zh-tw"",""ja"")"),"2024/11/21にMAPファイルを追加しました")</f>
        <v>2024/11/21にMAPファイルを追加しました</v>
      </c>
      <c r="C85" s="65" t="s">
        <v>450</v>
      </c>
      <c r="D85" s="65" t="s">
        <v>451</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452</v>
      </c>
      <c r="J85" s="7" t="s">
        <v>453</v>
      </c>
      <c r="K85" s="7" t="s">
        <v>454</v>
      </c>
      <c r="L85" s="66"/>
      <c r="M85" s="66"/>
      <c r="N85" s="66"/>
      <c r="O85" s="66"/>
      <c r="P85" s="66"/>
      <c r="Q85" s="66"/>
      <c r="R85" s="66"/>
      <c r="S85" s="66"/>
      <c r="T85" s="66"/>
      <c r="U85" s="66"/>
      <c r="V85" s="66"/>
      <c r="W85" s="66"/>
      <c r="X85" s="66"/>
      <c r="Y85" s="66"/>
    </row>
    <row r="86">
      <c r="A86" s="65" t="s">
        <v>455</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456</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457</v>
      </c>
      <c r="J86" s="7" t="s">
        <v>458</v>
      </c>
      <c r="K86" s="7" t="s">
        <v>459</v>
      </c>
      <c r="L86" s="66"/>
      <c r="M86" s="66"/>
      <c r="N86" s="66"/>
      <c r="O86" s="66"/>
      <c r="P86" s="66"/>
      <c r="Q86" s="66"/>
      <c r="R86" s="66"/>
      <c r="S86" s="66"/>
      <c r="T86" s="66"/>
      <c r="U86" s="66"/>
      <c r="V86" s="66"/>
      <c r="W86" s="66"/>
      <c r="X86" s="66"/>
      <c r="Y86" s="66"/>
    </row>
    <row r="87">
      <c r="A87" s="65" t="s">
        <v>460</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461</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462</v>
      </c>
      <c r="J87" s="69" t="s">
        <v>463</v>
      </c>
      <c r="K87" s="7" t="s">
        <v>464</v>
      </c>
      <c r="L87" s="66"/>
      <c r="M87" s="66"/>
      <c r="N87" s="66"/>
      <c r="O87" s="66"/>
      <c r="P87" s="66"/>
      <c r="Q87" s="66"/>
      <c r="R87" s="66"/>
      <c r="S87" s="66"/>
      <c r="T87" s="66"/>
      <c r="U87" s="66"/>
      <c r="V87" s="66"/>
      <c r="W87" s="66"/>
      <c r="X87" s="66"/>
      <c r="Y87" s="66"/>
    </row>
    <row r="88">
      <c r="A88" s="65" t="s">
        <v>465</v>
      </c>
      <c r="B88" s="65" t="str">
        <f>IFERROR(__xludf.DUMMYFUNCTION("GOOGLETRANSLATE(A88,""zh-tw"",""ja"")"),"2024年11月2日：バージョン0.45のコンテンツを追加 - イベント/通知")</f>
        <v>2024年11月2日：バージョン0.45のコンテンツを追加 - イベント/通知</v>
      </c>
      <c r="C88" s="65" t="s">
        <v>466</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467</v>
      </c>
      <c r="J88" s="7" t="s">
        <v>468</v>
      </c>
      <c r="K88" s="7" t="s">
        <v>469</v>
      </c>
      <c r="L88" s="66"/>
      <c r="M88" s="66"/>
      <c r="N88" s="66"/>
      <c r="O88" s="66"/>
      <c r="P88" s="66"/>
      <c r="Q88" s="66"/>
      <c r="R88" s="66"/>
      <c r="S88" s="66"/>
      <c r="T88" s="66"/>
      <c r="U88" s="66"/>
      <c r="V88" s="66"/>
      <c r="W88" s="66"/>
      <c r="X88" s="66"/>
      <c r="Y88" s="66"/>
    </row>
    <row r="89">
      <c r="A89" s="65" t="s">
        <v>470</v>
      </c>
      <c r="B89" s="65" t="str">
        <f>IFERROR(__xludf.DUMMYFUNCTION("GOOGLETRANSLATE(A89,""zh-tw"",""ja"")"),"専用グラフィックカードの追加手順（2024/10/31）")</f>
        <v>専用グラフィックカードの追加手順（2024/10/31）</v>
      </c>
      <c r="C89" s="65" t="s">
        <v>471</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472</v>
      </c>
      <c r="J89" s="7" t="s">
        <v>473</v>
      </c>
      <c r="K89" s="7" t="s">
        <v>474</v>
      </c>
      <c r="L89" s="66"/>
      <c r="M89" s="66"/>
      <c r="N89" s="66"/>
      <c r="O89" s="66"/>
      <c r="P89" s="66"/>
      <c r="Q89" s="66"/>
      <c r="R89" s="66"/>
      <c r="S89" s="66"/>
      <c r="T89" s="66"/>
      <c r="U89" s="66"/>
      <c r="V89" s="66"/>
      <c r="W89" s="66"/>
      <c r="X89" s="66"/>
      <c r="Y89" s="66"/>
    </row>
    <row r="90">
      <c r="A90" s="65" t="s">
        <v>475</v>
      </c>
      <c r="B90" s="65" t="str">
        <f>IFERROR(__xludf.DUMMYFUNCTION("GOOGLETRANSLATE(A90,""zh-tw"",""ja"")"),"2024/10/28にお知らせ内容を追加しました")</f>
        <v>2024/10/28にお知らせ内容を追加しました</v>
      </c>
      <c r="C90" s="65" t="s">
        <v>476</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477</v>
      </c>
      <c r="J90" s="7" t="s">
        <v>478</v>
      </c>
      <c r="K90" s="7" t="s">
        <v>479</v>
      </c>
      <c r="L90" s="66"/>
      <c r="M90" s="66"/>
      <c r="N90" s="66"/>
      <c r="O90" s="66"/>
      <c r="P90" s="66"/>
      <c r="Q90" s="66"/>
      <c r="R90" s="66"/>
      <c r="S90" s="66"/>
      <c r="T90" s="66"/>
      <c r="U90" s="66"/>
      <c r="V90" s="66"/>
      <c r="W90" s="66"/>
      <c r="X90" s="66"/>
      <c r="Y90" s="66"/>
    </row>
    <row r="91">
      <c r="A91" s="65" t="s">
        <v>480</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481</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482</v>
      </c>
      <c r="J91" s="7" t="s">
        <v>483</v>
      </c>
      <c r="K91" s="7" t="s">
        <v>484</v>
      </c>
      <c r="L91" s="66"/>
      <c r="M91" s="66"/>
      <c r="N91" s="66"/>
      <c r="O91" s="66"/>
      <c r="P91" s="66"/>
      <c r="Q91" s="66"/>
      <c r="R91" s="66"/>
      <c r="S91" s="66"/>
      <c r="T91" s="66"/>
      <c r="U91" s="66"/>
      <c r="V91" s="66"/>
      <c r="W91" s="66"/>
      <c r="X91" s="66"/>
      <c r="Y91" s="66"/>
    </row>
    <row r="92">
      <c r="A92" s="65" t="s">
        <v>485</v>
      </c>
      <c r="B92" s="65" t="str">
        <f>IFERROR(__xludf.DUMMYFUNCTION("GOOGLETRANSLATE(A92,""zh-tw"",""ja"")"),"2024年10月21日：バージョン0.4Aコンテンツ（ドロップ/装備/ヒント）を追加")</f>
        <v>2024年10月21日：バージョン0.4Aコンテンツ（ドロップ/装備/ヒント）を追加</v>
      </c>
      <c r="C92" s="65" t="s">
        <v>486</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487</v>
      </c>
      <c r="J92" s="7" t="s">
        <v>488</v>
      </c>
      <c r="K92" s="7" t="s">
        <v>489</v>
      </c>
      <c r="L92" s="66"/>
      <c r="M92" s="66"/>
      <c r="N92" s="66"/>
      <c r="O92" s="66"/>
      <c r="P92" s="66"/>
      <c r="Q92" s="66"/>
      <c r="R92" s="66"/>
      <c r="S92" s="66"/>
      <c r="T92" s="66"/>
      <c r="U92" s="66"/>
      <c r="V92" s="66"/>
      <c r="W92" s="66"/>
      <c r="X92" s="66"/>
      <c r="Y92" s="66"/>
    </row>
    <row r="93">
      <c r="A93" s="65" t="s">
        <v>490</v>
      </c>
      <c r="B93" s="65" t="str">
        <f>IFERROR(__xludf.DUMMYFUNCTION("GOOGLETRANSLATE(A93,""zh-tw"",""ja"")"),"2024/10/15にマップとイベント番号表を追加しました")</f>
        <v>2024/10/15にマップとイベント番号表を追加しました</v>
      </c>
      <c r="C93" s="65" t="s">
        <v>491</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492</v>
      </c>
      <c r="J93" s="7" t="s">
        <v>493</v>
      </c>
      <c r="K93" s="7" t="s">
        <v>494</v>
      </c>
      <c r="L93" s="66"/>
      <c r="M93" s="66"/>
      <c r="N93" s="66"/>
      <c r="O93" s="66"/>
      <c r="P93" s="66"/>
      <c r="Q93" s="66"/>
      <c r="R93" s="66"/>
      <c r="S93" s="66"/>
      <c r="T93" s="66"/>
      <c r="U93" s="66"/>
      <c r="V93" s="66"/>
      <c r="W93" s="66"/>
      <c r="X93" s="66"/>
      <c r="Y93" s="66"/>
    </row>
    <row r="94">
      <c r="A94" s="65" t="s">
        <v>495</v>
      </c>
      <c r="B94" s="65" t="str">
        <f>IFERROR(__xludf.DUMMYFUNCTION("GOOGLETRANSLATE(A94,""zh-tw"",""ja"")"),"2024/10/15にいくつかのイベントと新しいイベント番号を追加しました。")</f>
        <v>2024/10/15にいくつかのイベントと新しいイベント番号を追加しました。</v>
      </c>
      <c r="C94" s="65" t="s">
        <v>496</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497</v>
      </c>
      <c r="J94" s="7" t="s">
        <v>498</v>
      </c>
      <c r="K94" s="7" t="s">
        <v>499</v>
      </c>
      <c r="L94" s="66"/>
      <c r="M94" s="66"/>
      <c r="N94" s="66"/>
      <c r="O94" s="66"/>
      <c r="P94" s="66"/>
      <c r="Q94" s="66"/>
      <c r="R94" s="66"/>
      <c r="S94" s="66"/>
      <c r="T94" s="66"/>
      <c r="U94" s="66"/>
      <c r="V94" s="66"/>
      <c r="W94" s="66"/>
      <c r="X94" s="66"/>
      <c r="Y94" s="66"/>
    </row>
    <row r="95">
      <c r="A95" s="65" t="s">
        <v>500</v>
      </c>
      <c r="B95" s="65" t="str">
        <f>IFERROR(__xludf.DUMMYFUNCTION("GOOGLETRANSLATE(A95,""zh-tw"",""ja"")"),"2024/10/14 書式を一部調整しました")</f>
        <v>2024/10/14 書式を一部調整しました</v>
      </c>
      <c r="C95" s="65" t="s">
        <v>501</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502</v>
      </c>
      <c r="J95" s="7" t="s">
        <v>503</v>
      </c>
      <c r="K95" s="7" t="s">
        <v>504</v>
      </c>
      <c r="L95" s="66"/>
      <c r="M95" s="66"/>
      <c r="N95" s="66"/>
      <c r="O95" s="66"/>
      <c r="P95" s="66"/>
      <c r="Q95" s="66"/>
      <c r="R95" s="66"/>
      <c r="S95" s="66"/>
      <c r="T95" s="66"/>
      <c r="U95" s="66"/>
      <c r="V95" s="66"/>
      <c r="W95" s="66"/>
      <c r="X95" s="66"/>
      <c r="Y95" s="66"/>
    </row>
    <row r="96">
      <c r="A96" s="65" t="s">
        <v>505</v>
      </c>
      <c r="B96" s="65" t="str">
        <f>IFERROR(__xludf.DUMMYFUNCTION("GOOGLETRANSLATE(A96,""zh-tw"",""ja"")"),"2024年10月13日に簡体字中国語翻訳を追加しました")</f>
        <v>2024年10月13日に簡体字中国語翻訳を追加しました</v>
      </c>
      <c r="C96" s="65" t="s">
        <v>506</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507</v>
      </c>
      <c r="J96" s="7" t="s">
        <v>508</v>
      </c>
      <c r="K96" s="7" t="s">
        <v>509</v>
      </c>
      <c r="L96" s="66"/>
      <c r="M96" s="66"/>
      <c r="N96" s="66"/>
      <c r="O96" s="66"/>
      <c r="P96" s="66"/>
      <c r="Q96" s="66"/>
      <c r="R96" s="66"/>
      <c r="S96" s="66"/>
      <c r="T96" s="66"/>
      <c r="U96" s="66"/>
      <c r="V96" s="66"/>
      <c r="W96" s="66"/>
      <c r="X96" s="66"/>
      <c r="Y96" s="66"/>
    </row>
    <row r="97">
      <c r="A97" s="65" t="s">
        <v>510</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511</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512</v>
      </c>
      <c r="J97" s="7" t="s">
        <v>513</v>
      </c>
      <c r="K97" s="7" t="s">
        <v>514</v>
      </c>
      <c r="L97" s="66"/>
      <c r="M97" s="66"/>
      <c r="N97" s="66"/>
      <c r="O97" s="66"/>
      <c r="P97" s="66"/>
      <c r="Q97" s="66"/>
      <c r="R97" s="66"/>
      <c r="S97" s="66"/>
      <c r="T97" s="66"/>
      <c r="U97" s="66"/>
      <c r="V97" s="66"/>
      <c r="W97" s="66"/>
      <c r="X97" s="66"/>
      <c r="Y97" s="66"/>
    </row>
    <row r="98">
      <c r="A98" s="65" t="s">
        <v>515</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516</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 및 알림 표 내용을 추가했습니다.")</f>
        <v>2024년 10월 10일: 새로운 이벤트 및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517</v>
      </c>
      <c r="J98" s="7" t="s">
        <v>518</v>
      </c>
      <c r="K98" s="7" t="s">
        <v>519</v>
      </c>
      <c r="L98" s="66"/>
      <c r="M98" s="66"/>
      <c r="N98" s="66"/>
      <c r="O98" s="66"/>
      <c r="P98" s="66"/>
      <c r="Q98" s="66"/>
      <c r="R98" s="66"/>
      <c r="S98" s="66"/>
      <c r="T98" s="66"/>
      <c r="U98" s="66"/>
      <c r="V98" s="66"/>
      <c r="W98" s="66"/>
      <c r="X98" s="66"/>
      <c r="Y98" s="66"/>
    </row>
    <row r="99">
      <c r="A99" s="65" t="s">
        <v>520</v>
      </c>
      <c r="B99" s="65" t="str">
        <f>IFERROR(__xludf.DUMMYFUNCTION("GOOGLETRANSLATE(A99,""zh-tw"",""ja"")"),"2024/10/9にイベントとお知らせを追加しました")</f>
        <v>2024/10/9にイベントとお知らせを追加しました</v>
      </c>
      <c r="C99" s="65" t="s">
        <v>521</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522</v>
      </c>
      <c r="J99" s="7" t="s">
        <v>523</v>
      </c>
      <c r="K99" s="7" t="s">
        <v>524</v>
      </c>
      <c r="L99" s="66"/>
      <c r="M99" s="66"/>
      <c r="N99" s="66"/>
      <c r="O99" s="66"/>
      <c r="P99" s="66"/>
      <c r="Q99" s="66"/>
      <c r="R99" s="66"/>
      <c r="S99" s="66"/>
      <c r="T99" s="66"/>
      <c r="U99" s="66"/>
      <c r="V99" s="66"/>
      <c r="W99" s="66"/>
      <c r="X99" s="66"/>
      <c r="Y99" s="66"/>
    </row>
    <row r="100">
      <c r="A100" s="65" t="s">
        <v>525</v>
      </c>
      <c r="B100" s="65" t="str">
        <f>IFERROR(__xludf.DUMMYFUNCTION("GOOGLETRANSLATE(A100,""zh-tw"",""ja"")"),"2024/10/8にイベントと通知表の内容を追加しました")</f>
        <v>2024/10/8にイベントと通知表の内容を追加しました</v>
      </c>
      <c r="C100" s="65" t="s">
        <v>526</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527</v>
      </c>
      <c r="J100" s="7" t="s">
        <v>528</v>
      </c>
      <c r="K100" s="7" t="s">
        <v>529</v>
      </c>
      <c r="L100" s="66"/>
      <c r="M100" s="66"/>
      <c r="N100" s="66"/>
      <c r="O100" s="66"/>
      <c r="P100" s="66"/>
      <c r="Q100" s="66"/>
      <c r="R100" s="66"/>
      <c r="S100" s="66"/>
      <c r="T100" s="66"/>
      <c r="U100" s="66"/>
      <c r="V100" s="66"/>
      <c r="W100" s="66"/>
      <c r="X100" s="66"/>
      <c r="Y100" s="66"/>
    </row>
    <row r="101">
      <c r="A101" s="65" t="s">
        <v>530</v>
      </c>
      <c r="B101" s="65" t="str">
        <f>IFERROR(__xludf.DUMMYFUNCTION("GOOGLETRANSLATE(A101,""zh-tw"",""ja"")"),"2024/10/7に通知表を追加しました")</f>
        <v>2024/10/7に通知表を追加しました</v>
      </c>
      <c r="C101" s="65" t="s">
        <v>531</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532</v>
      </c>
      <c r="J101" s="7" t="s">
        <v>533</v>
      </c>
      <c r="K101" s="7" t="s">
        <v>534</v>
      </c>
      <c r="L101" s="66"/>
      <c r="M101" s="66"/>
      <c r="N101" s="66"/>
      <c r="O101" s="66"/>
      <c r="P101" s="66"/>
      <c r="Q101" s="66"/>
      <c r="R101" s="66"/>
      <c r="S101" s="66"/>
      <c r="T101" s="66"/>
      <c r="U101" s="66"/>
      <c r="V101" s="66"/>
      <c r="W101" s="66"/>
      <c r="X101" s="66"/>
      <c r="Y101" s="66"/>
    </row>
    <row r="102">
      <c r="A102" s="4" t="s">
        <v>535</v>
      </c>
      <c r="B102" s="70" t="s">
        <v>536</v>
      </c>
      <c r="C102" s="65" t="s">
        <v>537</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538</v>
      </c>
      <c r="J102" s="69" t="s">
        <v>539</v>
      </c>
      <c r="K102" s="7" t="s">
        <v>540</v>
      </c>
      <c r="L102" s="66"/>
      <c r="M102" s="66"/>
      <c r="N102" s="66"/>
      <c r="O102" s="66"/>
      <c r="P102" s="66"/>
      <c r="Q102" s="66"/>
      <c r="R102" s="66"/>
      <c r="S102" s="66"/>
      <c r="T102" s="66"/>
      <c r="U102" s="66"/>
      <c r="V102" s="66"/>
      <c r="W102" s="66"/>
      <c r="X102" s="66"/>
      <c r="Y102" s="66"/>
    </row>
    <row r="103">
      <c r="A103" s="65" t="s">
        <v>541</v>
      </c>
      <c r="B103" s="65" t="str">
        <f>IFERROR(__xludf.DUMMYFUNCTION("GOOGLETRANSLATE(A103,""zh-tw"",""ja"")"),"2024年10月6日に全ページ編集・調整しました")</f>
        <v>2024年10月6日に全ページ編集・調整しました</v>
      </c>
      <c r="C103" s="65" t="s">
        <v>542</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543</v>
      </c>
      <c r="J103" s="7" t="s">
        <v>544</v>
      </c>
      <c r="K103" s="7" t="s">
        <v>545</v>
      </c>
      <c r="L103" s="66"/>
      <c r="M103" s="66"/>
      <c r="N103" s="66"/>
      <c r="O103" s="66"/>
      <c r="P103" s="66"/>
      <c r="Q103" s="66"/>
      <c r="R103" s="66"/>
      <c r="S103" s="66"/>
      <c r="T103" s="66"/>
      <c r="U103" s="66"/>
      <c r="V103" s="66"/>
      <c r="W103" s="66"/>
      <c r="X103" s="66"/>
      <c r="Y103" s="66"/>
    </row>
    <row r="104">
      <c r="A104" s="65" t="s">
        <v>546</v>
      </c>
      <c r="B104" s="65" t="str">
        <f>IFERROR(__xludf.DUMMYFUNCTION("GOOGLETRANSLATE(A104,""zh-tw"",""ja"")"),"2024年10月5日公開")</f>
        <v>2024年10月5日公開</v>
      </c>
      <c r="C104" s="65" t="s">
        <v>547</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548</v>
      </c>
      <c r="J104" s="7" t="s">
        <v>549</v>
      </c>
      <c r="K104" s="7" t="s">
        <v>550</v>
      </c>
      <c r="L104" s="66"/>
      <c r="M104" s="66"/>
      <c r="N104" s="66"/>
      <c r="O104" s="66"/>
      <c r="P104" s="66"/>
      <c r="Q104" s="66"/>
      <c r="R104" s="66"/>
      <c r="S104" s="66"/>
      <c r="T104" s="66"/>
      <c r="U104" s="66"/>
      <c r="V104" s="66"/>
      <c r="W104" s="66"/>
      <c r="X104" s="66"/>
      <c r="Y104" s="66"/>
    </row>
    <row r="105">
      <c r="A105" s="65" t="s">
        <v>551</v>
      </c>
      <c r="B105" s="65" t="str">
        <f>IFERROR(__xludf.DUMMYFUNCTION("GOOGLETRANSLATE(A105,""zh-tw"",""ja"")"),"初稿は2024年10月4日に完成")</f>
        <v>初稿は2024年10月4日に完成</v>
      </c>
      <c r="C105" s="65" t="s">
        <v>552</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553</v>
      </c>
      <c r="J105" s="7" t="s">
        <v>554</v>
      </c>
      <c r="K105" s="7" t="s">
        <v>555</v>
      </c>
      <c r="L105" s="66"/>
      <c r="M105" s="66"/>
      <c r="N105" s="66"/>
      <c r="O105" s="66"/>
      <c r="P105" s="66"/>
      <c r="Q105" s="66"/>
      <c r="R105" s="66"/>
      <c r="S105" s="66"/>
      <c r="T105" s="66"/>
      <c r="U105" s="66"/>
      <c r="V105" s="66"/>
      <c r="W105" s="66"/>
      <c r="X105" s="66"/>
      <c r="Y105" s="66"/>
    </row>
    <row r="106">
      <c r="A106" s="65" t="s">
        <v>556</v>
      </c>
      <c r="B106" s="65" t="str">
        <f>IFERROR(__xludf.DUMMYFUNCTION("GOOGLETRANSLATE(A106,""zh-tw"",""ja"")"),"このフォームは2024年10月1日に作成されました。")</f>
        <v>このフォームは2024年10月1日に作成されました。</v>
      </c>
      <c r="C106" s="65" t="s">
        <v>557</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558</v>
      </c>
      <c r="J106" s="7" t="s">
        <v>559</v>
      </c>
      <c r="K106" s="7" t="s">
        <v>560</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561</v>
      </c>
      <c r="B1" s="79" t="s">
        <v>562</v>
      </c>
      <c r="C1" s="80" t="s">
        <v>563</v>
      </c>
      <c r="D1" s="81" t="s">
        <v>564</v>
      </c>
      <c r="E1" s="78" t="s">
        <v>561</v>
      </c>
      <c r="F1" s="82" t="s">
        <v>565</v>
      </c>
      <c r="G1" s="83" t="s">
        <v>566</v>
      </c>
      <c r="H1" s="84" t="s">
        <v>564</v>
      </c>
      <c r="I1" s="78" t="s">
        <v>561</v>
      </c>
      <c r="J1" s="82" t="s">
        <v>567</v>
      </c>
      <c r="K1" s="80" t="s">
        <v>568</v>
      </c>
      <c r="L1" s="81" t="s">
        <v>569</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561</v>
      </c>
      <c r="R1" s="82" t="s">
        <v>570</v>
      </c>
      <c r="S1" s="83" t="s">
        <v>571</v>
      </c>
      <c r="T1" s="84" t="s">
        <v>572</v>
      </c>
      <c r="U1" s="85" t="s">
        <v>561</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561</v>
      </c>
      <c r="Z1" s="79" t="s">
        <v>573</v>
      </c>
      <c r="AA1" s="80" t="s">
        <v>574</v>
      </c>
      <c r="AB1" s="81" t="s">
        <v>575</v>
      </c>
      <c r="AC1" s="78" t="s">
        <v>561</v>
      </c>
      <c r="AD1" s="82" t="s">
        <v>576</v>
      </c>
      <c r="AE1" s="80" t="s">
        <v>577</v>
      </c>
      <c r="AF1" s="84" t="s">
        <v>578</v>
      </c>
      <c r="AG1" s="89" t="s">
        <v>579</v>
      </c>
      <c r="AH1" s="90" t="s">
        <v>580</v>
      </c>
      <c r="AI1" s="91" t="s">
        <v>581</v>
      </c>
      <c r="AJ1" s="92" t="s">
        <v>582</v>
      </c>
      <c r="AK1" s="78" t="s">
        <v>561</v>
      </c>
      <c r="AL1" s="79" t="s">
        <v>583</v>
      </c>
      <c r="AM1" s="80" t="s">
        <v>584</v>
      </c>
      <c r="AN1" s="81" t="s">
        <v>572</v>
      </c>
      <c r="AO1" s="93" t="s">
        <v>585</v>
      </c>
      <c r="AP1" s="82" t="s">
        <v>586</v>
      </c>
      <c r="AQ1" s="83" t="s">
        <v>587</v>
      </c>
      <c r="AR1" s="84" t="s">
        <v>588</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589</v>
      </c>
      <c r="B3" s="103" t="s">
        <v>590</v>
      </c>
      <c r="E3" s="103" t="s">
        <v>589</v>
      </c>
      <c r="F3" s="103" t="s">
        <v>591</v>
      </c>
      <c r="I3" s="103" t="s">
        <v>589</v>
      </c>
      <c r="J3" s="103" t="s">
        <v>592</v>
      </c>
      <c r="M3" s="103" t="s">
        <v>589</v>
      </c>
      <c r="N3" s="104" t="str">
        <f>IFERROR(__xludf.DUMMYFUNCTION("GOOGLETRANSLATE(B3,""zh-tw"",""zh"")"),"平时相关")</f>
        <v>平时相关</v>
      </c>
      <c r="Q3" s="103" t="s">
        <v>589</v>
      </c>
      <c r="R3" s="103" t="s">
        <v>593</v>
      </c>
      <c r="U3" s="103" t="s">
        <v>589</v>
      </c>
      <c r="V3" s="103" t="s">
        <v>594</v>
      </c>
      <c r="Y3" s="104" t="s">
        <v>589</v>
      </c>
      <c r="Z3" s="104" t="s">
        <v>595</v>
      </c>
      <c r="AC3" s="103" t="s">
        <v>589</v>
      </c>
      <c r="AD3" s="103" t="s">
        <v>596</v>
      </c>
      <c r="AG3" s="105" t="s">
        <v>589</v>
      </c>
      <c r="AH3" s="106" t="s">
        <v>597</v>
      </c>
      <c r="AK3" s="104" t="s">
        <v>589</v>
      </c>
      <c r="AL3" s="104" t="s">
        <v>598</v>
      </c>
      <c r="AO3" s="103" t="s">
        <v>589</v>
      </c>
      <c r="AP3" s="103" t="s">
        <v>599</v>
      </c>
      <c r="AS3" s="104"/>
      <c r="AT3" s="104"/>
    </row>
    <row r="4">
      <c r="A4" s="107">
        <v>1.0</v>
      </c>
      <c r="B4" s="108" t="s">
        <v>600</v>
      </c>
      <c r="C4" s="109" t="s">
        <v>601</v>
      </c>
      <c r="D4" s="110" t="s">
        <v>602</v>
      </c>
      <c r="E4" s="107">
        <v>1.0</v>
      </c>
      <c r="F4" s="108" t="s">
        <v>603</v>
      </c>
      <c r="G4" s="111" t="s">
        <v>604</v>
      </c>
      <c r="H4" s="110" t="s">
        <v>605</v>
      </c>
      <c r="I4" s="107">
        <v>1.0</v>
      </c>
      <c r="J4" s="108" t="s">
        <v>606</v>
      </c>
      <c r="K4" s="109" t="s">
        <v>607</v>
      </c>
      <c r="L4" s="110" t="s">
        <v>608</v>
      </c>
      <c r="M4" s="107">
        <v>1.0</v>
      </c>
      <c r="N4" s="112" t="s">
        <v>609</v>
      </c>
      <c r="O4" s="111" t="s">
        <v>601</v>
      </c>
      <c r="P4" s="75" t="s">
        <v>610</v>
      </c>
      <c r="Q4" s="107">
        <v>1.0</v>
      </c>
      <c r="R4" s="108" t="s">
        <v>611</v>
      </c>
      <c r="S4" s="113" t="str">
        <f>IFERROR(__xludf.DUMMYFUNCTION("GOOGLETRANSLATE(C4,""zh-tw"",""es-MX"")"),"Abraza a mi hermana")</f>
        <v>Abraza a mi hermana</v>
      </c>
      <c r="T4" s="72" t="s">
        <v>612</v>
      </c>
      <c r="U4" s="107">
        <v>1.0</v>
      </c>
      <c r="V4" s="108" t="s">
        <v>613</v>
      </c>
      <c r="W4" s="109" t="s">
        <v>614</v>
      </c>
      <c r="X4" s="110" t="s">
        <v>615</v>
      </c>
      <c r="Y4" s="107">
        <v>1.0</v>
      </c>
      <c r="Z4" s="114" t="s">
        <v>616</v>
      </c>
      <c r="AA4" s="115" t="s">
        <v>617</v>
      </c>
      <c r="AB4" s="116" t="s">
        <v>618</v>
      </c>
      <c r="AC4" s="107">
        <v>1.0</v>
      </c>
      <c r="AD4" s="108" t="s">
        <v>619</v>
      </c>
      <c r="AE4" s="109" t="s">
        <v>620</v>
      </c>
      <c r="AF4" s="110" t="s">
        <v>621</v>
      </c>
      <c r="AG4" s="117">
        <v>1.0</v>
      </c>
      <c r="AH4" s="118" t="s">
        <v>622</v>
      </c>
      <c r="AI4" s="119" t="s">
        <v>623</v>
      </c>
      <c r="AJ4" s="120" t="s">
        <v>624</v>
      </c>
      <c r="AK4" s="107">
        <v>1.0</v>
      </c>
      <c r="AL4" s="121" t="s">
        <v>625</v>
      </c>
      <c r="AM4" s="122" t="s">
        <v>626</v>
      </c>
      <c r="AN4" s="123" t="s">
        <v>627</v>
      </c>
      <c r="AO4" s="107">
        <v>1.0</v>
      </c>
      <c r="AP4" s="112" t="s">
        <v>628</v>
      </c>
      <c r="AQ4" s="111" t="s">
        <v>629</v>
      </c>
      <c r="AR4" s="72" t="s">
        <v>630</v>
      </c>
      <c r="AS4" s="110"/>
      <c r="AT4" s="110"/>
    </row>
    <row r="5">
      <c r="C5" s="109" t="s">
        <v>631</v>
      </c>
      <c r="D5" s="110" t="s">
        <v>632</v>
      </c>
      <c r="G5" s="109" t="s">
        <v>633</v>
      </c>
      <c r="H5" s="110" t="s">
        <v>634</v>
      </c>
      <c r="K5" s="109" t="s">
        <v>635</v>
      </c>
      <c r="L5" s="110" t="s">
        <v>636</v>
      </c>
      <c r="O5" s="113" t="str">
        <f>IFERROR(__xludf.DUMMYFUNCTION("GOOGLETRANSLATE(C5,""zh-tw"",""zh"")"),"没事-&gt;小时候")</f>
        <v>没事-&gt;小时候</v>
      </c>
      <c r="P5" s="72" t="s">
        <v>637</v>
      </c>
      <c r="S5" s="113" t="str">
        <f>IFERROR(__xludf.DUMMYFUNCTION("GOOGLETRANSLATE(C5,""zh-tw"",""es-MX"")"),"Está bien -&gt; cuando era niño")</f>
        <v>Está bien -&gt; cuando era niño</v>
      </c>
      <c r="T5" s="72" t="s">
        <v>638</v>
      </c>
      <c r="W5" s="111" t="s">
        <v>639</v>
      </c>
      <c r="X5" s="72" t="s">
        <v>640</v>
      </c>
      <c r="AA5" s="115" t="s">
        <v>641</v>
      </c>
      <c r="AB5" s="116" t="s">
        <v>642</v>
      </c>
      <c r="AE5" s="109" t="s">
        <v>643</v>
      </c>
      <c r="AF5" s="110" t="s">
        <v>644</v>
      </c>
      <c r="AI5" s="119" t="s">
        <v>645</v>
      </c>
      <c r="AJ5" s="120" t="s">
        <v>646</v>
      </c>
      <c r="AM5" s="122" t="s">
        <v>647</v>
      </c>
      <c r="AN5" s="123" t="s">
        <v>648</v>
      </c>
      <c r="AQ5" s="111" t="s">
        <v>649</v>
      </c>
      <c r="AR5" s="72" t="s">
        <v>650</v>
      </c>
      <c r="AS5" s="110"/>
      <c r="AT5" s="110"/>
    </row>
    <row r="6">
      <c r="C6" s="109" t="s">
        <v>651</v>
      </c>
      <c r="D6" s="110" t="s">
        <v>652</v>
      </c>
      <c r="G6" s="109" t="s">
        <v>653</v>
      </c>
      <c r="H6" s="110" t="s">
        <v>654</v>
      </c>
      <c r="K6" s="109" t="s">
        <v>655</v>
      </c>
      <c r="L6" s="110" t="s">
        <v>656</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657</v>
      </c>
      <c r="W6" s="111" t="s">
        <v>658</v>
      </c>
      <c r="X6" s="72" t="s">
        <v>659</v>
      </c>
      <c r="AA6" s="115" t="s">
        <v>660</v>
      </c>
      <c r="AB6" s="116" t="s">
        <v>661</v>
      </c>
      <c r="AE6" s="109" t="s">
        <v>662</v>
      </c>
      <c r="AF6" s="110" t="s">
        <v>663</v>
      </c>
      <c r="AI6" s="119" t="s">
        <v>664</v>
      </c>
      <c r="AJ6" s="120" t="s">
        <v>665</v>
      </c>
      <c r="AM6" s="122" t="s">
        <v>666</v>
      </c>
      <c r="AN6" s="123" t="s">
        <v>667</v>
      </c>
      <c r="AQ6" s="111" t="s">
        <v>668</v>
      </c>
      <c r="AR6" s="72" t="s">
        <v>669</v>
      </c>
      <c r="AS6" s="110"/>
      <c r="AT6" s="110"/>
    </row>
    <row r="7">
      <c r="C7" s="109" t="s">
        <v>670</v>
      </c>
      <c r="D7" s="110" t="s">
        <v>671</v>
      </c>
      <c r="G7" s="109" t="s">
        <v>672</v>
      </c>
      <c r="H7" s="110" t="s">
        <v>673</v>
      </c>
      <c r="K7" s="109" t="s">
        <v>674</v>
      </c>
      <c r="L7" s="110" t="s">
        <v>675</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676</v>
      </c>
      <c r="W7" s="111" t="s">
        <v>677</v>
      </c>
      <c r="X7" s="72" t="s">
        <v>678</v>
      </c>
      <c r="AA7" s="115" t="s">
        <v>679</v>
      </c>
      <c r="AB7" s="116" t="s">
        <v>680</v>
      </c>
      <c r="AE7" s="109" t="s">
        <v>681</v>
      </c>
      <c r="AF7" s="110" t="s">
        <v>682</v>
      </c>
      <c r="AI7" s="119" t="s">
        <v>683</v>
      </c>
      <c r="AJ7" s="120" t="s">
        <v>684</v>
      </c>
      <c r="AM7" s="122" t="s">
        <v>685</v>
      </c>
      <c r="AN7" s="123" t="s">
        <v>686</v>
      </c>
      <c r="AQ7" s="111" t="s">
        <v>687</v>
      </c>
      <c r="AR7" s="72" t="s">
        <v>688</v>
      </c>
      <c r="AS7" s="110"/>
      <c r="AT7" s="110"/>
    </row>
    <row r="8">
      <c r="A8" s="107">
        <v>2.0</v>
      </c>
      <c r="B8" s="108" t="s">
        <v>689</v>
      </c>
      <c r="C8" s="109" t="s">
        <v>690</v>
      </c>
      <c r="D8" s="110" t="s">
        <v>691</v>
      </c>
      <c r="E8" s="107">
        <v>2.0</v>
      </c>
      <c r="F8" s="108" t="s">
        <v>692</v>
      </c>
      <c r="G8" s="109" t="s">
        <v>693</v>
      </c>
      <c r="H8" s="110" t="s">
        <v>694</v>
      </c>
      <c r="I8" s="107">
        <v>2.0</v>
      </c>
      <c r="J8" s="108" t="s">
        <v>695</v>
      </c>
      <c r="K8" s="109" t="s">
        <v>696</v>
      </c>
      <c r="L8" s="110" t="s">
        <v>697</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698</v>
      </c>
      <c r="U8" s="107">
        <v>2.0</v>
      </c>
      <c r="V8" s="125" t="s">
        <v>699</v>
      </c>
      <c r="W8" s="111" t="s">
        <v>700</v>
      </c>
      <c r="X8" s="72" t="s">
        <v>701</v>
      </c>
      <c r="Y8" s="107">
        <v>2.0</v>
      </c>
      <c r="Z8" s="114" t="s">
        <v>702</v>
      </c>
      <c r="AA8" s="115" t="s">
        <v>703</v>
      </c>
      <c r="AB8" s="116" t="s">
        <v>704</v>
      </c>
      <c r="AC8" s="107">
        <v>2.0</v>
      </c>
      <c r="AD8" s="108" t="s">
        <v>705</v>
      </c>
      <c r="AE8" s="109" t="s">
        <v>706</v>
      </c>
      <c r="AF8" s="110" t="s">
        <v>707</v>
      </c>
      <c r="AG8" s="117">
        <v>2.0</v>
      </c>
      <c r="AH8" s="118" t="s">
        <v>708</v>
      </c>
      <c r="AI8" s="119" t="s">
        <v>709</v>
      </c>
      <c r="AJ8" s="120" t="s">
        <v>710</v>
      </c>
      <c r="AK8" s="107">
        <v>2.0</v>
      </c>
      <c r="AL8" s="121" t="s">
        <v>711</v>
      </c>
      <c r="AM8" s="122" t="s">
        <v>712</v>
      </c>
      <c r="AN8" s="123" t="s">
        <v>713</v>
      </c>
      <c r="AO8" s="107">
        <v>2.0</v>
      </c>
      <c r="AP8" s="126" t="s">
        <v>695</v>
      </c>
      <c r="AQ8" s="127" t="s">
        <v>714</v>
      </c>
      <c r="AR8" s="128" t="s">
        <v>715</v>
      </c>
      <c r="AS8" s="110"/>
      <c r="AT8" s="110"/>
    </row>
    <row r="9">
      <c r="A9" s="107">
        <v>3.0</v>
      </c>
      <c r="B9" s="108" t="s">
        <v>652</v>
      </c>
      <c r="C9" s="109" t="s">
        <v>716</v>
      </c>
      <c r="D9" s="110" t="s">
        <v>717</v>
      </c>
      <c r="E9" s="107">
        <v>3.0</v>
      </c>
      <c r="F9" s="108" t="s">
        <v>718</v>
      </c>
      <c r="G9" s="109" t="s">
        <v>719</v>
      </c>
      <c r="H9" s="110" t="s">
        <v>720</v>
      </c>
      <c r="I9" s="107">
        <v>3.0</v>
      </c>
      <c r="J9" s="108" t="s">
        <v>721</v>
      </c>
      <c r="K9" s="109" t="s">
        <v>722</v>
      </c>
      <c r="L9" s="110" t="s">
        <v>723</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724</v>
      </c>
      <c r="U9" s="107">
        <v>3.0</v>
      </c>
      <c r="V9" s="112" t="s">
        <v>725</v>
      </c>
      <c r="W9" s="111" t="s">
        <v>726</v>
      </c>
      <c r="X9" s="110" t="s">
        <v>727</v>
      </c>
      <c r="Y9" s="107">
        <v>3.0</v>
      </c>
      <c r="Z9" s="114" t="s">
        <v>728</v>
      </c>
      <c r="AA9" s="115" t="s">
        <v>729</v>
      </c>
      <c r="AB9" s="116" t="s">
        <v>730</v>
      </c>
      <c r="AC9" s="107">
        <v>3.0</v>
      </c>
      <c r="AD9" s="108" t="s">
        <v>731</v>
      </c>
      <c r="AE9" s="109" t="s">
        <v>732</v>
      </c>
      <c r="AF9" s="110" t="s">
        <v>733</v>
      </c>
      <c r="AG9" s="117">
        <v>3.0</v>
      </c>
      <c r="AH9" s="118" t="s">
        <v>734</v>
      </c>
      <c r="AI9" s="119" t="s">
        <v>735</v>
      </c>
      <c r="AJ9" s="120" t="s">
        <v>736</v>
      </c>
      <c r="AK9" s="107">
        <v>3.0</v>
      </c>
      <c r="AL9" s="121" t="s">
        <v>737</v>
      </c>
      <c r="AM9" s="122" t="s">
        <v>738</v>
      </c>
      <c r="AN9" s="129" t="s">
        <v>739</v>
      </c>
      <c r="AO9" s="107">
        <v>3.0</v>
      </c>
      <c r="AP9" s="126" t="s">
        <v>721</v>
      </c>
      <c r="AQ9" s="127" t="s">
        <v>740</v>
      </c>
      <c r="AR9" s="128" t="s">
        <v>741</v>
      </c>
      <c r="AS9" s="110"/>
      <c r="AT9" s="110"/>
    </row>
    <row r="10">
      <c r="A10" s="107">
        <v>4.0</v>
      </c>
      <c r="B10" s="108" t="s">
        <v>742</v>
      </c>
      <c r="C10" s="109" t="s">
        <v>743</v>
      </c>
      <c r="D10" s="110" t="s">
        <v>744</v>
      </c>
      <c r="E10" s="107">
        <v>4.0</v>
      </c>
      <c r="F10" s="108" t="s">
        <v>745</v>
      </c>
      <c r="G10" s="111" t="s">
        <v>746</v>
      </c>
      <c r="H10" s="110" t="s">
        <v>747</v>
      </c>
      <c r="I10" s="107">
        <v>4.0</v>
      </c>
      <c r="J10" s="108" t="s">
        <v>748</v>
      </c>
      <c r="K10" s="109" t="s">
        <v>749</v>
      </c>
      <c r="L10" s="72" t="s">
        <v>750</v>
      </c>
      <c r="M10" s="107">
        <v>4.0</v>
      </c>
      <c r="N10" s="108" t="str">
        <f>IFERROR(__xludf.DUMMYFUNCTION("GOOGLETRANSLATE(B10,""zh-tw"",""zh"")"),"约定:别受伤")</f>
        <v>约定:别受伤</v>
      </c>
      <c r="O10" s="111" t="s">
        <v>751</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752</v>
      </c>
      <c r="T10" s="72" t="s">
        <v>753</v>
      </c>
      <c r="U10" s="107">
        <v>4.0</v>
      </c>
      <c r="V10" s="108" t="str">
        <f>IFERROR(__xludf.DUMMYFUNCTION("GOOGLETRANSLATE(B10,""zh-tw"",""KO"")"),"약속: 다치지 말자")</f>
        <v>약속: 다치지 말자</v>
      </c>
      <c r="W10" s="109" t="s">
        <v>754</v>
      </c>
      <c r="X10" s="110" t="s">
        <v>755</v>
      </c>
      <c r="Y10" s="107">
        <v>4.0</v>
      </c>
      <c r="Z10" s="114" t="s">
        <v>756</v>
      </c>
      <c r="AA10" s="115" t="s">
        <v>757</v>
      </c>
      <c r="AB10" s="116" t="s">
        <v>758</v>
      </c>
      <c r="AC10" s="107">
        <v>4.0</v>
      </c>
      <c r="AD10" s="108" t="s">
        <v>759</v>
      </c>
      <c r="AE10" s="109" t="s">
        <v>760</v>
      </c>
      <c r="AF10" s="110" t="s">
        <v>761</v>
      </c>
      <c r="AG10" s="117">
        <v>4.0</v>
      </c>
      <c r="AH10" s="118" t="s">
        <v>762</v>
      </c>
      <c r="AI10" s="119" t="s">
        <v>763</v>
      </c>
      <c r="AJ10" s="120" t="s">
        <v>764</v>
      </c>
      <c r="AK10" s="107">
        <v>4.0</v>
      </c>
      <c r="AL10" s="121" t="s">
        <v>765</v>
      </c>
      <c r="AM10" s="122" t="s">
        <v>766</v>
      </c>
      <c r="AN10" s="123" t="s">
        <v>767</v>
      </c>
      <c r="AO10" s="107">
        <v>4.0</v>
      </c>
      <c r="AP10" s="126" t="s">
        <v>748</v>
      </c>
      <c r="AQ10" s="127" t="s">
        <v>768</v>
      </c>
      <c r="AR10" s="128" t="s">
        <v>769</v>
      </c>
      <c r="AS10" s="110"/>
      <c r="AT10" s="110"/>
    </row>
    <row r="11">
      <c r="A11" s="107">
        <v>5.0</v>
      </c>
      <c r="B11" s="108" t="s">
        <v>770</v>
      </c>
      <c r="C11" s="109" t="s">
        <v>771</v>
      </c>
      <c r="D11" s="110" t="s">
        <v>772</v>
      </c>
      <c r="E11" s="107">
        <v>5.0</v>
      </c>
      <c r="F11" s="108" t="s">
        <v>773</v>
      </c>
      <c r="G11" s="109" t="s">
        <v>774</v>
      </c>
      <c r="H11" s="110" t="s">
        <v>775</v>
      </c>
      <c r="I11" s="107">
        <v>5.0</v>
      </c>
      <c r="J11" s="108" t="s">
        <v>776</v>
      </c>
      <c r="K11" s="111" t="s">
        <v>777</v>
      </c>
      <c r="L11" s="72" t="s">
        <v>778</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779</v>
      </c>
      <c r="S11" s="111" t="s">
        <v>780</v>
      </c>
      <c r="T11" s="72" t="s">
        <v>781</v>
      </c>
      <c r="U11" s="107">
        <v>5.0</v>
      </c>
      <c r="V11" s="112" t="s">
        <v>782</v>
      </c>
      <c r="W11" s="111" t="s">
        <v>783</v>
      </c>
      <c r="X11" s="72" t="s">
        <v>784</v>
      </c>
      <c r="Y11" s="107">
        <v>5.0</v>
      </c>
      <c r="Z11" s="114" t="s">
        <v>785</v>
      </c>
      <c r="AA11" s="115" t="s">
        <v>786</v>
      </c>
      <c r="AB11" s="116" t="s">
        <v>787</v>
      </c>
      <c r="AC11" s="107">
        <v>5.0</v>
      </c>
      <c r="AD11" s="108" t="s">
        <v>788</v>
      </c>
      <c r="AE11" s="109" t="s">
        <v>789</v>
      </c>
      <c r="AF11" s="110" t="s">
        <v>790</v>
      </c>
      <c r="AG11" s="117">
        <v>5.0</v>
      </c>
      <c r="AH11" s="118" t="s">
        <v>791</v>
      </c>
      <c r="AI11" s="130" t="s">
        <v>792</v>
      </c>
      <c r="AJ11" s="120" t="s">
        <v>793</v>
      </c>
      <c r="AK11" s="107">
        <v>5.0</v>
      </c>
      <c r="AL11" s="121" t="s">
        <v>794</v>
      </c>
      <c r="AM11" s="131" t="s">
        <v>795</v>
      </c>
      <c r="AN11" s="123" t="s">
        <v>796</v>
      </c>
      <c r="AO11" s="107">
        <v>5.0</v>
      </c>
      <c r="AP11" s="126" t="s">
        <v>797</v>
      </c>
      <c r="AQ11" s="127" t="s">
        <v>798</v>
      </c>
      <c r="AR11" s="128" t="s">
        <v>799</v>
      </c>
      <c r="AS11" s="110"/>
      <c r="AT11" s="110"/>
    </row>
    <row r="12" ht="69.0" customHeight="1">
      <c r="A12" s="107">
        <v>6.0</v>
      </c>
      <c r="B12" s="108" t="s">
        <v>800</v>
      </c>
      <c r="C12" s="109" t="s">
        <v>801</v>
      </c>
      <c r="D12" s="110" t="s">
        <v>802</v>
      </c>
      <c r="E12" s="107">
        <v>6.0</v>
      </c>
      <c r="F12" s="108" t="s">
        <v>803</v>
      </c>
      <c r="G12" s="109" t="s">
        <v>804</v>
      </c>
      <c r="H12" s="110" t="s">
        <v>805</v>
      </c>
      <c r="I12" s="107">
        <v>6.0</v>
      </c>
      <c r="J12" s="108" t="s">
        <v>806</v>
      </c>
      <c r="K12" s="109" t="s">
        <v>807</v>
      </c>
      <c r="L12" s="110" t="s">
        <v>808</v>
      </c>
      <c r="M12" s="107">
        <v>6.0</v>
      </c>
      <c r="N12" s="108" t="str">
        <f>IFERROR(__xludf.DUMMYFUNCTION("GOOGLETRANSLATE(B12,""zh-tw"",""zh"")"),"第一次带饮料")</f>
        <v>第一次带饮料</v>
      </c>
      <c r="O12" s="113" t="s">
        <v>809</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810</v>
      </c>
      <c r="U12" s="107">
        <v>6.0</v>
      </c>
      <c r="V12" s="108" t="s">
        <v>811</v>
      </c>
      <c r="W12" s="111" t="s">
        <v>812</v>
      </c>
      <c r="X12" s="110" t="s">
        <v>813</v>
      </c>
      <c r="Y12" s="107">
        <v>6.0</v>
      </c>
      <c r="Z12" s="114" t="s">
        <v>814</v>
      </c>
      <c r="AA12" s="115" t="s">
        <v>815</v>
      </c>
      <c r="AB12" s="132" t="s">
        <v>816</v>
      </c>
      <c r="AC12" s="107">
        <v>6.0</v>
      </c>
      <c r="AD12" s="108" t="s">
        <v>817</v>
      </c>
      <c r="AE12" s="109" t="s">
        <v>818</v>
      </c>
      <c r="AF12" s="110" t="s">
        <v>819</v>
      </c>
      <c r="AG12" s="117">
        <v>6.0</v>
      </c>
      <c r="AH12" s="118" t="s">
        <v>820</v>
      </c>
      <c r="AI12" s="119" t="s">
        <v>821</v>
      </c>
      <c r="AJ12" s="120" t="s">
        <v>822</v>
      </c>
      <c r="AK12" s="107">
        <v>6.0</v>
      </c>
      <c r="AL12" s="121" t="s">
        <v>823</v>
      </c>
      <c r="AM12" s="122" t="s">
        <v>824</v>
      </c>
      <c r="AN12" s="123" t="s">
        <v>825</v>
      </c>
      <c r="AO12" s="107">
        <v>6.0</v>
      </c>
      <c r="AP12" s="126" t="s">
        <v>826</v>
      </c>
      <c r="AQ12" s="127" t="s">
        <v>827</v>
      </c>
      <c r="AR12" s="128" t="s">
        <v>828</v>
      </c>
      <c r="AS12" s="110"/>
      <c r="AT12" s="110"/>
    </row>
    <row r="13">
      <c r="A13" s="107">
        <v>7.0</v>
      </c>
      <c r="B13" s="108" t="s">
        <v>829</v>
      </c>
      <c r="C13" s="109" t="s">
        <v>830</v>
      </c>
      <c r="D13" s="110" t="s">
        <v>831</v>
      </c>
      <c r="E13" s="107">
        <v>7.0</v>
      </c>
      <c r="F13" s="108" t="s">
        <v>832</v>
      </c>
      <c r="G13" s="109" t="s">
        <v>833</v>
      </c>
      <c r="H13" s="110" t="s">
        <v>834</v>
      </c>
      <c r="I13" s="107">
        <v>7.0</v>
      </c>
      <c r="J13" s="108" t="s">
        <v>835</v>
      </c>
      <c r="K13" s="109" t="s">
        <v>836</v>
      </c>
      <c r="L13" s="110" t="s">
        <v>837</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838</v>
      </c>
      <c r="Q13" s="107">
        <v>7.0</v>
      </c>
      <c r="R13" s="125" t="s">
        <v>839</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840</v>
      </c>
      <c r="W13" s="111" t="s">
        <v>841</v>
      </c>
      <c r="X13" s="72" t="s">
        <v>842</v>
      </c>
      <c r="Y13" s="107">
        <v>7.0</v>
      </c>
      <c r="Z13" s="114" t="s">
        <v>843</v>
      </c>
      <c r="AA13" s="115" t="s">
        <v>844</v>
      </c>
      <c r="AB13" s="116" t="s">
        <v>845</v>
      </c>
      <c r="AC13" s="107">
        <v>7.0</v>
      </c>
      <c r="AD13" s="108" t="s">
        <v>846</v>
      </c>
      <c r="AE13" s="109" t="s">
        <v>847</v>
      </c>
      <c r="AF13" s="110" t="s">
        <v>848</v>
      </c>
      <c r="AG13" s="117">
        <v>7.0</v>
      </c>
      <c r="AH13" s="118" t="s">
        <v>849</v>
      </c>
      <c r="AI13" s="130" t="s">
        <v>850</v>
      </c>
      <c r="AJ13" s="120" t="s">
        <v>851</v>
      </c>
      <c r="AK13" s="107">
        <v>7.0</v>
      </c>
      <c r="AL13" s="121" t="s">
        <v>852</v>
      </c>
      <c r="AM13" s="131" t="s">
        <v>853</v>
      </c>
      <c r="AN13" s="123" t="s">
        <v>854</v>
      </c>
      <c r="AO13" s="107">
        <v>7.0</v>
      </c>
      <c r="AP13" s="126" t="s">
        <v>855</v>
      </c>
      <c r="AQ13" s="127" t="s">
        <v>856</v>
      </c>
      <c r="AR13" s="128" t="s">
        <v>857</v>
      </c>
      <c r="AS13" s="110"/>
      <c r="AT13" s="110"/>
    </row>
    <row r="14">
      <c r="A14" s="107">
        <v>8.0</v>
      </c>
      <c r="B14" s="108" t="s">
        <v>858</v>
      </c>
      <c r="C14" s="109" t="s">
        <v>859</v>
      </c>
      <c r="D14" s="110" t="s">
        <v>860</v>
      </c>
      <c r="E14" s="107">
        <v>8.0</v>
      </c>
      <c r="F14" s="108" t="s">
        <v>861</v>
      </c>
      <c r="G14" s="109" t="s">
        <v>862</v>
      </c>
      <c r="H14" s="110" t="s">
        <v>863</v>
      </c>
      <c r="I14" s="107">
        <v>8.0</v>
      </c>
      <c r="J14" s="108" t="s">
        <v>864</v>
      </c>
      <c r="K14" s="109" t="s">
        <v>865</v>
      </c>
      <c r="L14" s="72" t="s">
        <v>866</v>
      </c>
      <c r="M14" s="107">
        <v>8.0</v>
      </c>
      <c r="N14" s="108" t="str">
        <f>IFERROR(__xludf.DUMMYFUNCTION("GOOGLETRANSLATE(B14,""zh-tw"",""zh"")"),"妹妹的料理")</f>
        <v>妹妹的料理</v>
      </c>
      <c r="O14" s="111" t="s">
        <v>867</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868</v>
      </c>
      <c r="W14" s="111" t="s">
        <v>869</v>
      </c>
      <c r="X14" s="72" t="s">
        <v>870</v>
      </c>
      <c r="Y14" s="107">
        <v>8.0</v>
      </c>
      <c r="Z14" s="114" t="s">
        <v>871</v>
      </c>
      <c r="AA14" s="115" t="s">
        <v>872</v>
      </c>
      <c r="AB14" s="116" t="s">
        <v>873</v>
      </c>
      <c r="AC14" s="107">
        <v>8.0</v>
      </c>
      <c r="AD14" s="108" t="s">
        <v>874</v>
      </c>
      <c r="AE14" s="109" t="s">
        <v>875</v>
      </c>
      <c r="AF14" s="110" t="s">
        <v>876</v>
      </c>
      <c r="AG14" s="117">
        <v>8.0</v>
      </c>
      <c r="AH14" s="133" t="s">
        <v>877</v>
      </c>
      <c r="AI14" s="119" t="s">
        <v>878</v>
      </c>
      <c r="AJ14" s="134" t="s">
        <v>879</v>
      </c>
      <c r="AK14" s="107">
        <v>8.0</v>
      </c>
      <c r="AL14" s="121" t="s">
        <v>880</v>
      </c>
      <c r="AM14" s="131" t="s">
        <v>881</v>
      </c>
      <c r="AN14" s="129" t="s">
        <v>882</v>
      </c>
      <c r="AO14" s="107">
        <v>8.0</v>
      </c>
      <c r="AP14" s="126" t="s">
        <v>883</v>
      </c>
      <c r="AQ14" s="127" t="s">
        <v>884</v>
      </c>
      <c r="AR14" s="128" t="s">
        <v>885</v>
      </c>
      <c r="AS14" s="110"/>
      <c r="AT14" s="110"/>
    </row>
    <row r="15">
      <c r="A15" s="107">
        <v>9.0</v>
      </c>
      <c r="B15" s="108" t="s">
        <v>886</v>
      </c>
      <c r="C15" s="109" t="s">
        <v>887</v>
      </c>
      <c r="D15" s="110" t="s">
        <v>888</v>
      </c>
      <c r="E15" s="107">
        <v>9.0</v>
      </c>
      <c r="F15" s="108" t="s">
        <v>889</v>
      </c>
      <c r="G15" s="109" t="s">
        <v>890</v>
      </c>
      <c r="H15" s="110" t="s">
        <v>891</v>
      </c>
      <c r="I15" s="107">
        <v>9.0</v>
      </c>
      <c r="J15" s="108" t="s">
        <v>892</v>
      </c>
      <c r="K15" s="109" t="s">
        <v>893</v>
      </c>
      <c r="L15" s="110" t="s">
        <v>894</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895</v>
      </c>
      <c r="S15" s="109" t="s">
        <v>896</v>
      </c>
      <c r="T15" s="75" t="s">
        <v>897</v>
      </c>
      <c r="U15" s="107">
        <v>9.0</v>
      </c>
      <c r="V15" s="112" t="s">
        <v>898</v>
      </c>
      <c r="W15" s="111" t="s">
        <v>899</v>
      </c>
      <c r="X15" s="72" t="s">
        <v>900</v>
      </c>
      <c r="Y15" s="107">
        <v>9.0</v>
      </c>
      <c r="Z15" s="114" t="s">
        <v>901</v>
      </c>
      <c r="AA15" s="115" t="s">
        <v>902</v>
      </c>
      <c r="AB15" s="116" t="s">
        <v>903</v>
      </c>
      <c r="AC15" s="107">
        <v>9.0</v>
      </c>
      <c r="AD15" s="108" t="s">
        <v>904</v>
      </c>
      <c r="AE15" s="109" t="s">
        <v>905</v>
      </c>
      <c r="AF15" s="110" t="s">
        <v>906</v>
      </c>
      <c r="AG15" s="117">
        <v>9.0</v>
      </c>
      <c r="AH15" s="118" t="s">
        <v>907</v>
      </c>
      <c r="AI15" s="119" t="s">
        <v>908</v>
      </c>
      <c r="AJ15" s="120" t="s">
        <v>909</v>
      </c>
      <c r="AK15" s="107">
        <v>9.0</v>
      </c>
      <c r="AL15" s="121" t="s">
        <v>910</v>
      </c>
      <c r="AM15" s="122" t="s">
        <v>911</v>
      </c>
      <c r="AN15" s="123" t="s">
        <v>912</v>
      </c>
      <c r="AO15" s="107">
        <v>9.0</v>
      </c>
      <c r="AP15" s="126" t="s">
        <v>913</v>
      </c>
      <c r="AQ15" s="127" t="s">
        <v>914</v>
      </c>
      <c r="AR15" s="128" t="s">
        <v>915</v>
      </c>
      <c r="AS15" s="110"/>
      <c r="AT15" s="110"/>
    </row>
    <row r="16">
      <c r="A16" s="107">
        <v>10.0</v>
      </c>
      <c r="B16" s="108" t="s">
        <v>916</v>
      </c>
      <c r="C16" s="111" t="s">
        <v>917</v>
      </c>
      <c r="D16" s="110" t="s">
        <v>918</v>
      </c>
      <c r="E16" s="107">
        <v>10.0</v>
      </c>
      <c r="F16" s="108" t="s">
        <v>919</v>
      </c>
      <c r="G16" s="109" t="s">
        <v>920</v>
      </c>
      <c r="H16" s="110" t="s">
        <v>921</v>
      </c>
      <c r="I16" s="107">
        <v>10.0</v>
      </c>
      <c r="J16" s="108" t="s">
        <v>922</v>
      </c>
      <c r="K16" s="109" t="s">
        <v>923</v>
      </c>
      <c r="L16" s="110" t="s">
        <v>924</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925</v>
      </c>
      <c r="S16" s="109" t="s">
        <v>926</v>
      </c>
      <c r="T16" s="75" t="s">
        <v>927</v>
      </c>
      <c r="U16" s="107">
        <v>10.0</v>
      </c>
      <c r="V16" s="112" t="s">
        <v>928</v>
      </c>
      <c r="W16" s="111" t="s">
        <v>929</v>
      </c>
      <c r="X16" s="72" t="s">
        <v>930</v>
      </c>
      <c r="Y16" s="107">
        <v>10.0</v>
      </c>
      <c r="Z16" s="114" t="s">
        <v>931</v>
      </c>
      <c r="AA16" s="115" t="s">
        <v>932</v>
      </c>
      <c r="AB16" s="116" t="s">
        <v>933</v>
      </c>
      <c r="AC16" s="107">
        <v>10.0</v>
      </c>
      <c r="AD16" s="108" t="s">
        <v>934</v>
      </c>
      <c r="AE16" s="109" t="s">
        <v>935</v>
      </c>
      <c r="AF16" s="110" t="s">
        <v>936</v>
      </c>
      <c r="AG16" s="117">
        <v>10.0</v>
      </c>
      <c r="AH16" s="118" t="s">
        <v>937</v>
      </c>
      <c r="AI16" s="119" t="s">
        <v>938</v>
      </c>
      <c r="AJ16" s="120" t="s">
        <v>939</v>
      </c>
      <c r="AK16" s="107">
        <v>10.0</v>
      </c>
      <c r="AL16" s="121" t="s">
        <v>940</v>
      </c>
      <c r="AM16" s="122" t="s">
        <v>941</v>
      </c>
      <c r="AN16" s="123" t="s">
        <v>942</v>
      </c>
      <c r="AO16" s="107">
        <v>10.0</v>
      </c>
      <c r="AP16" s="126" t="s">
        <v>943</v>
      </c>
      <c r="AQ16" s="127" t="s">
        <v>944</v>
      </c>
      <c r="AR16" s="128" t="s">
        <v>945</v>
      </c>
      <c r="AS16" s="110"/>
      <c r="AT16" s="110"/>
    </row>
    <row r="17">
      <c r="A17" s="107">
        <v>11.0</v>
      </c>
      <c r="B17" s="108" t="s">
        <v>946</v>
      </c>
      <c r="C17" s="109" t="s">
        <v>947</v>
      </c>
      <c r="D17" s="110" t="s">
        <v>948</v>
      </c>
      <c r="E17" s="107">
        <v>11.0</v>
      </c>
      <c r="F17" s="108" t="s">
        <v>949</v>
      </c>
      <c r="G17" s="109" t="s">
        <v>950</v>
      </c>
      <c r="H17" s="110" t="s">
        <v>951</v>
      </c>
      <c r="I17" s="107">
        <v>11.0</v>
      </c>
      <c r="J17" s="108" t="s">
        <v>952</v>
      </c>
      <c r="K17" s="109" t="s">
        <v>953</v>
      </c>
      <c r="L17" s="110" t="s">
        <v>954</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955</v>
      </c>
      <c r="S17" s="109" t="s">
        <v>956</v>
      </c>
      <c r="T17" s="75" t="s">
        <v>957</v>
      </c>
      <c r="U17" s="107">
        <v>11.0</v>
      </c>
      <c r="V17" s="112" t="s">
        <v>958</v>
      </c>
      <c r="W17" s="111" t="s">
        <v>959</v>
      </c>
      <c r="X17" s="72" t="s">
        <v>960</v>
      </c>
      <c r="Y17" s="107">
        <v>11.0</v>
      </c>
      <c r="Z17" s="114" t="s">
        <v>961</v>
      </c>
      <c r="AA17" s="115" t="s">
        <v>962</v>
      </c>
      <c r="AB17" s="116" t="s">
        <v>963</v>
      </c>
      <c r="AC17" s="107">
        <v>11.0</v>
      </c>
      <c r="AD17" s="108" t="s">
        <v>964</v>
      </c>
      <c r="AE17" s="109" t="s">
        <v>965</v>
      </c>
      <c r="AF17" s="110" t="s">
        <v>966</v>
      </c>
      <c r="AG17" s="117">
        <v>11.0</v>
      </c>
      <c r="AH17" s="118" t="s">
        <v>967</v>
      </c>
      <c r="AI17" s="119" t="s">
        <v>968</v>
      </c>
      <c r="AJ17" s="120" t="s">
        <v>969</v>
      </c>
      <c r="AK17" s="107">
        <v>11.0</v>
      </c>
      <c r="AL17" s="121" t="s">
        <v>970</v>
      </c>
      <c r="AM17" s="131" t="s">
        <v>971</v>
      </c>
      <c r="AN17" s="123" t="s">
        <v>972</v>
      </c>
      <c r="AO17" s="107">
        <v>11.0</v>
      </c>
      <c r="AP17" s="126" t="s">
        <v>973</v>
      </c>
      <c r="AQ17" s="127" t="s">
        <v>974</v>
      </c>
      <c r="AR17" s="128" t="s">
        <v>975</v>
      </c>
      <c r="AS17" s="110"/>
      <c r="AT17" s="110"/>
    </row>
    <row r="18">
      <c r="A18" s="107">
        <v>12.0</v>
      </c>
      <c r="B18" s="108" t="s">
        <v>976</v>
      </c>
      <c r="C18" s="109" t="s">
        <v>977</v>
      </c>
      <c r="D18" s="110" t="s">
        <v>978</v>
      </c>
      <c r="E18" s="107">
        <v>12.0</v>
      </c>
      <c r="F18" s="108" t="s">
        <v>979</v>
      </c>
      <c r="G18" s="109" t="s">
        <v>980</v>
      </c>
      <c r="H18" s="110" t="s">
        <v>981</v>
      </c>
      <c r="I18" s="107">
        <v>12.0</v>
      </c>
      <c r="J18" s="108" t="s">
        <v>982</v>
      </c>
      <c r="K18" s="109" t="s">
        <v>983</v>
      </c>
      <c r="L18" s="72" t="s">
        <v>984</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985</v>
      </c>
      <c r="S18" s="109" t="s">
        <v>986</v>
      </c>
      <c r="T18" s="75" t="s">
        <v>987</v>
      </c>
      <c r="U18" s="107">
        <v>12.0</v>
      </c>
      <c r="V18" s="112" t="s">
        <v>988</v>
      </c>
      <c r="W18" s="111" t="s">
        <v>989</v>
      </c>
      <c r="X18" s="72" t="s">
        <v>990</v>
      </c>
      <c r="Y18" s="107">
        <v>12.0</v>
      </c>
      <c r="Z18" s="114" t="s">
        <v>991</v>
      </c>
      <c r="AA18" s="115" t="s">
        <v>992</v>
      </c>
      <c r="AB18" s="116" t="s">
        <v>993</v>
      </c>
      <c r="AC18" s="107">
        <v>12.0</v>
      </c>
      <c r="AD18" s="108" t="s">
        <v>994</v>
      </c>
      <c r="AE18" s="109" t="s">
        <v>995</v>
      </c>
      <c r="AF18" s="110" t="s">
        <v>996</v>
      </c>
      <c r="AG18" s="117">
        <v>12.0</v>
      </c>
      <c r="AH18" s="118" t="s">
        <v>997</v>
      </c>
      <c r="AI18" s="119" t="s">
        <v>998</v>
      </c>
      <c r="AJ18" s="120" t="s">
        <v>999</v>
      </c>
      <c r="AK18" s="107">
        <v>12.0</v>
      </c>
      <c r="AL18" s="121" t="s">
        <v>1000</v>
      </c>
      <c r="AM18" s="122" t="s">
        <v>1001</v>
      </c>
      <c r="AN18" s="123" t="s">
        <v>1002</v>
      </c>
      <c r="AO18" s="107">
        <v>12.0</v>
      </c>
      <c r="AP18" s="126" t="s">
        <v>1003</v>
      </c>
      <c r="AQ18" s="127" t="s">
        <v>1004</v>
      </c>
      <c r="AR18" s="128" t="s">
        <v>1005</v>
      </c>
      <c r="AS18" s="110"/>
      <c r="AT18" s="110"/>
    </row>
    <row r="19">
      <c r="A19" s="107">
        <v>13.0</v>
      </c>
      <c r="B19" s="108" t="s">
        <v>1006</v>
      </c>
      <c r="C19" s="111" t="s">
        <v>1007</v>
      </c>
      <c r="D19" s="110" t="s">
        <v>1008</v>
      </c>
      <c r="E19" s="107">
        <v>13.0</v>
      </c>
      <c r="F19" s="108" t="s">
        <v>1009</v>
      </c>
      <c r="G19" s="109" t="s">
        <v>1010</v>
      </c>
      <c r="H19" s="110" t="s">
        <v>1011</v>
      </c>
      <c r="I19" s="107">
        <v>13.0</v>
      </c>
      <c r="J19" s="108" t="s">
        <v>1012</v>
      </c>
      <c r="K19" s="111" t="s">
        <v>1013</v>
      </c>
      <c r="L19" s="110" t="s">
        <v>1014</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1015</v>
      </c>
      <c r="Q19" s="107">
        <v>13.0</v>
      </c>
      <c r="R19" s="125" t="s">
        <v>1012</v>
      </c>
      <c r="S19" s="113" t="s">
        <v>1016</v>
      </c>
      <c r="T19" s="72" t="s">
        <v>1017</v>
      </c>
      <c r="U19" s="107">
        <v>13.0</v>
      </c>
      <c r="V19" s="108" t="s">
        <v>1018</v>
      </c>
      <c r="W19" s="111" t="s">
        <v>1019</v>
      </c>
      <c r="X19" s="72" t="s">
        <v>1020</v>
      </c>
      <c r="Y19" s="107">
        <v>13.0</v>
      </c>
      <c r="Z19" s="114" t="s">
        <v>1021</v>
      </c>
      <c r="AA19" s="115" t="s">
        <v>1022</v>
      </c>
      <c r="AB19" s="116" t="s">
        <v>1023</v>
      </c>
      <c r="AC19" s="107">
        <v>13.0</v>
      </c>
      <c r="AD19" s="108" t="s">
        <v>1024</v>
      </c>
      <c r="AE19" s="109" t="s">
        <v>1025</v>
      </c>
      <c r="AF19" s="110" t="s">
        <v>1026</v>
      </c>
      <c r="AG19" s="117">
        <v>13.0</v>
      </c>
      <c r="AH19" s="118" t="s">
        <v>1012</v>
      </c>
      <c r="AI19" s="130" t="s">
        <v>1027</v>
      </c>
      <c r="AJ19" s="120" t="s">
        <v>1028</v>
      </c>
      <c r="AK19" s="107">
        <v>13.0</v>
      </c>
      <c r="AL19" s="121" t="s">
        <v>1012</v>
      </c>
      <c r="AM19" s="131" t="s">
        <v>1029</v>
      </c>
      <c r="AN19" s="123" t="s">
        <v>1030</v>
      </c>
      <c r="AO19" s="107">
        <v>13.0</v>
      </c>
      <c r="AP19" s="112" t="s">
        <v>1031</v>
      </c>
      <c r="AQ19" s="111" t="s">
        <v>1032</v>
      </c>
      <c r="AR19" s="72" t="s">
        <v>1033</v>
      </c>
      <c r="AS19" s="110"/>
      <c r="AT19" s="110"/>
    </row>
    <row r="20">
      <c r="A20" s="107">
        <v>14.0</v>
      </c>
      <c r="B20" s="108" t="s">
        <v>1034</v>
      </c>
      <c r="C20" s="109" t="s">
        <v>1035</v>
      </c>
      <c r="D20" s="110" t="s">
        <v>1036</v>
      </c>
      <c r="E20" s="107">
        <v>14.0</v>
      </c>
      <c r="F20" s="108" t="s">
        <v>1037</v>
      </c>
      <c r="G20" s="109" t="s">
        <v>1038</v>
      </c>
      <c r="H20" s="110" t="s">
        <v>1039</v>
      </c>
      <c r="I20" s="107">
        <v>14.0</v>
      </c>
      <c r="J20" s="108" t="s">
        <v>1040</v>
      </c>
      <c r="K20" s="109" t="s">
        <v>1041</v>
      </c>
      <c r="L20" s="110" t="s">
        <v>1042</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1043</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1044</v>
      </c>
      <c r="W20" s="111" t="s">
        <v>1045</v>
      </c>
      <c r="X20" s="72" t="s">
        <v>1046</v>
      </c>
      <c r="Y20" s="107">
        <v>14.0</v>
      </c>
      <c r="Z20" s="114" t="s">
        <v>1047</v>
      </c>
      <c r="AA20" s="115" t="s">
        <v>1048</v>
      </c>
      <c r="AB20" s="116" t="s">
        <v>1049</v>
      </c>
      <c r="AC20" s="107">
        <v>14.0</v>
      </c>
      <c r="AD20" s="108" t="s">
        <v>1050</v>
      </c>
      <c r="AE20" s="109" t="s">
        <v>1051</v>
      </c>
      <c r="AF20" s="110" t="s">
        <v>1052</v>
      </c>
      <c r="AG20" s="117">
        <v>14.0</v>
      </c>
      <c r="AH20" s="118" t="s">
        <v>1053</v>
      </c>
      <c r="AI20" s="119" t="s">
        <v>1054</v>
      </c>
      <c r="AJ20" s="120" t="s">
        <v>1055</v>
      </c>
      <c r="AK20" s="107">
        <v>14.0</v>
      </c>
      <c r="AL20" s="121" t="s">
        <v>1056</v>
      </c>
      <c r="AM20" s="122" t="s">
        <v>1057</v>
      </c>
      <c r="AN20" s="123" t="s">
        <v>1058</v>
      </c>
      <c r="AO20" s="107">
        <v>14.0</v>
      </c>
      <c r="AP20" s="112" t="s">
        <v>1059</v>
      </c>
      <c r="AQ20" s="111" t="s">
        <v>1060</v>
      </c>
      <c r="AR20" s="72" t="s">
        <v>1061</v>
      </c>
      <c r="AS20" s="110"/>
      <c r="AT20" s="110"/>
    </row>
    <row r="21">
      <c r="A21" s="107">
        <v>15.0</v>
      </c>
      <c r="B21" s="108" t="s">
        <v>1062</v>
      </c>
      <c r="C21" s="109" t="s">
        <v>1063</v>
      </c>
      <c r="D21" s="110" t="s">
        <v>1064</v>
      </c>
      <c r="E21" s="107">
        <v>15.0</v>
      </c>
      <c r="F21" s="108" t="s">
        <v>1065</v>
      </c>
      <c r="G21" s="109" t="s">
        <v>1066</v>
      </c>
      <c r="H21" s="110" t="s">
        <v>1067</v>
      </c>
      <c r="I21" s="107">
        <v>15.0</v>
      </c>
      <c r="J21" s="108" t="s">
        <v>1068</v>
      </c>
      <c r="K21" s="109" t="s">
        <v>1069</v>
      </c>
      <c r="L21" s="110" t="s">
        <v>1070</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1071</v>
      </c>
      <c r="S21" s="111" t="s">
        <v>1072</v>
      </c>
      <c r="T21" s="72" t="s">
        <v>1073</v>
      </c>
      <c r="U21" s="107">
        <v>15.0</v>
      </c>
      <c r="V21" s="112" t="s">
        <v>1074</v>
      </c>
      <c r="W21" s="111" t="s">
        <v>1075</v>
      </c>
      <c r="X21" s="135" t="s">
        <v>1076</v>
      </c>
      <c r="Y21" s="107">
        <v>15.0</v>
      </c>
      <c r="Z21" s="114" t="s">
        <v>1077</v>
      </c>
      <c r="AA21" s="115" t="s">
        <v>1078</v>
      </c>
      <c r="AB21" s="116" t="s">
        <v>1079</v>
      </c>
      <c r="AC21" s="107">
        <v>15.0</v>
      </c>
      <c r="AD21" s="108" t="s">
        <v>1080</v>
      </c>
      <c r="AE21" s="109" t="s">
        <v>1081</v>
      </c>
      <c r="AF21" s="110" t="s">
        <v>1082</v>
      </c>
      <c r="AG21" s="117">
        <v>15.0</v>
      </c>
      <c r="AH21" s="118" t="s">
        <v>1083</v>
      </c>
      <c r="AI21" s="119" t="s">
        <v>1084</v>
      </c>
      <c r="AJ21" s="120" t="s">
        <v>1085</v>
      </c>
      <c r="AK21" s="107">
        <v>15.0</v>
      </c>
      <c r="AL21" s="121" t="s">
        <v>1086</v>
      </c>
      <c r="AM21" s="122" t="s">
        <v>1087</v>
      </c>
      <c r="AN21" s="123" t="s">
        <v>1088</v>
      </c>
      <c r="AO21" s="107">
        <v>15.0</v>
      </c>
      <c r="AP21" s="112" t="s">
        <v>1089</v>
      </c>
      <c r="AQ21" s="111" t="s">
        <v>1090</v>
      </c>
      <c r="AR21" s="72" t="s">
        <v>1091</v>
      </c>
      <c r="AS21" s="110"/>
      <c r="AT21" s="110"/>
    </row>
    <row r="22">
      <c r="A22" s="107">
        <v>16.0</v>
      </c>
      <c r="B22" s="108" t="s">
        <v>1092</v>
      </c>
      <c r="C22" s="109" t="s">
        <v>1093</v>
      </c>
      <c r="D22" s="110" t="s">
        <v>1094</v>
      </c>
      <c r="E22" s="107">
        <v>16.0</v>
      </c>
      <c r="F22" s="108" t="s">
        <v>1095</v>
      </c>
      <c r="G22" s="109" t="s">
        <v>1096</v>
      </c>
      <c r="H22" s="110" t="s">
        <v>1097</v>
      </c>
      <c r="I22" s="107">
        <v>16.0</v>
      </c>
      <c r="J22" s="108" t="s">
        <v>1098</v>
      </c>
      <c r="K22" s="109" t="s">
        <v>1099</v>
      </c>
      <c r="L22" s="110" t="s">
        <v>1100</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1101</v>
      </c>
      <c r="S22" s="113" t="s">
        <v>1102</v>
      </c>
      <c r="T22" s="72" t="s">
        <v>1103</v>
      </c>
      <c r="U22" s="107">
        <v>16.0</v>
      </c>
      <c r="V22" s="112" t="s">
        <v>1104</v>
      </c>
      <c r="W22" s="111" t="s">
        <v>1105</v>
      </c>
      <c r="X22" s="72" t="s">
        <v>1106</v>
      </c>
      <c r="Y22" s="107">
        <v>16.0</v>
      </c>
      <c r="Z22" s="114" t="s">
        <v>1107</v>
      </c>
      <c r="AA22" s="115" t="s">
        <v>1108</v>
      </c>
      <c r="AB22" s="116" t="s">
        <v>1109</v>
      </c>
      <c r="AC22" s="107">
        <v>16.0</v>
      </c>
      <c r="AD22" s="108" t="s">
        <v>1110</v>
      </c>
      <c r="AE22" s="109" t="s">
        <v>1111</v>
      </c>
      <c r="AF22" s="110" t="s">
        <v>1112</v>
      </c>
      <c r="AG22" s="117">
        <v>16.0</v>
      </c>
      <c r="AH22" s="118" t="s">
        <v>1113</v>
      </c>
      <c r="AI22" s="119" t="s">
        <v>1114</v>
      </c>
      <c r="AJ22" s="120" t="s">
        <v>1115</v>
      </c>
      <c r="AK22" s="107">
        <v>16.0</v>
      </c>
      <c r="AL22" s="121" t="s">
        <v>1116</v>
      </c>
      <c r="AM22" s="122" t="s">
        <v>1117</v>
      </c>
      <c r="AN22" s="129" t="s">
        <v>1118</v>
      </c>
      <c r="AO22" s="107">
        <v>16.0</v>
      </c>
      <c r="AP22" s="112" t="s">
        <v>1119</v>
      </c>
      <c r="AQ22" s="111" t="s">
        <v>1120</v>
      </c>
      <c r="AR22" s="72" t="s">
        <v>1121</v>
      </c>
      <c r="AS22" s="110"/>
      <c r="AT22" s="110"/>
    </row>
    <row r="23">
      <c r="A23" s="107">
        <v>17.0</v>
      </c>
      <c r="B23" s="108" t="s">
        <v>1122</v>
      </c>
      <c r="C23" s="109" t="s">
        <v>1123</v>
      </c>
      <c r="D23" s="110" t="s">
        <v>1124</v>
      </c>
      <c r="E23" s="107">
        <v>17.0</v>
      </c>
      <c r="F23" s="108" t="s">
        <v>1125</v>
      </c>
      <c r="G23" s="109" t="s">
        <v>1126</v>
      </c>
      <c r="H23" s="110" t="s">
        <v>1127</v>
      </c>
      <c r="I23" s="107">
        <v>17.0</v>
      </c>
      <c r="J23" s="108" t="s">
        <v>1128</v>
      </c>
      <c r="K23" s="109" t="s">
        <v>1129</v>
      </c>
      <c r="L23" s="110" t="s">
        <v>1130</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1131</v>
      </c>
      <c r="S23" s="111" t="s">
        <v>1132</v>
      </c>
      <c r="T23" s="72" t="s">
        <v>1133</v>
      </c>
      <c r="U23" s="107">
        <v>17.0</v>
      </c>
      <c r="V23" s="136" t="s">
        <v>1134</v>
      </c>
      <c r="W23" s="111" t="s">
        <v>1135</v>
      </c>
      <c r="X23" s="72" t="s">
        <v>1136</v>
      </c>
      <c r="Y23" s="107">
        <v>17.0</v>
      </c>
      <c r="Z23" s="114" t="s">
        <v>1137</v>
      </c>
      <c r="AA23" s="115" t="s">
        <v>1138</v>
      </c>
      <c r="AB23" s="116" t="s">
        <v>1139</v>
      </c>
      <c r="AC23" s="107">
        <v>17.0</v>
      </c>
      <c r="AD23" s="108" t="s">
        <v>1140</v>
      </c>
      <c r="AE23" s="109" t="s">
        <v>1141</v>
      </c>
      <c r="AF23" s="110" t="s">
        <v>1142</v>
      </c>
      <c r="AG23" s="117">
        <v>17.0</v>
      </c>
      <c r="AH23" s="118" t="s">
        <v>1143</v>
      </c>
      <c r="AI23" s="130" t="s">
        <v>1144</v>
      </c>
      <c r="AJ23" s="134" t="s">
        <v>1145</v>
      </c>
      <c r="AK23" s="107">
        <v>17.0</v>
      </c>
      <c r="AL23" s="121" t="s">
        <v>1146</v>
      </c>
      <c r="AM23" s="122" t="s">
        <v>1147</v>
      </c>
      <c r="AN23" s="123" t="s">
        <v>1148</v>
      </c>
      <c r="AO23" s="107">
        <v>17.0</v>
      </c>
      <c r="AP23" s="112" t="s">
        <v>1149</v>
      </c>
      <c r="AQ23" s="111" t="s">
        <v>1150</v>
      </c>
      <c r="AR23" s="72" t="s">
        <v>1151</v>
      </c>
      <c r="AS23" s="110"/>
      <c r="AT23" s="110"/>
    </row>
    <row r="24">
      <c r="A24" s="107">
        <v>18.0</v>
      </c>
      <c r="B24" s="108" t="s">
        <v>1152</v>
      </c>
      <c r="C24" s="109" t="s">
        <v>1153</v>
      </c>
      <c r="D24" s="110" t="s">
        <v>1154</v>
      </c>
      <c r="E24" s="107">
        <v>18.0</v>
      </c>
      <c r="F24" s="108" t="s">
        <v>1155</v>
      </c>
      <c r="G24" s="109" t="s">
        <v>1156</v>
      </c>
      <c r="H24" s="110" t="s">
        <v>1157</v>
      </c>
      <c r="I24" s="107">
        <v>18.0</v>
      </c>
      <c r="J24" s="108" t="s">
        <v>1158</v>
      </c>
      <c r="K24" s="109" t="s">
        <v>1159</v>
      </c>
      <c r="L24" s="72" t="s">
        <v>1160</v>
      </c>
      <c r="M24" s="107">
        <v>18.0</v>
      </c>
      <c r="N24" s="108" t="str">
        <f>IFERROR(__xludf.DUMMYFUNCTION("GOOGLETRANSLATE(B24,""zh-tw"",""zh"")"),"哥困了")</f>
        <v>哥困了</v>
      </c>
      <c r="O24" s="113" t="str">
        <f>IFERROR(__xludf.DUMMYFUNCTION("GOOGLETRANSLATE(C24,""zh-tw"",""zh"")"),"提前睡觉")</f>
        <v>提前睡觉</v>
      </c>
      <c r="P24" s="75" t="s">
        <v>1161</v>
      </c>
      <c r="Q24" s="107">
        <v>18.0</v>
      </c>
      <c r="R24" s="112" t="s">
        <v>1162</v>
      </c>
      <c r="S24" s="111" t="s">
        <v>1163</v>
      </c>
      <c r="T24" s="72" t="s">
        <v>1164</v>
      </c>
      <c r="U24" s="107">
        <v>18.0</v>
      </c>
      <c r="V24" s="136" t="s">
        <v>1165</v>
      </c>
      <c r="W24" s="111" t="s">
        <v>1166</v>
      </c>
      <c r="X24" s="72" t="s">
        <v>1167</v>
      </c>
      <c r="Y24" s="107">
        <v>18.0</v>
      </c>
      <c r="Z24" s="114" t="s">
        <v>1168</v>
      </c>
      <c r="AA24" s="115" t="s">
        <v>1169</v>
      </c>
      <c r="AB24" s="116" t="s">
        <v>1170</v>
      </c>
      <c r="AC24" s="107">
        <v>18.0</v>
      </c>
      <c r="AD24" s="108" t="s">
        <v>1171</v>
      </c>
      <c r="AE24" s="109" t="s">
        <v>1172</v>
      </c>
      <c r="AF24" s="110" t="s">
        <v>1173</v>
      </c>
      <c r="AG24" s="117">
        <v>18.0</v>
      </c>
      <c r="AH24" s="118" t="s">
        <v>1174</v>
      </c>
      <c r="AI24" s="119" t="s">
        <v>1175</v>
      </c>
      <c r="AJ24" s="120" t="s">
        <v>1176</v>
      </c>
      <c r="AK24" s="107">
        <v>18.0</v>
      </c>
      <c r="AL24" s="121" t="s">
        <v>1177</v>
      </c>
      <c r="AM24" s="122" t="s">
        <v>1178</v>
      </c>
      <c r="AN24" s="123" t="s">
        <v>1179</v>
      </c>
      <c r="AO24" s="107">
        <v>18.0</v>
      </c>
      <c r="AP24" s="112" t="s">
        <v>1180</v>
      </c>
      <c r="AQ24" s="111" t="s">
        <v>1181</v>
      </c>
      <c r="AR24" s="72" t="s">
        <v>1182</v>
      </c>
      <c r="AS24" s="110"/>
      <c r="AT24" s="110"/>
    </row>
    <row r="25">
      <c r="A25" s="107">
        <v>19.0</v>
      </c>
      <c r="B25" s="108" t="s">
        <v>1183</v>
      </c>
      <c r="C25" s="109" t="s">
        <v>1184</v>
      </c>
      <c r="D25" s="110" t="s">
        <v>1185</v>
      </c>
      <c r="E25" s="107">
        <v>19.0</v>
      </c>
      <c r="F25" s="108" t="s">
        <v>1186</v>
      </c>
      <c r="G25" s="109" t="s">
        <v>1187</v>
      </c>
      <c r="H25" s="110" t="s">
        <v>1188</v>
      </c>
      <c r="I25" s="107">
        <v>19.0</v>
      </c>
      <c r="J25" s="108" t="s">
        <v>1189</v>
      </c>
      <c r="K25" s="109" t="s">
        <v>1190</v>
      </c>
      <c r="L25" s="110" t="s">
        <v>1191</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1192</v>
      </c>
      <c r="S25" s="113" t="s">
        <v>1193</v>
      </c>
      <c r="T25" s="124" t="s">
        <v>1194</v>
      </c>
      <c r="U25" s="107">
        <v>19.0</v>
      </c>
      <c r="V25" s="112" t="s">
        <v>1195</v>
      </c>
      <c r="W25" s="111" t="s">
        <v>1196</v>
      </c>
      <c r="X25" s="72" t="s">
        <v>1197</v>
      </c>
      <c r="Y25" s="107">
        <v>19.0</v>
      </c>
      <c r="Z25" s="114" t="s">
        <v>1198</v>
      </c>
      <c r="AA25" s="115" t="s">
        <v>1199</v>
      </c>
      <c r="AB25" s="116" t="s">
        <v>1200</v>
      </c>
      <c r="AC25" s="107">
        <v>19.0</v>
      </c>
      <c r="AD25" s="108" t="s">
        <v>1201</v>
      </c>
      <c r="AE25" s="109" t="s">
        <v>1202</v>
      </c>
      <c r="AF25" s="110" t="s">
        <v>1203</v>
      </c>
      <c r="AG25" s="117">
        <v>19.0</v>
      </c>
      <c r="AH25" s="118" t="s">
        <v>1204</v>
      </c>
      <c r="AI25" s="119" t="s">
        <v>1205</v>
      </c>
      <c r="AJ25" s="120" t="s">
        <v>1206</v>
      </c>
      <c r="AK25" s="107">
        <v>19.0</v>
      </c>
      <c r="AL25" s="121" t="s">
        <v>1207</v>
      </c>
      <c r="AM25" s="122" t="s">
        <v>1208</v>
      </c>
      <c r="AN25" s="123" t="s">
        <v>1209</v>
      </c>
      <c r="AO25" s="107">
        <v>19.0</v>
      </c>
      <c r="AP25" s="112" t="s">
        <v>1210</v>
      </c>
      <c r="AQ25" s="111" t="s">
        <v>1211</v>
      </c>
      <c r="AR25" s="72" t="s">
        <v>1212</v>
      </c>
      <c r="AS25" s="110"/>
      <c r="AT25" s="110"/>
    </row>
    <row r="26">
      <c r="A26" s="137">
        <v>20.0</v>
      </c>
      <c r="B26" s="108" t="s">
        <v>1213</v>
      </c>
      <c r="C26" s="109" t="s">
        <v>1214</v>
      </c>
      <c r="D26" s="110" t="s">
        <v>1215</v>
      </c>
      <c r="E26" s="138"/>
      <c r="F26" s="108" t="s">
        <v>1216</v>
      </c>
      <c r="G26" s="109" t="s">
        <v>1217</v>
      </c>
      <c r="H26" s="110" t="s">
        <v>1218</v>
      </c>
      <c r="I26" s="137">
        <v>20.0</v>
      </c>
      <c r="J26" s="108" t="s">
        <v>1219</v>
      </c>
      <c r="K26" s="109" t="s">
        <v>1220</v>
      </c>
      <c r="L26" s="110" t="s">
        <v>1221</v>
      </c>
      <c r="M26" s="137">
        <v>20.0</v>
      </c>
      <c r="N26" s="108" t="s">
        <v>1222</v>
      </c>
      <c r="O26" s="113" t="s">
        <v>1223</v>
      </c>
      <c r="P26" s="75" t="s">
        <v>1224</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1225</v>
      </c>
      <c r="AA26" s="115" t="s">
        <v>1226</v>
      </c>
      <c r="AB26" s="116" t="s">
        <v>1227</v>
      </c>
      <c r="AC26" s="137">
        <v>20.0</v>
      </c>
      <c r="AD26" s="108" t="s">
        <v>1228</v>
      </c>
      <c r="AE26" s="109" t="s">
        <v>1229</v>
      </c>
      <c r="AF26" s="110" t="s">
        <v>1230</v>
      </c>
      <c r="AG26" s="143">
        <v>20.0</v>
      </c>
      <c r="AH26" s="144" t="s">
        <v>1231</v>
      </c>
      <c r="AI26" s="145" t="s">
        <v>1232</v>
      </c>
      <c r="AJ26" s="146" t="s">
        <v>1233</v>
      </c>
      <c r="AK26" s="137">
        <v>20.0</v>
      </c>
      <c r="AL26" s="108" t="s">
        <v>1234</v>
      </c>
      <c r="AM26" s="109" t="s">
        <v>1235</v>
      </c>
      <c r="AN26" s="110" t="s">
        <v>1236</v>
      </c>
      <c r="AO26" s="138">
        <v>20.0</v>
      </c>
      <c r="AP26" s="147" t="s">
        <v>1237</v>
      </c>
      <c r="AQ26" s="145" t="s">
        <v>1238</v>
      </c>
      <c r="AR26" s="146" t="s">
        <v>1239</v>
      </c>
      <c r="AS26" s="146"/>
      <c r="AT26" s="146"/>
    </row>
    <row r="27">
      <c r="A27" s="107">
        <v>21.0</v>
      </c>
      <c r="B27" s="112" t="s">
        <v>1240</v>
      </c>
      <c r="C27" s="109" t="s">
        <v>1241</v>
      </c>
      <c r="D27" s="110" t="s">
        <v>1064</v>
      </c>
      <c r="E27" s="107">
        <v>21.0</v>
      </c>
      <c r="F27" s="112" t="s">
        <v>1240</v>
      </c>
      <c r="G27" s="109" t="s">
        <v>1242</v>
      </c>
      <c r="H27" s="110" t="s">
        <v>1067</v>
      </c>
      <c r="I27" s="107">
        <v>21.0</v>
      </c>
      <c r="J27" s="112" t="s">
        <v>1240</v>
      </c>
      <c r="K27" s="109" t="s">
        <v>1243</v>
      </c>
      <c r="L27" s="72" t="s">
        <v>1244</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1240</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1240</v>
      </c>
      <c r="W27" s="111" t="s">
        <v>1245</v>
      </c>
      <c r="X27" s="148" t="s">
        <v>1076</v>
      </c>
      <c r="Y27" s="107">
        <v>21.0</v>
      </c>
      <c r="Z27" s="114" t="s">
        <v>1240</v>
      </c>
      <c r="AA27" s="115" t="s">
        <v>1246</v>
      </c>
      <c r="AB27" s="116" t="s">
        <v>1247</v>
      </c>
      <c r="AC27" s="107">
        <v>21.0</v>
      </c>
      <c r="AD27" s="112" t="s">
        <v>1240</v>
      </c>
      <c r="AE27" s="109" t="s">
        <v>1248</v>
      </c>
      <c r="AF27" s="110" t="s">
        <v>1082</v>
      </c>
      <c r="AG27" s="117">
        <v>21.0</v>
      </c>
      <c r="AH27" s="118" t="s">
        <v>1240</v>
      </c>
      <c r="AI27" s="119" t="s">
        <v>1249</v>
      </c>
      <c r="AJ27" s="134" t="s">
        <v>1250</v>
      </c>
      <c r="AK27" s="107">
        <v>21.0</v>
      </c>
      <c r="AL27" s="121" t="s">
        <v>1240</v>
      </c>
      <c r="AM27" s="122" t="s">
        <v>1251</v>
      </c>
      <c r="AN27" s="123" t="s">
        <v>1088</v>
      </c>
      <c r="AO27" s="107">
        <v>21.0</v>
      </c>
      <c r="AP27" s="112" t="s">
        <v>1240</v>
      </c>
      <c r="AQ27" s="111" t="s">
        <v>1252</v>
      </c>
      <c r="AR27" s="72" t="s">
        <v>1091</v>
      </c>
      <c r="AS27" s="110"/>
      <c r="AT27" s="110"/>
    </row>
    <row r="28">
      <c r="A28" s="107">
        <v>22.0</v>
      </c>
      <c r="B28" s="108" t="s">
        <v>1253</v>
      </c>
      <c r="C28" s="109" t="s">
        <v>1254</v>
      </c>
      <c r="D28" s="110" t="s">
        <v>1255</v>
      </c>
      <c r="E28" s="107">
        <v>22.0</v>
      </c>
      <c r="F28" s="108" t="s">
        <v>1256</v>
      </c>
      <c r="G28" s="111" t="s">
        <v>1257</v>
      </c>
      <c r="H28" s="110" t="s">
        <v>1258</v>
      </c>
      <c r="I28" s="107">
        <v>22.0</v>
      </c>
      <c r="J28" s="108" t="s">
        <v>1259</v>
      </c>
      <c r="K28" s="111" t="s">
        <v>1260</v>
      </c>
      <c r="L28" s="110" t="s">
        <v>1261</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1262</v>
      </c>
      <c r="S28" s="111" t="s">
        <v>1263</v>
      </c>
      <c r="T28" s="75" t="s">
        <v>1264</v>
      </c>
      <c r="U28" s="107">
        <v>22.0</v>
      </c>
      <c r="V28" s="112" t="s">
        <v>1265</v>
      </c>
      <c r="W28" s="111" t="s">
        <v>1266</v>
      </c>
      <c r="X28" s="72" t="s">
        <v>1267</v>
      </c>
      <c r="Y28" s="107">
        <v>22.0</v>
      </c>
      <c r="Z28" s="114" t="s">
        <v>1268</v>
      </c>
      <c r="AA28" s="115" t="s">
        <v>1269</v>
      </c>
      <c r="AB28" s="116" t="s">
        <v>1270</v>
      </c>
      <c r="AC28" s="107">
        <v>22.0</v>
      </c>
      <c r="AD28" s="108" t="s">
        <v>1271</v>
      </c>
      <c r="AE28" s="111" t="s">
        <v>1272</v>
      </c>
      <c r="AF28" s="72" t="s">
        <v>1273</v>
      </c>
      <c r="AG28" s="117">
        <v>22.0</v>
      </c>
      <c r="AH28" s="118" t="s">
        <v>1274</v>
      </c>
      <c r="AI28" s="119" t="s">
        <v>1275</v>
      </c>
      <c r="AJ28" s="120" t="s">
        <v>1276</v>
      </c>
      <c r="AK28" s="107">
        <v>22.0</v>
      </c>
      <c r="AL28" s="121" t="s">
        <v>1277</v>
      </c>
      <c r="AM28" s="122" t="s">
        <v>1278</v>
      </c>
      <c r="AN28" s="123" t="s">
        <v>1279</v>
      </c>
      <c r="AO28" s="107">
        <v>22.0</v>
      </c>
      <c r="AP28" s="108" t="s">
        <v>1259</v>
      </c>
      <c r="AQ28" s="111" t="s">
        <v>1260</v>
      </c>
      <c r="AR28" s="110" t="s">
        <v>1261</v>
      </c>
      <c r="AS28" s="110"/>
      <c r="AT28" s="110"/>
    </row>
    <row r="29">
      <c r="A29" s="139">
        <v>23.0</v>
      </c>
      <c r="B29" s="108" t="s">
        <v>1280</v>
      </c>
      <c r="C29" s="109" t="s">
        <v>1281</v>
      </c>
      <c r="D29" s="110" t="s">
        <v>1282</v>
      </c>
      <c r="E29" s="139">
        <v>23.0</v>
      </c>
      <c r="F29" s="108" t="s">
        <v>1283</v>
      </c>
      <c r="G29" s="109" t="s">
        <v>1284</v>
      </c>
      <c r="H29" s="110" t="s">
        <v>1285</v>
      </c>
      <c r="I29" s="139">
        <v>23.0</v>
      </c>
      <c r="J29" s="108" t="s">
        <v>1286</v>
      </c>
      <c r="K29" s="111" t="s">
        <v>1287</v>
      </c>
      <c r="L29" s="110" t="s">
        <v>1288</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1289</v>
      </c>
      <c r="W29" s="111" t="s">
        <v>1290</v>
      </c>
      <c r="X29" s="72" t="s">
        <v>1291</v>
      </c>
      <c r="Y29" s="107">
        <v>23.0</v>
      </c>
      <c r="Z29" s="149" t="s">
        <v>1292</v>
      </c>
      <c r="AA29" s="150" t="s">
        <v>1293</v>
      </c>
      <c r="AB29" s="132" t="s">
        <v>1294</v>
      </c>
      <c r="AC29" s="139">
        <v>23.0</v>
      </c>
      <c r="AD29" s="108" t="s">
        <v>1295</v>
      </c>
      <c r="AE29" s="109" t="s">
        <v>1296</v>
      </c>
      <c r="AF29" s="110" t="s">
        <v>1297</v>
      </c>
      <c r="AG29" s="151">
        <v>23.0</v>
      </c>
      <c r="AH29" s="118" t="s">
        <v>1298</v>
      </c>
      <c r="AI29" s="152" t="s">
        <v>1299</v>
      </c>
      <c r="AJ29" s="134" t="s">
        <v>1300</v>
      </c>
      <c r="AK29" s="139">
        <v>23.0</v>
      </c>
      <c r="AL29" s="121" t="s">
        <v>1301</v>
      </c>
      <c r="AM29" s="122" t="s">
        <v>1302</v>
      </c>
      <c r="AN29" s="123" t="s">
        <v>1303</v>
      </c>
      <c r="AO29" s="139">
        <v>23.0</v>
      </c>
      <c r="AP29" s="108" t="s">
        <v>1286</v>
      </c>
      <c r="AQ29" s="111" t="s">
        <v>1287</v>
      </c>
      <c r="AR29" s="110" t="s">
        <v>1288</v>
      </c>
      <c r="AS29" s="110"/>
      <c r="AT29" s="110"/>
    </row>
    <row r="30">
      <c r="A30" s="107">
        <v>24.0</v>
      </c>
      <c r="B30" s="121" t="s">
        <v>1304</v>
      </c>
      <c r="C30" s="122" t="s">
        <v>1305</v>
      </c>
      <c r="D30" s="123" t="s">
        <v>1306</v>
      </c>
      <c r="E30" s="107">
        <v>24.0</v>
      </c>
      <c r="F30" s="153" t="s">
        <v>1307</v>
      </c>
      <c r="G30" s="154" t="s">
        <v>1308</v>
      </c>
      <c r="H30" s="155" t="s">
        <v>1309</v>
      </c>
      <c r="I30" s="107">
        <v>24.0</v>
      </c>
      <c r="J30" s="108" t="s">
        <v>1310</v>
      </c>
      <c r="K30" s="154" t="s">
        <v>1311</v>
      </c>
      <c r="L30" s="155" t="s">
        <v>1312</v>
      </c>
      <c r="M30" s="107">
        <v>24.0</v>
      </c>
      <c r="N30" s="121" t="s">
        <v>1313</v>
      </c>
      <c r="O30" s="141" t="s">
        <v>1314</v>
      </c>
      <c r="P30" s="142" t="s">
        <v>1315</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1316</v>
      </c>
      <c r="W30" s="131" t="s">
        <v>1317</v>
      </c>
      <c r="X30" s="129" t="s">
        <v>1318</v>
      </c>
      <c r="Y30" s="107">
        <v>24.0</v>
      </c>
      <c r="Z30" s="149" t="s">
        <v>1319</v>
      </c>
      <c r="AA30" s="150" t="s">
        <v>1320</v>
      </c>
      <c r="AB30" s="132" t="s">
        <v>1321</v>
      </c>
      <c r="AC30" s="107">
        <v>24.0</v>
      </c>
      <c r="AD30" s="153" t="s">
        <v>1322</v>
      </c>
      <c r="AE30" s="154" t="s">
        <v>1323</v>
      </c>
      <c r="AF30" s="155" t="s">
        <v>1324</v>
      </c>
      <c r="AG30" s="117">
        <v>24.0</v>
      </c>
      <c r="AH30" s="157" t="s">
        <v>1325</v>
      </c>
      <c r="AI30" s="158" t="s">
        <v>1326</v>
      </c>
      <c r="AJ30" s="159" t="s">
        <v>1327</v>
      </c>
      <c r="AK30" s="107">
        <v>24.0</v>
      </c>
      <c r="AL30" s="121" t="s">
        <v>1328</v>
      </c>
      <c r="AM30" s="122" t="s">
        <v>1329</v>
      </c>
      <c r="AN30" s="123" t="s">
        <v>1330</v>
      </c>
      <c r="AO30" s="107">
        <v>24.0</v>
      </c>
      <c r="AP30" s="108" t="s">
        <v>1310</v>
      </c>
      <c r="AQ30" s="154" t="s">
        <v>1311</v>
      </c>
      <c r="AR30" s="155" t="s">
        <v>1312</v>
      </c>
      <c r="AS30" s="123"/>
      <c r="AT30" s="123"/>
    </row>
    <row r="31">
      <c r="A31" s="139">
        <v>25.0</v>
      </c>
      <c r="B31" s="121" t="s">
        <v>1331</v>
      </c>
      <c r="C31" s="122" t="s">
        <v>1332</v>
      </c>
      <c r="D31" s="123" t="s">
        <v>1333</v>
      </c>
      <c r="E31" s="139">
        <v>25.0</v>
      </c>
      <c r="F31" s="160" t="s">
        <v>1334</v>
      </c>
      <c r="G31" s="131" t="s">
        <v>1335</v>
      </c>
      <c r="H31" s="129" t="s">
        <v>1336</v>
      </c>
      <c r="I31" s="139">
        <v>25.0</v>
      </c>
      <c r="J31" s="108" t="s">
        <v>1337</v>
      </c>
      <c r="K31" s="154" t="s">
        <v>1338</v>
      </c>
      <c r="L31" s="155" t="s">
        <v>1339</v>
      </c>
      <c r="M31" s="139">
        <v>25.0</v>
      </c>
      <c r="N31" s="121" t="s">
        <v>1340</v>
      </c>
      <c r="O31" s="141" t="s">
        <v>1341</v>
      </c>
      <c r="P31" s="142" t="s">
        <v>1342</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1343</v>
      </c>
      <c r="W31" s="131" t="s">
        <v>1344</v>
      </c>
      <c r="X31" s="129" t="s">
        <v>1345</v>
      </c>
      <c r="Y31" s="107">
        <v>25.0</v>
      </c>
      <c r="Z31" s="149" t="s">
        <v>1346</v>
      </c>
      <c r="AA31" s="150" t="s">
        <v>1347</v>
      </c>
      <c r="AB31" s="132" t="s">
        <v>1348</v>
      </c>
      <c r="AC31" s="139">
        <v>25.0</v>
      </c>
      <c r="AD31" s="161" t="s">
        <v>1349</v>
      </c>
      <c r="AE31" s="162" t="s">
        <v>1350</v>
      </c>
      <c r="AF31" s="163" t="s">
        <v>1351</v>
      </c>
      <c r="AG31" s="151">
        <v>25.0</v>
      </c>
      <c r="AH31" s="133" t="s">
        <v>1352</v>
      </c>
      <c r="AI31" s="164" t="s">
        <v>1353</v>
      </c>
      <c r="AJ31" s="6" t="s">
        <v>1354</v>
      </c>
      <c r="AK31" s="139">
        <v>25.0</v>
      </c>
      <c r="AL31" s="165" t="s">
        <v>1355</v>
      </c>
      <c r="AM31" s="166" t="s">
        <v>1356</v>
      </c>
      <c r="AN31" s="167" t="s">
        <v>1357</v>
      </c>
      <c r="AO31" s="139">
        <v>25.0</v>
      </c>
      <c r="AP31" s="108" t="s">
        <v>1337</v>
      </c>
      <c r="AQ31" s="154" t="s">
        <v>1338</v>
      </c>
      <c r="AR31" s="155" t="s">
        <v>1339</v>
      </c>
      <c r="AS31" s="123"/>
      <c r="AT31" s="123"/>
    </row>
    <row r="32">
      <c r="A32" s="107">
        <v>26.0</v>
      </c>
      <c r="B32" s="121" t="s">
        <v>1358</v>
      </c>
      <c r="C32" s="131" t="s">
        <v>1359</v>
      </c>
      <c r="D32" s="123" t="s">
        <v>1360</v>
      </c>
      <c r="E32" s="107">
        <v>26.0</v>
      </c>
      <c r="F32" s="160" t="s">
        <v>1361</v>
      </c>
      <c r="G32" s="131" t="s">
        <v>1362</v>
      </c>
      <c r="H32" s="129" t="s">
        <v>1363</v>
      </c>
      <c r="I32" s="107">
        <v>26.0</v>
      </c>
      <c r="J32" s="108" t="s">
        <v>1364</v>
      </c>
      <c r="K32" s="166" t="s">
        <v>1365</v>
      </c>
      <c r="L32" s="167" t="s">
        <v>1366</v>
      </c>
      <c r="M32" s="107">
        <v>26.0</v>
      </c>
      <c r="N32" s="121" t="s">
        <v>1367</v>
      </c>
      <c r="O32" s="131" t="s">
        <v>1368</v>
      </c>
      <c r="P32" s="129" t="s">
        <v>1369</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1370</v>
      </c>
      <c r="W32" s="131" t="s">
        <v>1371</v>
      </c>
      <c r="X32" s="129" t="s">
        <v>1372</v>
      </c>
      <c r="Y32" s="107">
        <v>26.0</v>
      </c>
      <c r="Z32" s="149" t="s">
        <v>1373</v>
      </c>
      <c r="AA32" s="150" t="s">
        <v>1374</v>
      </c>
      <c r="AB32" s="132" t="s">
        <v>1375</v>
      </c>
      <c r="AC32" s="107">
        <v>26.0</v>
      </c>
      <c r="AD32" s="161" t="s">
        <v>1376</v>
      </c>
      <c r="AE32" s="162" t="s">
        <v>1377</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1378</v>
      </c>
      <c r="AI32" s="169" t="s">
        <v>1379</v>
      </c>
      <c r="AJ32" s="6" t="s">
        <v>1380</v>
      </c>
      <c r="AK32" s="107">
        <v>26.0</v>
      </c>
      <c r="AL32" s="165" t="s">
        <v>1381</v>
      </c>
      <c r="AM32" s="166" t="s">
        <v>1382</v>
      </c>
      <c r="AN32" s="167" t="s">
        <v>1383</v>
      </c>
      <c r="AO32" s="107">
        <v>26.0</v>
      </c>
      <c r="AP32" s="108" t="s">
        <v>1364</v>
      </c>
      <c r="AQ32" s="166" t="s">
        <v>1365</v>
      </c>
      <c r="AR32" s="167" t="s">
        <v>1366</v>
      </c>
      <c r="AS32" s="123"/>
      <c r="AT32" s="123"/>
    </row>
    <row r="33">
      <c r="A33" s="107">
        <v>27.0</v>
      </c>
      <c r="B33" s="121" t="s">
        <v>1384</v>
      </c>
      <c r="C33" s="131" t="s">
        <v>1385</v>
      </c>
      <c r="D33" s="123" t="s">
        <v>1064</v>
      </c>
      <c r="E33" s="107">
        <v>27.0</v>
      </c>
      <c r="F33" s="160" t="s">
        <v>1386</v>
      </c>
      <c r="G33" s="131" t="s">
        <v>1387</v>
      </c>
      <c r="H33" s="129" t="s">
        <v>1067</v>
      </c>
      <c r="I33" s="107">
        <v>27.0</v>
      </c>
      <c r="J33" s="108" t="s">
        <v>1388</v>
      </c>
      <c r="K33" s="166" t="s">
        <v>1389</v>
      </c>
      <c r="L33" s="167" t="s">
        <v>1390</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1391</v>
      </c>
      <c r="AA33" s="150" t="s">
        <v>1392</v>
      </c>
      <c r="AB33" s="132" t="s">
        <v>1393</v>
      </c>
      <c r="AC33" s="107">
        <v>27.0</v>
      </c>
      <c r="AD33" s="161" t="s">
        <v>1394</v>
      </c>
      <c r="AE33" s="162" t="s">
        <v>1395</v>
      </c>
      <c r="AF33" s="168" t="s">
        <v>1082</v>
      </c>
      <c r="AG33" s="117">
        <v>27.0</v>
      </c>
      <c r="AH33" s="133" t="s">
        <v>1396</v>
      </c>
      <c r="AI33" s="164" t="s">
        <v>1397</v>
      </c>
      <c r="AJ33" s="6" t="s">
        <v>1398</v>
      </c>
      <c r="AK33" s="107">
        <v>27.0</v>
      </c>
      <c r="AL33" s="165" t="s">
        <v>1399</v>
      </c>
      <c r="AM33" s="166" t="s">
        <v>1400</v>
      </c>
      <c r="AN33" s="167" t="s">
        <v>1401</v>
      </c>
      <c r="AO33" s="107">
        <v>27.0</v>
      </c>
      <c r="AP33" s="108" t="s">
        <v>1402</v>
      </c>
      <c r="AQ33" s="166" t="s">
        <v>1403</v>
      </c>
      <c r="AR33" s="167" t="s">
        <v>1404</v>
      </c>
      <c r="AS33" s="123"/>
      <c r="AT33" s="123"/>
    </row>
    <row r="34">
      <c r="A34" s="107">
        <v>28.0</v>
      </c>
      <c r="B34" s="121" t="s">
        <v>1405</v>
      </c>
      <c r="C34" s="131" t="s">
        <v>1406</v>
      </c>
      <c r="D34" s="123" t="s">
        <v>1064</v>
      </c>
      <c r="E34" s="107">
        <v>28.0</v>
      </c>
      <c r="F34" s="160" t="s">
        <v>1407</v>
      </c>
      <c r="G34" s="131" t="s">
        <v>1408</v>
      </c>
      <c r="H34" s="129" t="s">
        <v>1067</v>
      </c>
      <c r="I34" s="107">
        <v>28.0</v>
      </c>
      <c r="J34" s="108" t="s">
        <v>1409</v>
      </c>
      <c r="K34" s="166" t="s">
        <v>1410</v>
      </c>
      <c r="L34" s="167" t="s">
        <v>1390</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1411</v>
      </c>
      <c r="AA34" s="150" t="s">
        <v>1412</v>
      </c>
      <c r="AB34" s="132" t="s">
        <v>1393</v>
      </c>
      <c r="AC34" s="107">
        <v>28.0</v>
      </c>
      <c r="AD34" s="161" t="s">
        <v>1413</v>
      </c>
      <c r="AE34" s="162" t="s">
        <v>1414</v>
      </c>
      <c r="AF34" s="168" t="s">
        <v>1082</v>
      </c>
      <c r="AG34" s="117">
        <v>28.0</v>
      </c>
      <c r="AH34" s="133" t="s">
        <v>1415</v>
      </c>
      <c r="AI34" s="164" t="s">
        <v>1416</v>
      </c>
      <c r="AJ34" s="6" t="s">
        <v>1398</v>
      </c>
      <c r="AK34" s="107">
        <v>28.0</v>
      </c>
      <c r="AL34" s="165" t="s">
        <v>1417</v>
      </c>
      <c r="AM34" s="166" t="s">
        <v>1418</v>
      </c>
      <c r="AN34" s="167" t="s">
        <v>1401</v>
      </c>
      <c r="AO34" s="107">
        <v>28.0</v>
      </c>
      <c r="AP34" s="108" t="s">
        <v>1419</v>
      </c>
      <c r="AQ34" s="166" t="s">
        <v>1420</v>
      </c>
      <c r="AR34" s="167" t="s">
        <v>1404</v>
      </c>
      <c r="AS34" s="123"/>
      <c r="AT34" s="123"/>
    </row>
    <row r="35">
      <c r="A35" s="107">
        <v>29.0</v>
      </c>
      <c r="B35" s="121" t="s">
        <v>1421</v>
      </c>
      <c r="C35" s="131" t="s">
        <v>1422</v>
      </c>
      <c r="D35" s="123" t="s">
        <v>1423</v>
      </c>
      <c r="E35" s="107">
        <v>29.0</v>
      </c>
      <c r="F35" s="160" t="s">
        <v>1424</v>
      </c>
      <c r="G35" s="131" t="s">
        <v>1425</v>
      </c>
      <c r="H35" s="129" t="s">
        <v>1426</v>
      </c>
      <c r="I35" s="107">
        <v>29.0</v>
      </c>
      <c r="J35" s="108" t="s">
        <v>1427</v>
      </c>
      <c r="K35" s="166" t="s">
        <v>1428</v>
      </c>
      <c r="L35" s="167" t="s">
        <v>1429</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1430</v>
      </c>
      <c r="AA35" s="150" t="s">
        <v>1431</v>
      </c>
      <c r="AB35" s="132" t="s">
        <v>1432</v>
      </c>
      <c r="AC35" s="107">
        <v>29.0</v>
      </c>
      <c r="AD35" s="161" t="s">
        <v>1433</v>
      </c>
      <c r="AE35" s="162" t="s">
        <v>1434</v>
      </c>
      <c r="AF35" s="168" t="s">
        <v>1435</v>
      </c>
      <c r="AG35" s="117">
        <v>29.0</v>
      </c>
      <c r="AH35" s="133" t="s">
        <v>1436</v>
      </c>
      <c r="AI35" s="164" t="s">
        <v>1437</v>
      </c>
      <c r="AJ35" s="6" t="s">
        <v>1438</v>
      </c>
      <c r="AK35" s="107">
        <v>29.0</v>
      </c>
      <c r="AL35" s="165" t="s">
        <v>1439</v>
      </c>
      <c r="AM35" s="166" t="s">
        <v>1440</v>
      </c>
      <c r="AN35" s="167" t="s">
        <v>1441</v>
      </c>
      <c r="AO35" s="107">
        <v>29.0</v>
      </c>
      <c r="AP35" s="108" t="s">
        <v>1442</v>
      </c>
      <c r="AQ35" s="166" t="s">
        <v>1443</v>
      </c>
      <c r="AR35" s="167" t="s">
        <v>1444</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1445</v>
      </c>
      <c r="B37" s="104" t="s">
        <v>1446</v>
      </c>
      <c r="E37" s="103" t="s">
        <v>1445</v>
      </c>
      <c r="F37" s="103" t="s">
        <v>1447</v>
      </c>
      <c r="I37" s="103" t="s">
        <v>1445</v>
      </c>
      <c r="J37" s="103" t="s">
        <v>1448</v>
      </c>
      <c r="M37" s="103" t="s">
        <v>1445</v>
      </c>
      <c r="N37" s="104" t="str">
        <f>IFERROR(__xludf.DUMMYFUNCTION("GOOGLETRANSLATE(B37,""zh-tw"",""zh"")"),"厕所相关")</f>
        <v>厕所相关</v>
      </c>
      <c r="Q37" s="103" t="s">
        <v>1445</v>
      </c>
      <c r="R37" s="103" t="s">
        <v>1449</v>
      </c>
      <c r="U37" s="103" t="s">
        <v>1445</v>
      </c>
      <c r="V37" s="103" t="s">
        <v>1450</v>
      </c>
      <c r="Y37" s="104" t="s">
        <v>1445</v>
      </c>
      <c r="Z37" s="104" t="s">
        <v>1451</v>
      </c>
      <c r="AC37" s="103" t="s">
        <v>1445</v>
      </c>
      <c r="AD37" s="103" t="s">
        <v>1452</v>
      </c>
      <c r="AG37" s="177" t="s">
        <v>1445</v>
      </c>
      <c r="AH37" s="106" t="s">
        <v>1453</v>
      </c>
      <c r="AK37" s="104" t="s">
        <v>1445</v>
      </c>
      <c r="AL37" s="103" t="s">
        <v>1454</v>
      </c>
      <c r="AO37" s="103" t="s">
        <v>1445</v>
      </c>
      <c r="AP37" s="103" t="s">
        <v>1455</v>
      </c>
      <c r="AS37" s="104"/>
      <c r="AT37" s="104"/>
    </row>
    <row r="38">
      <c r="A38" s="107">
        <v>1.0</v>
      </c>
      <c r="B38" s="108" t="s">
        <v>1456</v>
      </c>
      <c r="C38" s="109" t="s">
        <v>1457</v>
      </c>
      <c r="D38" s="110" t="s">
        <v>1458</v>
      </c>
      <c r="E38" s="107">
        <v>1.0</v>
      </c>
      <c r="F38" s="108" t="s">
        <v>1459</v>
      </c>
      <c r="G38" s="109" t="s">
        <v>1460</v>
      </c>
      <c r="H38" s="110" t="s">
        <v>1461</v>
      </c>
      <c r="I38" s="107">
        <v>1.0</v>
      </c>
      <c r="J38" s="108" t="s">
        <v>1462</v>
      </c>
      <c r="K38" s="109" t="s">
        <v>1463</v>
      </c>
      <c r="L38" s="110" t="s">
        <v>1464</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1465</v>
      </c>
      <c r="Q38" s="107">
        <v>1.0</v>
      </c>
      <c r="R38" s="108" t="s">
        <v>1466</v>
      </c>
      <c r="S38" s="111" t="s">
        <v>1467</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1468</v>
      </c>
      <c r="W38" s="113" t="s">
        <v>1469</v>
      </c>
      <c r="X38" s="75" t="s">
        <v>1470</v>
      </c>
      <c r="Y38" s="107">
        <v>1.0</v>
      </c>
      <c r="Z38" s="114" t="s">
        <v>1471</v>
      </c>
      <c r="AA38" s="115" t="s">
        <v>1472</v>
      </c>
      <c r="AB38" s="116" t="s">
        <v>1473</v>
      </c>
      <c r="AC38" s="107">
        <v>1.0</v>
      </c>
      <c r="AD38" s="108" t="s">
        <v>1474</v>
      </c>
      <c r="AE38" s="109" t="s">
        <v>1475</v>
      </c>
      <c r="AF38" s="110" t="s">
        <v>1476</v>
      </c>
      <c r="AG38" s="117">
        <v>1.0</v>
      </c>
      <c r="AH38" s="118" t="s">
        <v>1477</v>
      </c>
      <c r="AI38" s="130" t="s">
        <v>1478</v>
      </c>
      <c r="AJ38" s="120" t="s">
        <v>1479</v>
      </c>
      <c r="AK38" s="107">
        <v>1.0</v>
      </c>
      <c r="AL38" s="121" t="s">
        <v>1480</v>
      </c>
      <c r="AM38" s="131" t="s">
        <v>1481</v>
      </c>
      <c r="AN38" s="123" t="s">
        <v>1482</v>
      </c>
      <c r="AO38" s="107">
        <v>1.0</v>
      </c>
      <c r="AP38" s="112" t="s">
        <v>1483</v>
      </c>
      <c r="AQ38" s="109" t="s">
        <v>1484</v>
      </c>
      <c r="AR38" s="72" t="s">
        <v>1485</v>
      </c>
      <c r="AS38" s="110"/>
      <c r="AT38" s="110"/>
    </row>
    <row r="39">
      <c r="A39" s="139">
        <v>2.0</v>
      </c>
      <c r="B39" s="108" t="s">
        <v>1486</v>
      </c>
      <c r="C39" s="109" t="s">
        <v>1487</v>
      </c>
      <c r="D39" s="110" t="s">
        <v>1488</v>
      </c>
      <c r="E39" s="139">
        <v>2.0</v>
      </c>
      <c r="F39" s="108" t="s">
        <v>1489</v>
      </c>
      <c r="G39" s="109" t="s">
        <v>1490</v>
      </c>
      <c r="H39" s="110" t="s">
        <v>1491</v>
      </c>
      <c r="I39" s="139">
        <v>2.0</v>
      </c>
      <c r="J39" s="108" t="s">
        <v>1492</v>
      </c>
      <c r="K39" s="109" t="s">
        <v>1493</v>
      </c>
      <c r="L39" s="110" t="s">
        <v>1494</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1495</v>
      </c>
      <c r="S39" s="113" t="s">
        <v>1496</v>
      </c>
      <c r="T39" s="75" t="s">
        <v>1497</v>
      </c>
      <c r="U39" s="139">
        <v>2.0</v>
      </c>
      <c r="V39" s="112" t="s">
        <v>1498</v>
      </c>
      <c r="W39" s="111" t="s">
        <v>1499</v>
      </c>
      <c r="X39" s="72" t="s">
        <v>1500</v>
      </c>
      <c r="Y39" s="107">
        <v>2.0</v>
      </c>
      <c r="Z39" s="114" t="s">
        <v>1501</v>
      </c>
      <c r="AA39" s="115" t="s">
        <v>1502</v>
      </c>
      <c r="AB39" s="116" t="s">
        <v>1503</v>
      </c>
      <c r="AC39" s="139">
        <v>2.0</v>
      </c>
      <c r="AD39" s="112" t="s">
        <v>1504</v>
      </c>
      <c r="AE39" s="109" t="s">
        <v>1505</v>
      </c>
      <c r="AF39" s="110" t="s">
        <v>1506</v>
      </c>
      <c r="AG39" s="151">
        <v>2.0</v>
      </c>
      <c r="AH39" s="118" t="s">
        <v>1507</v>
      </c>
      <c r="AI39" s="119" t="s">
        <v>1508</v>
      </c>
      <c r="AJ39" s="120" t="s">
        <v>1509</v>
      </c>
      <c r="AK39" s="107">
        <v>2.0</v>
      </c>
      <c r="AL39" s="121" t="s">
        <v>1510</v>
      </c>
      <c r="AM39" s="131" t="s">
        <v>1511</v>
      </c>
      <c r="AN39" s="129" t="s">
        <v>1512</v>
      </c>
      <c r="AO39" s="107">
        <v>2.0</v>
      </c>
      <c r="AP39" s="112" t="s">
        <v>1513</v>
      </c>
      <c r="AQ39" s="109" t="s">
        <v>1514</v>
      </c>
      <c r="AR39" s="72" t="s">
        <v>1515</v>
      </c>
      <c r="AS39" s="110"/>
      <c r="AT39" s="110"/>
    </row>
    <row r="40">
      <c r="A40" s="107">
        <v>3.0</v>
      </c>
      <c r="B40" s="108" t="s">
        <v>1516</v>
      </c>
      <c r="C40" s="109" t="s">
        <v>1517</v>
      </c>
      <c r="D40" s="110" t="s">
        <v>1518</v>
      </c>
      <c r="E40" s="107">
        <v>3.0</v>
      </c>
      <c r="F40" s="108" t="s">
        <v>1519</v>
      </c>
      <c r="G40" s="109" t="s">
        <v>1520</v>
      </c>
      <c r="H40" s="110" t="s">
        <v>1521</v>
      </c>
      <c r="I40" s="107">
        <v>3.0</v>
      </c>
      <c r="J40" s="108" t="s">
        <v>1522</v>
      </c>
      <c r="K40" s="111" t="s">
        <v>1523</v>
      </c>
      <c r="L40" s="110" t="s">
        <v>1524</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1525</v>
      </c>
      <c r="S40" s="109" t="s">
        <v>1526</v>
      </c>
      <c r="T40" s="75" t="s">
        <v>1527</v>
      </c>
      <c r="U40" s="107">
        <v>3.0</v>
      </c>
      <c r="V40" s="112" t="s">
        <v>1528</v>
      </c>
      <c r="W40" s="111" t="s">
        <v>1529</v>
      </c>
      <c r="X40" s="72" t="s">
        <v>1530</v>
      </c>
      <c r="Y40" s="107">
        <v>3.0</v>
      </c>
      <c r="Z40" s="114" t="s">
        <v>1531</v>
      </c>
      <c r="AA40" s="115" t="s">
        <v>1532</v>
      </c>
      <c r="AB40" s="116" t="s">
        <v>1533</v>
      </c>
      <c r="AC40" s="107">
        <v>3.0</v>
      </c>
      <c r="AD40" s="112" t="s">
        <v>1534</v>
      </c>
      <c r="AE40" s="109" t="s">
        <v>1535</v>
      </c>
      <c r="AF40" s="110" t="s">
        <v>1536</v>
      </c>
      <c r="AG40" s="117">
        <v>3.0</v>
      </c>
      <c r="AH40" s="118" t="s">
        <v>1537</v>
      </c>
      <c r="AI40" s="119" t="s">
        <v>1538</v>
      </c>
      <c r="AJ40" s="120" t="s">
        <v>1539</v>
      </c>
      <c r="AK40" s="107">
        <v>3.0</v>
      </c>
      <c r="AL40" s="121" t="s">
        <v>1540</v>
      </c>
      <c r="AM40" s="131" t="s">
        <v>1541</v>
      </c>
      <c r="AN40" s="123" t="s">
        <v>1542</v>
      </c>
      <c r="AO40" s="107">
        <v>3.0</v>
      </c>
      <c r="AP40" s="112" t="s">
        <v>1543</v>
      </c>
      <c r="AQ40" s="111" t="s">
        <v>1544</v>
      </c>
      <c r="AR40" s="110" t="s">
        <v>1545</v>
      </c>
      <c r="AS40" s="110"/>
      <c r="AT40" s="110"/>
    </row>
    <row r="41">
      <c r="A41" s="139">
        <v>4.0</v>
      </c>
      <c r="B41" s="108" t="s">
        <v>1546</v>
      </c>
      <c r="C41" s="109" t="s">
        <v>1547</v>
      </c>
      <c r="D41" s="72" t="s">
        <v>1548</v>
      </c>
      <c r="E41" s="139">
        <v>4.0</v>
      </c>
      <c r="F41" s="108" t="s">
        <v>1549</v>
      </c>
      <c r="G41" s="109" t="s">
        <v>1550</v>
      </c>
      <c r="H41" s="110" t="s">
        <v>1551</v>
      </c>
      <c r="I41" s="139">
        <v>4.0</v>
      </c>
      <c r="J41" s="108" t="s">
        <v>1552</v>
      </c>
      <c r="K41" s="109" t="s">
        <v>1553</v>
      </c>
      <c r="L41" s="72" t="s">
        <v>1554</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1555</v>
      </c>
      <c r="S41" s="109" t="s">
        <v>1556</v>
      </c>
      <c r="T41" s="75" t="s">
        <v>1557</v>
      </c>
      <c r="U41" s="139">
        <v>4.0</v>
      </c>
      <c r="V41" s="112" t="s">
        <v>1558</v>
      </c>
      <c r="W41" s="111" t="s">
        <v>1559</v>
      </c>
      <c r="X41" s="72" t="s">
        <v>1560</v>
      </c>
      <c r="Y41" s="107">
        <v>4.0</v>
      </c>
      <c r="Z41" s="114" t="s">
        <v>1561</v>
      </c>
      <c r="AA41" s="115" t="s">
        <v>1562</v>
      </c>
      <c r="AB41" s="116" t="s">
        <v>1563</v>
      </c>
      <c r="AC41" s="139">
        <v>4.0</v>
      </c>
      <c r="AD41" s="112" t="s">
        <v>1564</v>
      </c>
      <c r="AE41" s="109" t="s">
        <v>1565</v>
      </c>
      <c r="AF41" s="110" t="s">
        <v>1566</v>
      </c>
      <c r="AG41" s="151">
        <v>4.0</v>
      </c>
      <c r="AH41" s="118" t="s">
        <v>1567</v>
      </c>
      <c r="AI41" s="130" t="s">
        <v>1568</v>
      </c>
      <c r="AJ41" s="134" t="s">
        <v>1569</v>
      </c>
      <c r="AK41" s="107">
        <v>4.0</v>
      </c>
      <c r="AL41" s="121" t="s">
        <v>1570</v>
      </c>
      <c r="AM41" s="122" t="s">
        <v>1571</v>
      </c>
      <c r="AN41" s="123" t="s">
        <v>1572</v>
      </c>
      <c r="AO41" s="107">
        <v>4.0</v>
      </c>
      <c r="AP41" s="112" t="s">
        <v>1573</v>
      </c>
      <c r="AQ41" s="111" t="s">
        <v>1574</v>
      </c>
      <c r="AR41" s="72" t="s">
        <v>1575</v>
      </c>
      <c r="AS41" s="72"/>
      <c r="AT41" s="72"/>
    </row>
    <row r="42">
      <c r="A42" s="107">
        <v>5.0</v>
      </c>
      <c r="B42" s="108" t="s">
        <v>1576</v>
      </c>
      <c r="C42" s="109" t="s">
        <v>1577</v>
      </c>
      <c r="D42" s="110" t="s">
        <v>1578</v>
      </c>
      <c r="E42" s="107">
        <v>5.0</v>
      </c>
      <c r="F42" s="108" t="s">
        <v>1579</v>
      </c>
      <c r="G42" s="109" t="s">
        <v>1580</v>
      </c>
      <c r="H42" s="110" t="s">
        <v>1581</v>
      </c>
      <c r="I42" s="107">
        <v>5.0</v>
      </c>
      <c r="J42" s="108" t="s">
        <v>1582</v>
      </c>
      <c r="K42" s="109" t="s">
        <v>1583</v>
      </c>
      <c r="L42" s="110" t="s">
        <v>1584</v>
      </c>
      <c r="M42" s="107">
        <v>5.0</v>
      </c>
      <c r="N42" s="108" t="str">
        <f>IFERROR(__xludf.DUMMYFUNCTION("GOOGLETRANSLATE(B42,""zh-tw"",""zh"")"),"憋不住了-1")</f>
        <v>憋不住了-1</v>
      </c>
      <c r="O42" s="111" t="s">
        <v>1585</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1586</v>
      </c>
      <c r="S42" s="113" t="str">
        <f>IFERROR(__xludf.DUMMYFUNCTION("GOOGLETRANSLATE(C42,""zh-tw"",""es-MX"")"),"Algunos ingredientes (como la basura, los hongos lilas y los hongos flor de luna) tienen una probabilidad significativa de causar intoxicación alimentaria en mi hermano cuando se cocinan.")</f>
        <v>Algunos ingredientes (como la basura, los hongos lilas y los hongos flor de luna) tienen una probabilidad significativa de causar intoxicación alimentaria en mi hermano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1587</v>
      </c>
      <c r="W42" s="111" t="s">
        <v>1588</v>
      </c>
      <c r="X42" s="72" t="s">
        <v>1589</v>
      </c>
      <c r="Y42" s="107">
        <v>5.0</v>
      </c>
      <c r="Z42" s="114" t="s">
        <v>1590</v>
      </c>
      <c r="AA42" s="115" t="s">
        <v>1591</v>
      </c>
      <c r="AB42" s="116" t="s">
        <v>1592</v>
      </c>
      <c r="AC42" s="107">
        <v>5.0</v>
      </c>
      <c r="AD42" s="108" t="s">
        <v>1593</v>
      </c>
      <c r="AE42" s="109" t="s">
        <v>1594</v>
      </c>
      <c r="AF42" s="110" t="s">
        <v>1595</v>
      </c>
      <c r="AG42" s="117">
        <v>5.0</v>
      </c>
      <c r="AH42" s="118" t="s">
        <v>1596</v>
      </c>
      <c r="AI42" s="119" t="s">
        <v>1597</v>
      </c>
      <c r="AJ42" s="120" t="s">
        <v>1598</v>
      </c>
      <c r="AK42" s="107">
        <v>5.0</v>
      </c>
      <c r="AL42" s="121" t="s">
        <v>1599</v>
      </c>
      <c r="AM42" s="122" t="s">
        <v>1600</v>
      </c>
      <c r="AN42" s="123" t="s">
        <v>1601</v>
      </c>
      <c r="AO42" s="107">
        <v>5.0</v>
      </c>
      <c r="AP42" s="112" t="s">
        <v>1602</v>
      </c>
      <c r="AQ42" s="109" t="s">
        <v>1603</v>
      </c>
      <c r="AR42" s="72" t="s">
        <v>1604</v>
      </c>
      <c r="AS42" s="110"/>
      <c r="AT42" s="110"/>
    </row>
    <row r="43">
      <c r="A43" s="139">
        <v>6.0</v>
      </c>
      <c r="B43" s="108" t="s">
        <v>1605</v>
      </c>
      <c r="C43" s="109" t="s">
        <v>1606</v>
      </c>
      <c r="D43" s="110" t="s">
        <v>1607</v>
      </c>
      <c r="E43" s="139">
        <v>6.0</v>
      </c>
      <c r="F43" s="108" t="s">
        <v>1608</v>
      </c>
      <c r="G43" s="109" t="s">
        <v>1609</v>
      </c>
      <c r="H43" s="110" t="s">
        <v>1610</v>
      </c>
      <c r="I43" s="139">
        <v>6.0</v>
      </c>
      <c r="J43" s="108" t="s">
        <v>1611</v>
      </c>
      <c r="K43" s="109" t="s">
        <v>1612</v>
      </c>
      <c r="L43" s="110" t="s">
        <v>1613</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1614</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1615</v>
      </c>
      <c r="W43" s="111" t="s">
        <v>1616</v>
      </c>
      <c r="X43" s="72" t="s">
        <v>1617</v>
      </c>
      <c r="Y43" s="107">
        <v>6.0</v>
      </c>
      <c r="Z43" s="114" t="s">
        <v>1618</v>
      </c>
      <c r="AA43" s="115" t="s">
        <v>1619</v>
      </c>
      <c r="AB43" s="116" t="s">
        <v>1620</v>
      </c>
      <c r="AC43" s="139">
        <v>6.0</v>
      </c>
      <c r="AD43" s="108" t="s">
        <v>1621</v>
      </c>
      <c r="AE43" s="109" t="s">
        <v>1622</v>
      </c>
      <c r="AF43" s="110" t="s">
        <v>1623</v>
      </c>
      <c r="AG43" s="151">
        <v>6.0</v>
      </c>
      <c r="AH43" s="118" t="s">
        <v>1624</v>
      </c>
      <c r="AI43" s="119" t="s">
        <v>1625</v>
      </c>
      <c r="AJ43" s="120" t="s">
        <v>1626</v>
      </c>
      <c r="AK43" s="107">
        <v>6.0</v>
      </c>
      <c r="AL43" s="121" t="s">
        <v>1627</v>
      </c>
      <c r="AM43" s="122" t="s">
        <v>1628</v>
      </c>
      <c r="AN43" s="129" t="s">
        <v>1629</v>
      </c>
      <c r="AO43" s="107">
        <v>6.0</v>
      </c>
      <c r="AP43" s="112" t="s">
        <v>1630</v>
      </c>
      <c r="AQ43" s="109" t="s">
        <v>1631</v>
      </c>
      <c r="AR43" s="72" t="s">
        <v>1632</v>
      </c>
      <c r="AS43" s="110"/>
      <c r="AT43" s="110"/>
    </row>
    <row r="44">
      <c r="A44" s="107">
        <v>7.0</v>
      </c>
      <c r="B44" s="108" t="s">
        <v>1633</v>
      </c>
      <c r="C44" s="109" t="s">
        <v>1634</v>
      </c>
      <c r="D44" s="110" t="s">
        <v>1064</v>
      </c>
      <c r="E44" s="107">
        <v>7.0</v>
      </c>
      <c r="F44" s="108" t="s">
        <v>1635</v>
      </c>
      <c r="G44" s="109" t="s">
        <v>1636</v>
      </c>
      <c r="H44" s="110" t="s">
        <v>1067</v>
      </c>
      <c r="I44" s="107">
        <v>7.0</v>
      </c>
      <c r="J44" s="108" t="s">
        <v>1637</v>
      </c>
      <c r="K44" s="109" t="s">
        <v>1638</v>
      </c>
      <c r="L44" s="110" t="s">
        <v>1639</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1640</v>
      </c>
      <c r="W44" s="111" t="s">
        <v>1641</v>
      </c>
      <c r="X44" s="72" t="s">
        <v>1076</v>
      </c>
      <c r="Y44" s="107">
        <v>7.0</v>
      </c>
      <c r="Z44" s="114" t="s">
        <v>1642</v>
      </c>
      <c r="AA44" s="115" t="s">
        <v>1643</v>
      </c>
      <c r="AB44" s="116" t="s">
        <v>1644</v>
      </c>
      <c r="AC44" s="107">
        <v>7.0</v>
      </c>
      <c r="AD44" s="108" t="s">
        <v>1645</v>
      </c>
      <c r="AE44" s="109" t="s">
        <v>1646</v>
      </c>
      <c r="AF44" s="110" t="s">
        <v>1647</v>
      </c>
      <c r="AG44" s="117">
        <v>7.0</v>
      </c>
      <c r="AH44" s="118" t="s">
        <v>1648</v>
      </c>
      <c r="AI44" s="119" t="s">
        <v>1649</v>
      </c>
      <c r="AJ44" s="120" t="s">
        <v>1650</v>
      </c>
      <c r="AK44" s="107">
        <v>7.0</v>
      </c>
      <c r="AL44" s="121" t="s">
        <v>1651</v>
      </c>
      <c r="AM44" s="131" t="s">
        <v>1652</v>
      </c>
      <c r="AN44" s="123" t="s">
        <v>1653</v>
      </c>
      <c r="AO44" s="107">
        <v>7.0</v>
      </c>
      <c r="AP44" s="108" t="s">
        <v>1654</v>
      </c>
      <c r="AQ44" s="109" t="s">
        <v>1655</v>
      </c>
      <c r="AR44" s="72" t="s">
        <v>1656</v>
      </c>
      <c r="AS44" s="110"/>
      <c r="AT44" s="110"/>
    </row>
    <row r="45">
      <c r="A45" s="139">
        <v>8.0</v>
      </c>
      <c r="B45" s="108" t="s">
        <v>1657</v>
      </c>
      <c r="C45" s="111" t="s">
        <v>1658</v>
      </c>
      <c r="D45" s="72" t="s">
        <v>1659</v>
      </c>
      <c r="E45" s="139">
        <v>8.0</v>
      </c>
      <c r="F45" s="108" t="s">
        <v>1660</v>
      </c>
      <c r="G45" s="109" t="s">
        <v>1661</v>
      </c>
      <c r="H45" s="72" t="s">
        <v>1662</v>
      </c>
      <c r="I45" s="139">
        <v>8.0</v>
      </c>
      <c r="J45" s="108" t="s">
        <v>1663</v>
      </c>
      <c r="K45" s="111" t="s">
        <v>1664</v>
      </c>
      <c r="L45" s="72" t="s">
        <v>1665</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1666</v>
      </c>
      <c r="S45" s="113" t="s">
        <v>1667</v>
      </c>
      <c r="T45" s="75" t="s">
        <v>1668</v>
      </c>
      <c r="U45" s="139">
        <v>8.0</v>
      </c>
      <c r="V45" s="112" t="s">
        <v>1669</v>
      </c>
      <c r="W45" s="111" t="s">
        <v>1670</v>
      </c>
      <c r="X45" s="72" t="s">
        <v>1671</v>
      </c>
      <c r="Y45" s="107">
        <v>8.0</v>
      </c>
      <c r="Z45" s="114" t="s">
        <v>1672</v>
      </c>
      <c r="AA45" s="115" t="s">
        <v>1673</v>
      </c>
      <c r="AB45" s="116" t="s">
        <v>1674</v>
      </c>
      <c r="AC45" s="139">
        <v>8.0</v>
      </c>
      <c r="AD45" s="108" t="s">
        <v>1675</v>
      </c>
      <c r="AE45" s="109" t="s">
        <v>1676</v>
      </c>
      <c r="AF45" s="72" t="s">
        <v>1677</v>
      </c>
      <c r="AG45" s="151">
        <v>8.0</v>
      </c>
      <c r="AH45" s="133" t="s">
        <v>1678</v>
      </c>
      <c r="AI45" s="130" t="s">
        <v>1679</v>
      </c>
      <c r="AJ45" s="120" t="s">
        <v>1680</v>
      </c>
      <c r="AK45" s="107">
        <v>8.0</v>
      </c>
      <c r="AL45" s="121" t="s">
        <v>1681</v>
      </c>
      <c r="AM45" s="131" t="s">
        <v>1682</v>
      </c>
      <c r="AN45" s="129" t="s">
        <v>1683</v>
      </c>
      <c r="AO45" s="107">
        <v>8.0</v>
      </c>
      <c r="AP45" s="112" t="s">
        <v>1684</v>
      </c>
      <c r="AQ45" s="111" t="s">
        <v>1685</v>
      </c>
      <c r="AR45" s="72" t="s">
        <v>1686</v>
      </c>
      <c r="AS45" s="72"/>
      <c r="AT45" s="72"/>
    </row>
    <row r="46">
      <c r="A46" s="107">
        <v>9.0</v>
      </c>
      <c r="B46" s="108" t="s">
        <v>1687</v>
      </c>
      <c r="C46" s="109" t="s">
        <v>1688</v>
      </c>
      <c r="D46" s="72" t="s">
        <v>1689</v>
      </c>
      <c r="E46" s="107">
        <v>9.0</v>
      </c>
      <c r="F46" s="108" t="s">
        <v>1690</v>
      </c>
      <c r="G46" s="109" t="s">
        <v>1691</v>
      </c>
      <c r="H46" s="72" t="s">
        <v>1692</v>
      </c>
      <c r="I46" s="107">
        <v>9.0</v>
      </c>
      <c r="J46" s="108" t="s">
        <v>1693</v>
      </c>
      <c r="K46" s="109" t="s">
        <v>1694</v>
      </c>
      <c r="L46" s="72" t="s">
        <v>1695</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1696</v>
      </c>
      <c r="S46" s="113" t="s">
        <v>1697</v>
      </c>
      <c r="T46" s="72" t="s">
        <v>1698</v>
      </c>
      <c r="U46" s="107">
        <v>9.0</v>
      </c>
      <c r="V46" s="112" t="s">
        <v>1699</v>
      </c>
      <c r="W46" s="111" t="s">
        <v>1700</v>
      </c>
      <c r="X46" s="72" t="s">
        <v>1701</v>
      </c>
      <c r="Y46" s="107">
        <v>9.0</v>
      </c>
      <c r="Z46" s="114" t="s">
        <v>1702</v>
      </c>
      <c r="AA46" s="115" t="s">
        <v>1703</v>
      </c>
      <c r="AB46" s="116" t="s">
        <v>1704</v>
      </c>
      <c r="AC46" s="107">
        <v>9.0</v>
      </c>
      <c r="AD46" s="108" t="s">
        <v>1705</v>
      </c>
      <c r="AE46" s="109" t="s">
        <v>1706</v>
      </c>
      <c r="AF46" s="110" t="s">
        <v>1707</v>
      </c>
      <c r="AG46" s="117">
        <v>9.0</v>
      </c>
      <c r="AH46" s="133" t="s">
        <v>1708</v>
      </c>
      <c r="AI46" s="119" t="s">
        <v>1709</v>
      </c>
      <c r="AJ46" s="120" t="s">
        <v>1710</v>
      </c>
      <c r="AK46" s="107">
        <v>9.0</v>
      </c>
      <c r="AL46" s="121" t="s">
        <v>1711</v>
      </c>
      <c r="AM46" s="131" t="s">
        <v>1712</v>
      </c>
      <c r="AN46" s="129" t="s">
        <v>1713</v>
      </c>
      <c r="AO46" s="107">
        <v>9.0</v>
      </c>
      <c r="AP46" s="112" t="s">
        <v>1714</v>
      </c>
      <c r="AQ46" s="111" t="s">
        <v>1715</v>
      </c>
      <c r="AR46" s="72" t="s">
        <v>1716</v>
      </c>
      <c r="AS46" s="72"/>
      <c r="AT46" s="72"/>
    </row>
    <row r="47">
      <c r="A47" s="139">
        <v>10.0</v>
      </c>
      <c r="B47" s="112" t="s">
        <v>1717</v>
      </c>
      <c r="C47" s="111" t="s">
        <v>1718</v>
      </c>
      <c r="D47" s="72" t="s">
        <v>1719</v>
      </c>
      <c r="E47" s="139">
        <v>10.0</v>
      </c>
      <c r="F47" s="112" t="s">
        <v>1720</v>
      </c>
      <c r="G47" s="109" t="s">
        <v>1721</v>
      </c>
      <c r="H47" s="72" t="s">
        <v>1722</v>
      </c>
      <c r="I47" s="139">
        <v>10.0</v>
      </c>
      <c r="J47" s="108" t="s">
        <v>1723</v>
      </c>
      <c r="K47" s="111" t="s">
        <v>1724</v>
      </c>
      <c r="L47" s="72" t="s">
        <v>1725</v>
      </c>
      <c r="M47" s="139">
        <v>10.0</v>
      </c>
      <c r="N47" s="108" t="str">
        <f>IFERROR(__xludf.DUMMYFUNCTION("GOOGLETRANSLATE(B47,""zh-tw"",""zh"")"),"厕所Play-1")</f>
        <v>厕所Play-1</v>
      </c>
      <c r="O47" s="111" t="s">
        <v>1726</v>
      </c>
      <c r="P47" s="75" t="str">
        <f>IFERROR(__xludf.DUMMYFUNCTION("GOOGLETRANSLATE(D47,""zh-tw"",""zh"")"),"触发剧情
※目前尚未实装被发现的相关剧情")</f>
        <v>触发剧情
※目前尚未实装被发现的相关剧情</v>
      </c>
      <c r="Q47" s="139">
        <v>10.0</v>
      </c>
      <c r="R47" s="125" t="s">
        <v>1727</v>
      </c>
      <c r="S47" s="113" t="s">
        <v>1728</v>
      </c>
      <c r="T47" s="75" t="s">
        <v>1729</v>
      </c>
      <c r="U47" s="139">
        <v>10.0</v>
      </c>
      <c r="V47" s="112" t="s">
        <v>1730</v>
      </c>
      <c r="W47" s="111" t="s">
        <v>1731</v>
      </c>
      <c r="X47" s="72" t="s">
        <v>1732</v>
      </c>
      <c r="Y47" s="107">
        <v>10.0</v>
      </c>
      <c r="Z47" s="114" t="s">
        <v>1733</v>
      </c>
      <c r="AA47" s="115" t="s">
        <v>1734</v>
      </c>
      <c r="AB47" s="116" t="s">
        <v>1735</v>
      </c>
      <c r="AC47" s="139">
        <v>10.0</v>
      </c>
      <c r="AD47" s="112" t="s">
        <v>1736</v>
      </c>
      <c r="AE47" s="109" t="s">
        <v>1737</v>
      </c>
      <c r="AF47" s="110" t="s">
        <v>1738</v>
      </c>
      <c r="AG47" s="151">
        <v>10.0</v>
      </c>
      <c r="AH47" s="118" t="s">
        <v>1739</v>
      </c>
      <c r="AI47" s="119" t="s">
        <v>1740</v>
      </c>
      <c r="AJ47" s="120" t="s">
        <v>1741</v>
      </c>
      <c r="AK47" s="107">
        <v>10.0</v>
      </c>
      <c r="AL47" s="121" t="s">
        <v>1742</v>
      </c>
      <c r="AM47" s="131" t="s">
        <v>1743</v>
      </c>
      <c r="AN47" s="129" t="s">
        <v>1744</v>
      </c>
      <c r="AO47" s="107">
        <v>10.0</v>
      </c>
      <c r="AP47" s="112" t="s">
        <v>1745</v>
      </c>
      <c r="AQ47" s="111" t="s">
        <v>1746</v>
      </c>
      <c r="AR47" s="72" t="s">
        <v>1747</v>
      </c>
      <c r="AS47" s="72"/>
      <c r="AT47" s="72"/>
    </row>
    <row r="48">
      <c r="A48" s="107">
        <v>11.0</v>
      </c>
      <c r="B48" s="112" t="s">
        <v>1748</v>
      </c>
      <c r="C48" s="111" t="s">
        <v>1749</v>
      </c>
      <c r="D48" s="72" t="s">
        <v>1750</v>
      </c>
      <c r="E48" s="107">
        <v>11.0</v>
      </c>
      <c r="F48" s="112" t="s">
        <v>1751</v>
      </c>
      <c r="G48" s="111" t="s">
        <v>1752</v>
      </c>
      <c r="H48" s="72" t="s">
        <v>1753</v>
      </c>
      <c r="I48" s="107">
        <v>11.0</v>
      </c>
      <c r="J48" s="112" t="s">
        <v>1754</v>
      </c>
      <c r="K48" s="111" t="s">
        <v>1755</v>
      </c>
      <c r="L48" s="72" t="s">
        <v>1756</v>
      </c>
      <c r="M48" s="107">
        <v>11.0</v>
      </c>
      <c r="N48" s="108" t="str">
        <f>IFERROR(__xludf.DUMMYFUNCTION("GOOGLETRANSLATE(B48,""zh-tw"",""zh"")"),"厕所Play-2")</f>
        <v>厕所Play-2</v>
      </c>
      <c r="O48" s="111" t="s">
        <v>1757</v>
      </c>
      <c r="P48" s="75" t="str">
        <f>IFERROR(__xludf.DUMMYFUNCTION("GOOGLETRANSLATE(D48,""zh-tw"",""zh"")"),"触发相关剧情
※目前尚未实装被发现的相关剧情")</f>
        <v>触发相关剧情
※目前尚未实装被发现的相关剧情</v>
      </c>
      <c r="Q48" s="107">
        <v>11.0</v>
      </c>
      <c r="R48" s="112" t="s">
        <v>1758</v>
      </c>
      <c r="S48" s="113" t="s">
        <v>1759</v>
      </c>
      <c r="T48" s="75" t="s">
        <v>1760</v>
      </c>
      <c r="U48" s="107">
        <v>11.0</v>
      </c>
      <c r="V48" s="112" t="s">
        <v>1761</v>
      </c>
      <c r="W48" s="111" t="s">
        <v>1762</v>
      </c>
      <c r="X48" s="72" t="s">
        <v>1763</v>
      </c>
      <c r="Y48" s="107">
        <v>11.0</v>
      </c>
      <c r="Z48" s="114" t="s">
        <v>1764</v>
      </c>
      <c r="AA48" s="115" t="s">
        <v>1765</v>
      </c>
      <c r="AB48" s="116" t="s">
        <v>1766</v>
      </c>
      <c r="AC48" s="107">
        <v>11.0</v>
      </c>
      <c r="AD48" s="112" t="s">
        <v>1767</v>
      </c>
      <c r="AE48" s="109" t="s">
        <v>1768</v>
      </c>
      <c r="AF48" s="110" t="s">
        <v>1769</v>
      </c>
      <c r="AG48" s="117">
        <v>11.0</v>
      </c>
      <c r="AH48" s="118" t="s">
        <v>1770</v>
      </c>
      <c r="AI48" s="119" t="s">
        <v>1771</v>
      </c>
      <c r="AJ48" s="120" t="s">
        <v>1772</v>
      </c>
      <c r="AK48" s="107">
        <v>11.0</v>
      </c>
      <c r="AL48" s="121" t="s">
        <v>1773</v>
      </c>
      <c r="AM48" s="131" t="s">
        <v>1774</v>
      </c>
      <c r="AN48" s="123" t="s">
        <v>1775</v>
      </c>
      <c r="AO48" s="107">
        <v>11.0</v>
      </c>
      <c r="AP48" s="112" t="s">
        <v>1776</v>
      </c>
      <c r="AQ48" s="111" t="s">
        <v>1777</v>
      </c>
      <c r="AR48" s="110" t="s">
        <v>1778</v>
      </c>
      <c r="AS48" s="72"/>
      <c r="AT48" s="72"/>
    </row>
    <row r="49">
      <c r="A49" s="139">
        <v>12.0</v>
      </c>
      <c r="B49" s="112" t="s">
        <v>1779</v>
      </c>
      <c r="C49" s="111" t="s">
        <v>1780</v>
      </c>
      <c r="D49" s="72" t="s">
        <v>1781</v>
      </c>
      <c r="E49" s="139">
        <v>12.0</v>
      </c>
      <c r="F49" s="112" t="s">
        <v>1782</v>
      </c>
      <c r="G49" s="109" t="s">
        <v>1783</v>
      </c>
      <c r="H49" s="72" t="s">
        <v>1784</v>
      </c>
      <c r="I49" s="139">
        <v>12.0</v>
      </c>
      <c r="J49" s="112" t="s">
        <v>1785</v>
      </c>
      <c r="K49" s="111" t="s">
        <v>1786</v>
      </c>
      <c r="L49" s="72" t="s">
        <v>1787</v>
      </c>
      <c r="M49" s="139">
        <v>12.0</v>
      </c>
      <c r="N49" s="108" t="str">
        <f>IFERROR(__xludf.DUMMYFUNCTION("GOOGLETRANSLATE(B49,""zh-tw"",""zh"")"),"厕所Play-3")</f>
        <v>厕所Play-3</v>
      </c>
      <c r="O49" s="111" t="s">
        <v>1788</v>
      </c>
      <c r="P49" s="75" t="str">
        <f>IFERROR(__xludf.DUMMYFUNCTION("GOOGLETRANSLATE(D49,""zh-tw"",""zh"")"),"50%机率，出现打死Z剧情
备注：无须发现Z的前置操作")</f>
        <v>50%机率，出现打死Z剧情
备注：无须发现Z的前置操作</v>
      </c>
      <c r="Q49" s="139">
        <v>12.0</v>
      </c>
      <c r="R49" s="112" t="s">
        <v>1789</v>
      </c>
      <c r="S49" s="113" t="s">
        <v>1790</v>
      </c>
      <c r="T49" s="75" t="s">
        <v>1557</v>
      </c>
      <c r="U49" s="139">
        <v>12.0</v>
      </c>
      <c r="V49" s="112" t="s">
        <v>1791</v>
      </c>
      <c r="W49" s="111" t="s">
        <v>1792</v>
      </c>
      <c r="X49" s="72" t="s">
        <v>1793</v>
      </c>
      <c r="Y49" s="107">
        <v>12.0</v>
      </c>
      <c r="Z49" s="114" t="s">
        <v>1794</v>
      </c>
      <c r="AA49" s="115" t="s">
        <v>1795</v>
      </c>
      <c r="AB49" s="116" t="s">
        <v>1796</v>
      </c>
      <c r="AC49" s="139">
        <v>12.0</v>
      </c>
      <c r="AD49" s="112" t="s">
        <v>1797</v>
      </c>
      <c r="AE49" s="109" t="s">
        <v>1798</v>
      </c>
      <c r="AF49" s="110" t="s">
        <v>1536</v>
      </c>
      <c r="AG49" s="151">
        <v>12.0</v>
      </c>
      <c r="AH49" s="118" t="s">
        <v>1799</v>
      </c>
      <c r="AI49" s="130" t="s">
        <v>1800</v>
      </c>
      <c r="AJ49" s="134" t="s">
        <v>1801</v>
      </c>
      <c r="AK49" s="107">
        <v>12.0</v>
      </c>
      <c r="AL49" s="121" t="s">
        <v>1802</v>
      </c>
      <c r="AM49" s="122" t="s">
        <v>1803</v>
      </c>
      <c r="AN49" s="123" t="s">
        <v>1804</v>
      </c>
      <c r="AO49" s="107">
        <v>12.0</v>
      </c>
      <c r="AP49" s="112" t="s">
        <v>1805</v>
      </c>
      <c r="AQ49" s="111" t="s">
        <v>1806</v>
      </c>
      <c r="AR49" s="72" t="s">
        <v>1807</v>
      </c>
      <c r="AS49" s="72"/>
      <c r="AT49" s="72"/>
    </row>
    <row r="50">
      <c r="A50" s="107">
        <v>13.0</v>
      </c>
      <c r="B50" s="112" t="s">
        <v>1808</v>
      </c>
      <c r="C50" s="111" t="s">
        <v>1809</v>
      </c>
      <c r="D50" s="72" t="s">
        <v>1810</v>
      </c>
      <c r="E50" s="107">
        <v>13.0</v>
      </c>
      <c r="F50" s="112" t="s">
        <v>1811</v>
      </c>
      <c r="G50" s="111" t="s">
        <v>1812</v>
      </c>
      <c r="H50" s="110" t="s">
        <v>1813</v>
      </c>
      <c r="I50" s="107">
        <v>13.0</v>
      </c>
      <c r="J50" s="108" t="s">
        <v>1814</v>
      </c>
      <c r="K50" s="111" t="s">
        <v>1815</v>
      </c>
      <c r="L50" s="110" t="s">
        <v>1816</v>
      </c>
      <c r="M50" s="107">
        <v>13.0</v>
      </c>
      <c r="N50" s="108" t="str">
        <f>IFERROR(__xludf.DUMMYFUNCTION("GOOGLETRANSLATE(B50,""zh-tw"",""zh"")"),"厕所Play-4")</f>
        <v>厕所Play-4</v>
      </c>
      <c r="O50" s="111" t="s">
        <v>1817</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1818</v>
      </c>
      <c r="S50" s="113" t="s">
        <v>1819</v>
      </c>
      <c r="T50" s="75" t="s">
        <v>1820</v>
      </c>
      <c r="U50" s="107">
        <v>13.0</v>
      </c>
      <c r="V50" s="112" t="s">
        <v>1821</v>
      </c>
      <c r="W50" s="111" t="s">
        <v>1822</v>
      </c>
      <c r="X50" s="72" t="s">
        <v>1823</v>
      </c>
      <c r="Y50" s="107">
        <v>13.0</v>
      </c>
      <c r="Z50" s="114" t="s">
        <v>1824</v>
      </c>
      <c r="AA50" s="115" t="s">
        <v>1825</v>
      </c>
      <c r="AB50" s="116" t="s">
        <v>1826</v>
      </c>
      <c r="AC50" s="107">
        <v>13.0</v>
      </c>
      <c r="AD50" s="112" t="s">
        <v>1827</v>
      </c>
      <c r="AE50" s="109" t="s">
        <v>1828</v>
      </c>
      <c r="AF50" s="110" t="s">
        <v>1829</v>
      </c>
      <c r="AG50" s="117">
        <v>13.0</v>
      </c>
      <c r="AH50" s="118" t="s">
        <v>1830</v>
      </c>
      <c r="AI50" s="130" t="s">
        <v>1831</v>
      </c>
      <c r="AJ50" s="120" t="s">
        <v>1832</v>
      </c>
      <c r="AK50" s="107">
        <v>13.0</v>
      </c>
      <c r="AL50" s="121" t="s">
        <v>1833</v>
      </c>
      <c r="AM50" s="131" t="s">
        <v>1834</v>
      </c>
      <c r="AN50" s="123" t="s">
        <v>1835</v>
      </c>
      <c r="AO50" s="107">
        <v>13.0</v>
      </c>
      <c r="AP50" s="112" t="s">
        <v>1836</v>
      </c>
      <c r="AQ50" s="111" t="s">
        <v>1837</v>
      </c>
      <c r="AR50" s="72" t="s">
        <v>1838</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1839</v>
      </c>
      <c r="B52" s="103" t="s">
        <v>1840</v>
      </c>
      <c r="E52" s="103" t="s">
        <v>1839</v>
      </c>
      <c r="F52" s="103" t="s">
        <v>1841</v>
      </c>
      <c r="I52" s="103" t="s">
        <v>1839</v>
      </c>
      <c r="J52" s="103" t="s">
        <v>1842</v>
      </c>
      <c r="M52" s="103" t="s">
        <v>1839</v>
      </c>
      <c r="N52" s="104" t="str">
        <f>IFERROR(__xludf.DUMMYFUNCTION("GOOGLETRANSLATE(B52,""zh-tw"",""zh"")"),"浴室相关")</f>
        <v>浴室相关</v>
      </c>
      <c r="Q52" s="103" t="s">
        <v>1839</v>
      </c>
      <c r="R52" s="103" t="s">
        <v>1843</v>
      </c>
      <c r="U52" s="103" t="s">
        <v>1839</v>
      </c>
      <c r="V52" s="103" t="s">
        <v>1844</v>
      </c>
      <c r="Y52" s="104" t="s">
        <v>1839</v>
      </c>
      <c r="Z52" s="104" t="s">
        <v>1845</v>
      </c>
      <c r="AC52" s="103" t="s">
        <v>1839</v>
      </c>
      <c r="AD52" s="103" t="s">
        <v>1846</v>
      </c>
      <c r="AG52" s="177" t="s">
        <v>1839</v>
      </c>
      <c r="AH52" s="177" t="s">
        <v>1847</v>
      </c>
      <c r="AK52" s="104" t="s">
        <v>1839</v>
      </c>
      <c r="AL52" s="103" t="s">
        <v>1848</v>
      </c>
      <c r="AO52" s="103" t="s">
        <v>1839</v>
      </c>
      <c r="AP52" s="103" t="s">
        <v>1849</v>
      </c>
      <c r="AS52" s="103"/>
      <c r="AT52" s="103"/>
    </row>
    <row r="53">
      <c r="A53" s="107">
        <v>1.0</v>
      </c>
      <c r="B53" s="108" t="s">
        <v>1850</v>
      </c>
      <c r="C53" s="109" t="s">
        <v>1851</v>
      </c>
      <c r="D53" s="110" t="s">
        <v>1852</v>
      </c>
      <c r="E53" s="107">
        <v>1.0</v>
      </c>
      <c r="F53" s="112" t="s">
        <v>1853</v>
      </c>
      <c r="G53" s="109" t="s">
        <v>1854</v>
      </c>
      <c r="H53" s="110" t="s">
        <v>1855</v>
      </c>
      <c r="I53" s="107">
        <v>1.0</v>
      </c>
      <c r="J53" s="108" t="str">
        <f>IFERROR(__xludf.DUMMYFUNCTION("GOOGLETRANSLATE(B53,""zh-tw"",""en"")"),"Shampoo")</f>
        <v>Shampoo</v>
      </c>
      <c r="K53" s="109" t="s">
        <v>1856</v>
      </c>
      <c r="L53" s="110" t="s">
        <v>1857</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1858</v>
      </c>
      <c r="W53" s="111" t="s">
        <v>1859</v>
      </c>
      <c r="X53" s="75" t="str">
        <f>IFERROR(__xludf.DUMMYFUNCTION("GOOGLETRANSLATE(D53,""zh-tw"",""KO"")"),"욕실에서 미끄러져 넘어지는 사고를 유발할 확률")</f>
        <v>욕실에서 미끄러져 넘어지는 사고를 유발할 확률</v>
      </c>
      <c r="Y53" s="107">
        <v>1.0</v>
      </c>
      <c r="Z53" s="114" t="s">
        <v>1860</v>
      </c>
      <c r="AA53" s="115" t="s">
        <v>1861</v>
      </c>
      <c r="AB53" s="116" t="s">
        <v>1862</v>
      </c>
      <c r="AC53" s="107">
        <v>1.0</v>
      </c>
      <c r="AD53" s="108" t="s">
        <v>1863</v>
      </c>
      <c r="AE53" s="109" t="s">
        <v>1864</v>
      </c>
      <c r="AF53" s="110" t="s">
        <v>1865</v>
      </c>
      <c r="AG53" s="117">
        <v>1.0</v>
      </c>
      <c r="AH53" s="118" t="s">
        <v>1866</v>
      </c>
      <c r="AI53" s="119" t="s">
        <v>1867</v>
      </c>
      <c r="AJ53" s="120" t="s">
        <v>1868</v>
      </c>
      <c r="AK53" s="107">
        <v>1.0</v>
      </c>
      <c r="AL53" s="121" t="s">
        <v>1863</v>
      </c>
      <c r="AM53" s="122" t="s">
        <v>1869</v>
      </c>
      <c r="AN53" s="123" t="s">
        <v>1870</v>
      </c>
      <c r="AO53" s="107">
        <v>1.0</v>
      </c>
      <c r="AP53" s="108" t="s">
        <v>1871</v>
      </c>
      <c r="AQ53" s="111" t="s">
        <v>1872</v>
      </c>
      <c r="AR53" s="110" t="s">
        <v>1873</v>
      </c>
      <c r="AS53" s="110"/>
      <c r="AT53" s="110"/>
    </row>
    <row r="54">
      <c r="A54" s="139">
        <v>2.0</v>
      </c>
      <c r="B54" s="108" t="s">
        <v>1874</v>
      </c>
      <c r="C54" s="109" t="s">
        <v>1875</v>
      </c>
      <c r="D54" s="110" t="s">
        <v>1876</v>
      </c>
      <c r="E54" s="139">
        <v>2.0</v>
      </c>
      <c r="F54" s="108" t="s">
        <v>1877</v>
      </c>
      <c r="G54" s="109" t="s">
        <v>1878</v>
      </c>
      <c r="H54" s="110" t="s">
        <v>1879</v>
      </c>
      <c r="I54" s="139">
        <v>2.0</v>
      </c>
      <c r="J54" s="108" t="s">
        <v>1880</v>
      </c>
      <c r="K54" s="109" t="s">
        <v>1881</v>
      </c>
      <c r="L54" s="110" t="s">
        <v>1882</v>
      </c>
      <c r="M54" s="139">
        <v>2.0</v>
      </c>
      <c r="N54" s="108" t="str">
        <f>IFERROR(__xludf.DUMMYFUNCTION("GOOGLETRANSLATE(B54,""zh-tw"",""zh"")"),"要等妹妹洗澡吗")</f>
        <v>要等妹妹洗澡吗</v>
      </c>
      <c r="O54" s="111" t="s">
        <v>1883</v>
      </c>
      <c r="P54" s="75" t="str">
        <f>IFERROR(__xludf.DUMMYFUNCTION("GOOGLETRANSLATE(D54,""zh-tw"",""zh"")"),"出现前往的选项
1.现在就去
2.再等会
3.算了吧")</f>
        <v>出现前往的选项
1.现在就去
2.再等会
3.算了吧</v>
      </c>
      <c r="Q54" s="139">
        <v>2.0</v>
      </c>
      <c r="R54" s="108" t="s">
        <v>1884</v>
      </c>
      <c r="S54" s="113" t="s">
        <v>1885</v>
      </c>
      <c r="T54" s="75" t="s">
        <v>1886</v>
      </c>
      <c r="U54" s="139">
        <v>2.0</v>
      </c>
      <c r="V54" s="112" t="s">
        <v>1887</v>
      </c>
      <c r="W54" s="111" t="s">
        <v>1888</v>
      </c>
      <c r="X54" s="72" t="s">
        <v>1889</v>
      </c>
      <c r="Y54" s="107">
        <v>2.0</v>
      </c>
      <c r="Z54" s="149" t="s">
        <v>1890</v>
      </c>
      <c r="AA54" s="150" t="s">
        <v>1891</v>
      </c>
      <c r="AB54" s="132" t="s">
        <v>1892</v>
      </c>
      <c r="AC54" s="139">
        <v>2.0</v>
      </c>
      <c r="AD54" s="108" t="s">
        <v>1893</v>
      </c>
      <c r="AE54" s="109" t="s">
        <v>1894</v>
      </c>
      <c r="AF54" s="110" t="s">
        <v>1895</v>
      </c>
      <c r="AG54" s="151">
        <v>2.0</v>
      </c>
      <c r="AH54" s="118" t="s">
        <v>1896</v>
      </c>
      <c r="AI54" s="119" t="s">
        <v>1897</v>
      </c>
      <c r="AJ54" s="120" t="s">
        <v>1898</v>
      </c>
      <c r="AK54" s="107">
        <v>2.0</v>
      </c>
      <c r="AL54" s="121" t="s">
        <v>1899</v>
      </c>
      <c r="AM54" s="122" t="s">
        <v>1900</v>
      </c>
      <c r="AN54" s="123" t="s">
        <v>1901</v>
      </c>
      <c r="AO54" s="107">
        <v>2.0</v>
      </c>
      <c r="AP54" s="108" t="s">
        <v>1902</v>
      </c>
      <c r="AQ54" s="111" t="s">
        <v>1903</v>
      </c>
      <c r="AR54" s="110" t="s">
        <v>1904</v>
      </c>
      <c r="AS54" s="110"/>
      <c r="AT54" s="110"/>
    </row>
    <row r="55">
      <c r="A55" s="107">
        <v>3.0</v>
      </c>
      <c r="B55" s="108" t="s">
        <v>1905</v>
      </c>
      <c r="C55" s="109" t="s">
        <v>1906</v>
      </c>
      <c r="D55" s="110" t="s">
        <v>1907</v>
      </c>
      <c r="E55" s="107">
        <v>3.0</v>
      </c>
      <c r="F55" s="108" t="s">
        <v>1908</v>
      </c>
      <c r="G55" s="109" t="s">
        <v>1909</v>
      </c>
      <c r="H55" s="110" t="s">
        <v>1910</v>
      </c>
      <c r="I55" s="107">
        <v>3.0</v>
      </c>
      <c r="J55" s="108" t="s">
        <v>1911</v>
      </c>
      <c r="K55" s="109" t="s">
        <v>1912</v>
      </c>
      <c r="L55" s="110" t="s">
        <v>1913</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1914</v>
      </c>
      <c r="S55" s="113" t="s">
        <v>1915</v>
      </c>
      <c r="T55" s="75" t="s">
        <v>1916</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1917</v>
      </c>
      <c r="AA55" s="150" t="s">
        <v>1918</v>
      </c>
      <c r="AB55" s="132" t="s">
        <v>1919</v>
      </c>
      <c r="AC55" s="107">
        <v>3.0</v>
      </c>
      <c r="AD55" s="108" t="s">
        <v>1920</v>
      </c>
      <c r="AE55" s="109" t="s">
        <v>1921</v>
      </c>
      <c r="AF55" s="110" t="s">
        <v>1922</v>
      </c>
      <c r="AG55" s="117">
        <v>3.0</v>
      </c>
      <c r="AH55" s="118" t="s">
        <v>1923</v>
      </c>
      <c r="AI55" s="119" t="s">
        <v>1924</v>
      </c>
      <c r="AJ55" s="120" t="s">
        <v>1925</v>
      </c>
      <c r="AK55" s="107">
        <v>3.0</v>
      </c>
      <c r="AL55" s="121" t="s">
        <v>1926</v>
      </c>
      <c r="AM55" s="122" t="s">
        <v>1927</v>
      </c>
      <c r="AN55" s="123" t="s">
        <v>1928</v>
      </c>
      <c r="AO55" s="107">
        <v>3.0</v>
      </c>
      <c r="AP55" s="112" t="s">
        <v>1929</v>
      </c>
      <c r="AQ55" s="109" t="s">
        <v>1930</v>
      </c>
      <c r="AR55" s="72" t="s">
        <v>1931</v>
      </c>
      <c r="AS55" s="110"/>
      <c r="AT55" s="110"/>
    </row>
    <row r="56">
      <c r="A56" s="107">
        <v>4.0</v>
      </c>
      <c r="B56" s="108" t="s">
        <v>1932</v>
      </c>
      <c r="C56" s="109" t="s">
        <v>1933</v>
      </c>
      <c r="D56" s="110" t="s">
        <v>1934</v>
      </c>
      <c r="E56" s="107">
        <v>4.0</v>
      </c>
      <c r="F56" s="108" t="s">
        <v>1935</v>
      </c>
      <c r="G56" s="111" t="s">
        <v>1936</v>
      </c>
      <c r="H56" s="110" t="s">
        <v>1937</v>
      </c>
      <c r="I56" s="107">
        <v>4.0</v>
      </c>
      <c r="J56" s="108" t="s">
        <v>1938</v>
      </c>
      <c r="K56" s="109" t="s">
        <v>1939</v>
      </c>
      <c r="L56" s="110" t="s">
        <v>1940</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1941</v>
      </c>
      <c r="S56" s="113" t="s">
        <v>1942</v>
      </c>
      <c r="T56" s="75" t="s">
        <v>1943</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1944</v>
      </c>
      <c r="AA56" s="150" t="s">
        <v>1945</v>
      </c>
      <c r="AB56" s="132" t="s">
        <v>1946</v>
      </c>
      <c r="AC56" s="107">
        <v>4.0</v>
      </c>
      <c r="AD56" s="108" t="s">
        <v>1947</v>
      </c>
      <c r="AE56" s="109" t="s">
        <v>1948</v>
      </c>
      <c r="AF56" s="110" t="s">
        <v>1949</v>
      </c>
      <c r="AG56" s="117">
        <v>4.0</v>
      </c>
      <c r="AH56" s="118" t="s">
        <v>1950</v>
      </c>
      <c r="AI56" s="119" t="s">
        <v>1951</v>
      </c>
      <c r="AJ56" s="120" t="s">
        <v>1952</v>
      </c>
      <c r="AK56" s="107">
        <v>4.0</v>
      </c>
      <c r="AL56" s="121" t="s">
        <v>1953</v>
      </c>
      <c r="AM56" s="131" t="s">
        <v>1954</v>
      </c>
      <c r="AN56" s="123" t="s">
        <v>1955</v>
      </c>
      <c r="AO56" s="107">
        <v>4.0</v>
      </c>
      <c r="AP56" s="112" t="s">
        <v>1956</v>
      </c>
      <c r="AQ56" s="109" t="s">
        <v>1957</v>
      </c>
      <c r="AR56" s="72" t="s">
        <v>1958</v>
      </c>
      <c r="AS56" s="110"/>
      <c r="AT56" s="110"/>
    </row>
    <row r="57">
      <c r="A57" s="139">
        <v>5.0</v>
      </c>
      <c r="B57" s="108" t="s">
        <v>1959</v>
      </c>
      <c r="C57" s="109" t="s">
        <v>1960</v>
      </c>
      <c r="D57" s="110" t="s">
        <v>1961</v>
      </c>
      <c r="E57" s="139">
        <v>5.0</v>
      </c>
      <c r="F57" s="108" t="s">
        <v>1962</v>
      </c>
      <c r="G57" s="111" t="s">
        <v>1963</v>
      </c>
      <c r="H57" s="110" t="s">
        <v>1964</v>
      </c>
      <c r="I57" s="139">
        <v>5.0</v>
      </c>
      <c r="J57" s="108" t="s">
        <v>1965</v>
      </c>
      <c r="K57" s="109" t="s">
        <v>1966</v>
      </c>
      <c r="L57" s="110" t="s">
        <v>1967</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1968</v>
      </c>
      <c r="S57" s="113" t="s">
        <v>1969</v>
      </c>
      <c r="T57" s="75" t="s">
        <v>1970</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1971</v>
      </c>
      <c r="AA57" s="150" t="s">
        <v>1972</v>
      </c>
      <c r="AB57" s="132" t="s">
        <v>1973</v>
      </c>
      <c r="AC57" s="139">
        <v>5.0</v>
      </c>
      <c r="AD57" s="108" t="s">
        <v>1974</v>
      </c>
      <c r="AE57" s="109" t="s">
        <v>1975</v>
      </c>
      <c r="AF57" s="110" t="s">
        <v>1976</v>
      </c>
      <c r="AG57" s="151">
        <v>5.0</v>
      </c>
      <c r="AH57" s="118" t="s">
        <v>1977</v>
      </c>
      <c r="AI57" s="119" t="s">
        <v>1978</v>
      </c>
      <c r="AJ57" s="120" t="s">
        <v>1979</v>
      </c>
      <c r="AK57" s="107">
        <v>5.0</v>
      </c>
      <c r="AL57" s="121" t="s">
        <v>1980</v>
      </c>
      <c r="AM57" s="122" t="s">
        <v>1981</v>
      </c>
      <c r="AN57" s="123" t="s">
        <v>1982</v>
      </c>
      <c r="AO57" s="107">
        <v>5.0</v>
      </c>
      <c r="AP57" s="112" t="s">
        <v>1983</v>
      </c>
      <c r="AQ57" s="109" t="s">
        <v>1984</v>
      </c>
      <c r="AR57" s="110" t="s">
        <v>1985</v>
      </c>
      <c r="AS57" s="110"/>
      <c r="AT57" s="110"/>
    </row>
    <row r="58">
      <c r="A58" s="107">
        <v>6.0</v>
      </c>
      <c r="B58" s="108" t="s">
        <v>1986</v>
      </c>
      <c r="C58" s="109" t="s">
        <v>1987</v>
      </c>
      <c r="D58" s="110" t="s">
        <v>1988</v>
      </c>
      <c r="E58" s="107">
        <v>6.0</v>
      </c>
      <c r="F58" s="108" t="s">
        <v>1989</v>
      </c>
      <c r="G58" s="109" t="s">
        <v>1990</v>
      </c>
      <c r="H58" s="110" t="s">
        <v>1991</v>
      </c>
      <c r="I58" s="107">
        <v>6.0</v>
      </c>
      <c r="J58" s="108" t="s">
        <v>1992</v>
      </c>
      <c r="K58" s="109" t="s">
        <v>1993</v>
      </c>
      <c r="L58" s="110" t="s">
        <v>1994</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1995</v>
      </c>
      <c r="S58" s="113" t="s">
        <v>1996</v>
      </c>
      <c r="T58" s="75" t="s">
        <v>1997</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1998</v>
      </c>
      <c r="AA58" s="150" t="s">
        <v>1999</v>
      </c>
      <c r="AB58" s="132" t="s">
        <v>2000</v>
      </c>
      <c r="AC58" s="107">
        <v>6.0</v>
      </c>
      <c r="AD58" s="108" t="s">
        <v>2001</v>
      </c>
      <c r="AE58" s="109" t="s">
        <v>2002</v>
      </c>
      <c r="AF58" s="110" t="s">
        <v>2003</v>
      </c>
      <c r="AG58" s="117">
        <v>6.0</v>
      </c>
      <c r="AH58" s="118" t="s">
        <v>2004</v>
      </c>
      <c r="AI58" s="119" t="s">
        <v>2005</v>
      </c>
      <c r="AJ58" s="120" t="s">
        <v>2006</v>
      </c>
      <c r="AK58" s="107">
        <v>6.0</v>
      </c>
      <c r="AL58" s="121" t="s">
        <v>2007</v>
      </c>
      <c r="AM58" s="122" t="s">
        <v>2008</v>
      </c>
      <c r="AN58" s="123" t="s">
        <v>2009</v>
      </c>
      <c r="AO58" s="107">
        <v>6.0</v>
      </c>
      <c r="AP58" s="112" t="s">
        <v>2010</v>
      </c>
      <c r="AQ58" s="109" t="s">
        <v>2011</v>
      </c>
      <c r="AR58" s="72" t="s">
        <v>2012</v>
      </c>
      <c r="AS58" s="110"/>
      <c r="AT58" s="110"/>
    </row>
    <row r="59">
      <c r="A59" s="107">
        <v>7.0</v>
      </c>
      <c r="B59" s="108" t="s">
        <v>2013</v>
      </c>
      <c r="C59" s="111" t="s">
        <v>2014</v>
      </c>
      <c r="D59" s="72" t="s">
        <v>2015</v>
      </c>
      <c r="E59" s="107">
        <v>7.0</v>
      </c>
      <c r="F59" s="112" t="s">
        <v>2016</v>
      </c>
      <c r="G59" s="111" t="s">
        <v>2017</v>
      </c>
      <c r="H59" s="72" t="s">
        <v>2018</v>
      </c>
      <c r="I59" s="107">
        <v>7.0</v>
      </c>
      <c r="J59" s="112" t="s">
        <v>2019</v>
      </c>
      <c r="K59" s="111" t="s">
        <v>2020</v>
      </c>
      <c r="L59" s="72" t="s">
        <v>2021</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2022</v>
      </c>
      <c r="AA59" s="150" t="s">
        <v>2023</v>
      </c>
      <c r="AB59" s="132" t="s">
        <v>2024</v>
      </c>
      <c r="AC59" s="107">
        <v>7.0</v>
      </c>
      <c r="AD59" s="112" t="s">
        <v>2025</v>
      </c>
      <c r="AE59" s="111" t="s">
        <v>2026</v>
      </c>
      <c r="AF59" s="72" t="s">
        <v>2027</v>
      </c>
      <c r="AG59" s="117">
        <v>7.0</v>
      </c>
      <c r="AH59" s="118" t="s">
        <v>2028</v>
      </c>
      <c r="AI59" s="119" t="s">
        <v>2029</v>
      </c>
      <c r="AJ59" s="120" t="s">
        <v>2030</v>
      </c>
      <c r="AK59" s="107">
        <v>7.0</v>
      </c>
      <c r="AL59" s="121" t="s">
        <v>2031</v>
      </c>
      <c r="AM59" s="122" t="s">
        <v>2032</v>
      </c>
      <c r="AN59" s="123" t="s">
        <v>2033</v>
      </c>
      <c r="AO59" s="107">
        <v>7.0</v>
      </c>
      <c r="AP59" s="112" t="s">
        <v>2034</v>
      </c>
      <c r="AQ59" s="109" t="s">
        <v>2035</v>
      </c>
      <c r="AR59" s="72" t="s">
        <v>2036</v>
      </c>
      <c r="AS59" s="72"/>
      <c r="AT59" s="72"/>
    </row>
    <row r="60">
      <c r="A60" s="139">
        <v>8.0</v>
      </c>
      <c r="B60" s="108" t="s">
        <v>2037</v>
      </c>
      <c r="C60" s="111" t="s">
        <v>2038</v>
      </c>
      <c r="D60" s="110" t="s">
        <v>2039</v>
      </c>
      <c r="E60" s="139">
        <v>8.0</v>
      </c>
      <c r="F60" s="108" t="s">
        <v>2040</v>
      </c>
      <c r="G60" s="111" t="s">
        <v>2041</v>
      </c>
      <c r="H60" s="110" t="s">
        <v>2042</v>
      </c>
      <c r="I60" s="139">
        <v>8.0</v>
      </c>
      <c r="J60" s="108" t="s">
        <v>2043</v>
      </c>
      <c r="K60" s="109" t="s">
        <v>2044</v>
      </c>
      <c r="L60" s="110" t="s">
        <v>2045</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2046</v>
      </c>
      <c r="S60" s="113" t="s">
        <v>2047</v>
      </c>
      <c r="T60" s="75" t="s">
        <v>2048</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2049</v>
      </c>
      <c r="AA60" s="150" t="s">
        <v>2050</v>
      </c>
      <c r="AB60" s="132" t="s">
        <v>2051</v>
      </c>
      <c r="AC60" s="139">
        <v>8.0</v>
      </c>
      <c r="AD60" s="108" t="s">
        <v>2052</v>
      </c>
      <c r="AE60" s="109" t="s">
        <v>2053</v>
      </c>
      <c r="AF60" s="110" t="s">
        <v>2054</v>
      </c>
      <c r="AG60" s="151">
        <v>8.0</v>
      </c>
      <c r="AH60" s="118" t="s">
        <v>2055</v>
      </c>
      <c r="AI60" s="119" t="s">
        <v>2056</v>
      </c>
      <c r="AJ60" s="120" t="s">
        <v>2057</v>
      </c>
      <c r="AK60" s="107">
        <v>8.0</v>
      </c>
      <c r="AL60" s="121" t="s">
        <v>2058</v>
      </c>
      <c r="AM60" s="131" t="s">
        <v>2059</v>
      </c>
      <c r="AN60" s="123" t="s">
        <v>2060</v>
      </c>
      <c r="AO60" s="107">
        <v>8.0</v>
      </c>
      <c r="AP60" s="112" t="s">
        <v>2061</v>
      </c>
      <c r="AQ60" s="111" t="s">
        <v>2062</v>
      </c>
      <c r="AR60" s="72" t="s">
        <v>2063</v>
      </c>
      <c r="AS60" s="110"/>
      <c r="AT60" s="110"/>
    </row>
    <row r="61">
      <c r="A61" s="107">
        <v>9.0</v>
      </c>
      <c r="B61" s="112" t="s">
        <v>2064</v>
      </c>
      <c r="C61" s="111" t="s">
        <v>2065</v>
      </c>
      <c r="D61" s="72" t="s">
        <v>2066</v>
      </c>
      <c r="E61" s="107">
        <v>9.0</v>
      </c>
      <c r="F61" s="108" t="s">
        <v>2067</v>
      </c>
      <c r="G61" s="109" t="s">
        <v>2068</v>
      </c>
      <c r="H61" s="110" t="s">
        <v>2069</v>
      </c>
      <c r="I61" s="107">
        <v>9.0</v>
      </c>
      <c r="J61" s="108" t="s">
        <v>2070</v>
      </c>
      <c r="K61" s="109" t="s">
        <v>2071</v>
      </c>
      <c r="L61" s="72" t="s">
        <v>2072</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2073</v>
      </c>
      <c r="S61" s="111" t="s">
        <v>2074</v>
      </c>
      <c r="T61" s="72" t="s">
        <v>2075</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2076</v>
      </c>
      <c r="AA61" s="150" t="s">
        <v>2077</v>
      </c>
      <c r="AB61" s="132" t="s">
        <v>2078</v>
      </c>
      <c r="AC61" s="107">
        <v>9.0</v>
      </c>
      <c r="AD61" s="108" t="s">
        <v>2079</v>
      </c>
      <c r="AE61" s="109" t="s">
        <v>2080</v>
      </c>
      <c r="AF61" s="110" t="s">
        <v>2081</v>
      </c>
      <c r="AG61" s="117">
        <v>9.0</v>
      </c>
      <c r="AH61" s="118" t="s">
        <v>2082</v>
      </c>
      <c r="AI61" s="119" t="s">
        <v>2083</v>
      </c>
      <c r="AJ61" s="120" t="s">
        <v>2084</v>
      </c>
      <c r="AK61" s="107">
        <v>9.0</v>
      </c>
      <c r="AL61" s="121" t="s">
        <v>2085</v>
      </c>
      <c r="AM61" s="122" t="s">
        <v>2086</v>
      </c>
      <c r="AN61" s="123" t="s">
        <v>2087</v>
      </c>
      <c r="AO61" s="107">
        <v>9.0</v>
      </c>
      <c r="AP61" s="112" t="s">
        <v>2088</v>
      </c>
      <c r="AQ61" s="109" t="s">
        <v>2089</v>
      </c>
      <c r="AR61" s="110" t="s">
        <v>2090</v>
      </c>
      <c r="AS61" s="72"/>
      <c r="AT61" s="72"/>
    </row>
    <row r="62">
      <c r="A62" s="107">
        <v>10.0</v>
      </c>
      <c r="B62" s="112" t="s">
        <v>2091</v>
      </c>
      <c r="C62" s="109" t="s">
        <v>2092</v>
      </c>
      <c r="D62" s="72" t="s">
        <v>2093</v>
      </c>
      <c r="E62" s="107">
        <v>10.0</v>
      </c>
      <c r="F62" s="108" t="s">
        <v>2094</v>
      </c>
      <c r="G62" s="111" t="s">
        <v>2095</v>
      </c>
      <c r="H62" s="110" t="s">
        <v>2096</v>
      </c>
      <c r="I62" s="107">
        <v>10.0</v>
      </c>
      <c r="J62" s="108" t="s">
        <v>2097</v>
      </c>
      <c r="K62" s="111" t="s">
        <v>2098</v>
      </c>
      <c r="L62" s="110" t="s">
        <v>2099</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2100</v>
      </c>
      <c r="S62" s="111" t="s">
        <v>2101</v>
      </c>
      <c r="T62" s="72" t="s">
        <v>2102</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2103</v>
      </c>
      <c r="AA62" s="150" t="s">
        <v>2104</v>
      </c>
      <c r="AB62" s="132" t="s">
        <v>2105</v>
      </c>
      <c r="AC62" s="107">
        <v>10.0</v>
      </c>
      <c r="AD62" s="108" t="s">
        <v>2106</v>
      </c>
      <c r="AE62" s="109" t="s">
        <v>2107</v>
      </c>
      <c r="AF62" s="110" t="s">
        <v>2108</v>
      </c>
      <c r="AG62" s="117">
        <v>10.0</v>
      </c>
      <c r="AH62" s="118" t="s">
        <v>2109</v>
      </c>
      <c r="AI62" s="119" t="s">
        <v>2110</v>
      </c>
      <c r="AJ62" s="120" t="s">
        <v>2111</v>
      </c>
      <c r="AK62" s="107">
        <v>10.0</v>
      </c>
      <c r="AL62" s="121" t="s">
        <v>2112</v>
      </c>
      <c r="AM62" s="122" t="s">
        <v>2113</v>
      </c>
      <c r="AN62" s="123" t="s">
        <v>2114</v>
      </c>
      <c r="AO62" s="107">
        <v>10.0</v>
      </c>
      <c r="AP62" s="112" t="s">
        <v>2115</v>
      </c>
      <c r="AQ62" s="109" t="s">
        <v>2116</v>
      </c>
      <c r="AR62" s="110" t="s">
        <v>2117</v>
      </c>
      <c r="AS62" s="72"/>
      <c r="AT62" s="72"/>
    </row>
    <row r="63">
      <c r="A63" s="139">
        <v>11.0</v>
      </c>
      <c r="B63" s="112" t="s">
        <v>2118</v>
      </c>
      <c r="C63" s="111" t="s">
        <v>2119</v>
      </c>
      <c r="D63" s="72" t="s">
        <v>2120</v>
      </c>
      <c r="E63" s="139">
        <v>11.0</v>
      </c>
      <c r="F63" s="108" t="s">
        <v>2121</v>
      </c>
      <c r="G63" s="111" t="s">
        <v>2122</v>
      </c>
      <c r="H63" s="72" t="s">
        <v>2123</v>
      </c>
      <c r="I63" s="139">
        <v>11.0</v>
      </c>
      <c r="J63" s="112" t="s">
        <v>2124</v>
      </c>
      <c r="K63" s="111" t="s">
        <v>2125</v>
      </c>
      <c r="L63" s="72" t="s">
        <v>2126</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2127</v>
      </c>
      <c r="S63" s="111" t="s">
        <v>2128</v>
      </c>
      <c r="T63" s="72" t="s">
        <v>2129</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2130</v>
      </c>
      <c r="AA63" s="150" t="s">
        <v>2131</v>
      </c>
      <c r="AB63" s="132" t="s">
        <v>2132</v>
      </c>
      <c r="AC63" s="139">
        <v>11.0</v>
      </c>
      <c r="AD63" s="108" t="s">
        <v>2133</v>
      </c>
      <c r="AE63" s="109" t="s">
        <v>2134</v>
      </c>
      <c r="AF63" s="110" t="s">
        <v>2135</v>
      </c>
      <c r="AG63" s="151">
        <v>11.0</v>
      </c>
      <c r="AH63" s="118" t="s">
        <v>2136</v>
      </c>
      <c r="AI63" s="130" t="s">
        <v>2137</v>
      </c>
      <c r="AJ63" s="120" t="s">
        <v>2138</v>
      </c>
      <c r="AK63" s="107">
        <v>11.0</v>
      </c>
      <c r="AL63" s="121" t="s">
        <v>2139</v>
      </c>
      <c r="AM63" s="131" t="s">
        <v>2140</v>
      </c>
      <c r="AN63" s="123" t="s">
        <v>2141</v>
      </c>
      <c r="AO63" s="107">
        <v>11.0</v>
      </c>
      <c r="AP63" s="112" t="s">
        <v>2142</v>
      </c>
      <c r="AQ63" s="109" t="s">
        <v>2143</v>
      </c>
      <c r="AR63" s="110" t="s">
        <v>2144</v>
      </c>
      <c r="AS63" s="72"/>
      <c r="AT63" s="72"/>
    </row>
    <row r="64">
      <c r="A64" s="107">
        <v>12.0</v>
      </c>
      <c r="B64" s="108" t="s">
        <v>2145</v>
      </c>
      <c r="C64" s="109" t="s">
        <v>2146</v>
      </c>
      <c r="D64" s="110" t="s">
        <v>2147</v>
      </c>
      <c r="E64" s="107">
        <v>12.0</v>
      </c>
      <c r="F64" s="108" t="s">
        <v>2148</v>
      </c>
      <c r="G64" s="109" t="s">
        <v>2149</v>
      </c>
      <c r="H64" s="110" t="s">
        <v>2150</v>
      </c>
      <c r="I64" s="107">
        <v>12.0</v>
      </c>
      <c r="J64" s="112" t="s">
        <v>2151</v>
      </c>
      <c r="K64" s="111" t="s">
        <v>2152</v>
      </c>
      <c r="L64" s="72" t="s">
        <v>2153</v>
      </c>
      <c r="M64" s="107">
        <v>12.0</v>
      </c>
      <c r="N64" s="108" t="str">
        <f>IFERROR(__xludf.DUMMYFUNCTION("GOOGLETRANSLATE(B64,""zh-tw"",""zh"")"),"再等会")</f>
        <v>再等会</v>
      </c>
      <c r="O64" s="111" t="s">
        <v>2154</v>
      </c>
      <c r="P64" s="75" t="str">
        <f>IFERROR(__xludf.DUMMYFUNCTION("GOOGLETRANSLATE(D64,""zh-tw"",""zh"")"),"安全潜入洗面所")</f>
        <v>安全潜入洗面所</v>
      </c>
      <c r="Q64" s="107">
        <v>12.0</v>
      </c>
      <c r="R64" s="112" t="s">
        <v>2155</v>
      </c>
      <c r="S64" s="111" t="s">
        <v>2156</v>
      </c>
      <c r="T64" s="72" t="s">
        <v>2157</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2158</v>
      </c>
      <c r="AA64" s="150" t="s">
        <v>2159</v>
      </c>
      <c r="AB64" s="132" t="s">
        <v>2160</v>
      </c>
      <c r="AC64" s="107">
        <v>12.0</v>
      </c>
      <c r="AD64" s="108" t="s">
        <v>2161</v>
      </c>
      <c r="AE64" s="109" t="s">
        <v>2162</v>
      </c>
      <c r="AF64" s="110" t="s">
        <v>2163</v>
      </c>
      <c r="AG64" s="117">
        <v>12.0</v>
      </c>
      <c r="AH64" s="118" t="s">
        <v>2164</v>
      </c>
      <c r="AI64" s="119" t="s">
        <v>2165</v>
      </c>
      <c r="AJ64" s="120" t="s">
        <v>2166</v>
      </c>
      <c r="AK64" s="107">
        <v>12.0</v>
      </c>
      <c r="AL64" s="121" t="s">
        <v>2167</v>
      </c>
      <c r="AM64" s="122" t="s">
        <v>2168</v>
      </c>
      <c r="AN64" s="129" t="s">
        <v>2169</v>
      </c>
      <c r="AO64" s="107">
        <v>12.0</v>
      </c>
      <c r="AP64" s="108" t="s">
        <v>2170</v>
      </c>
      <c r="AQ64" s="109" t="s">
        <v>2171</v>
      </c>
      <c r="AR64" s="110" t="s">
        <v>2172</v>
      </c>
      <c r="AS64" s="110"/>
      <c r="AT64" s="110"/>
    </row>
    <row r="65">
      <c r="A65" s="107">
        <v>13.0</v>
      </c>
      <c r="B65" s="108" t="s">
        <v>2173</v>
      </c>
      <c r="C65" s="109" t="s">
        <v>2174</v>
      </c>
      <c r="D65" s="110" t="s">
        <v>2175</v>
      </c>
      <c r="E65" s="107">
        <v>13.0</v>
      </c>
      <c r="F65" s="112" t="s">
        <v>2176</v>
      </c>
      <c r="G65" s="109" t="s">
        <v>2177</v>
      </c>
      <c r="H65" s="110" t="s">
        <v>2178</v>
      </c>
      <c r="I65" s="107">
        <v>13.0</v>
      </c>
      <c r="J65" s="108" t="s">
        <v>2179</v>
      </c>
      <c r="K65" s="109" t="s">
        <v>2180</v>
      </c>
      <c r="L65" s="110" t="s">
        <v>2181</v>
      </c>
      <c r="M65" s="107">
        <v>13.0</v>
      </c>
      <c r="N65" s="108" t="str">
        <f>IFERROR(__xludf.DUMMYFUNCTION("GOOGLETRANSLATE(B65,""zh-tw"",""zh"")"),"第一次潜入")</f>
        <v>第一次潜入</v>
      </c>
      <c r="O65" s="111" t="s">
        <v>2182</v>
      </c>
      <c r="P65" s="75" t="str">
        <f>IFERROR(__xludf.DUMMYFUNCTION("GOOGLETRANSLATE(D65,""zh-tw"",""zh"")"),"※一次性事件
只能探索一下就必须离开")</f>
        <v>※一次性事件
只能探索一下就必须离开</v>
      </c>
      <c r="Q65" s="107">
        <v>13.0</v>
      </c>
      <c r="R65" s="125" t="s">
        <v>2183</v>
      </c>
      <c r="S65" s="113" t="str">
        <f>IFERROR(__xludf.DUMMYFUNCTION("GOOGLETRANSLATE(C65,""zh-tw"",""es-MX"")"),"La primera infiltración en el baño es parte de una historia especial.")</f>
        <v>La primera infiltración en el baño es parte de una historia especial.</v>
      </c>
      <c r="T65" s="75" t="s">
        <v>2184</v>
      </c>
      <c r="U65" s="107">
        <v>13.0</v>
      </c>
      <c r="V65" s="125" t="str">
        <f>IFERROR(__xludf.DUMMYFUNCTION("GOOGLETRANSLATE(B65,""zh-tw"",""KO"")"),"첫 번째 침투")</f>
        <v>첫 번째 침투</v>
      </c>
      <c r="W65" s="113" t="s">
        <v>2185</v>
      </c>
      <c r="X65" s="75" t="s">
        <v>2186</v>
      </c>
      <c r="Y65" s="107">
        <v>13.0</v>
      </c>
      <c r="Z65" s="149" t="s">
        <v>2187</v>
      </c>
      <c r="AA65" s="150" t="s">
        <v>2188</v>
      </c>
      <c r="AB65" s="132" t="s">
        <v>2189</v>
      </c>
      <c r="AC65" s="107">
        <v>13.0</v>
      </c>
      <c r="AD65" s="108" t="s">
        <v>2190</v>
      </c>
      <c r="AE65" s="109" t="s">
        <v>2191</v>
      </c>
      <c r="AF65" s="110" t="s">
        <v>2192</v>
      </c>
      <c r="AG65" s="117">
        <v>13.0</v>
      </c>
      <c r="AH65" s="118" t="s">
        <v>2193</v>
      </c>
      <c r="AI65" s="119" t="s">
        <v>2194</v>
      </c>
      <c r="AJ65" s="120" t="s">
        <v>2195</v>
      </c>
      <c r="AK65" s="107">
        <v>13.0</v>
      </c>
      <c r="AL65" s="121" t="s">
        <v>2196</v>
      </c>
      <c r="AM65" s="131" t="s">
        <v>2197</v>
      </c>
      <c r="AN65" s="123" t="s">
        <v>2198</v>
      </c>
      <c r="AO65" s="107">
        <v>13.0</v>
      </c>
      <c r="AP65" s="108" t="s">
        <v>2199</v>
      </c>
      <c r="AQ65" s="109" t="s">
        <v>2200</v>
      </c>
      <c r="AR65" s="110" t="s">
        <v>2201</v>
      </c>
      <c r="AS65" s="110"/>
      <c r="AT65" s="110"/>
    </row>
    <row r="66">
      <c r="A66" s="139">
        <v>14.0</v>
      </c>
      <c r="B66" s="108" t="s">
        <v>2202</v>
      </c>
      <c r="C66" s="109" t="s">
        <v>2203</v>
      </c>
      <c r="D66" s="110" t="s">
        <v>2204</v>
      </c>
      <c r="E66" s="139">
        <v>14.0</v>
      </c>
      <c r="F66" s="108" t="s">
        <v>2205</v>
      </c>
      <c r="G66" s="109" t="s">
        <v>2206</v>
      </c>
      <c r="H66" s="110" t="s">
        <v>2207</v>
      </c>
      <c r="I66" s="139">
        <v>14.0</v>
      </c>
      <c r="J66" s="108" t="s">
        <v>2208</v>
      </c>
      <c r="K66" s="109" t="s">
        <v>2209</v>
      </c>
      <c r="L66" s="110" t="s">
        <v>2210</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2211</v>
      </c>
      <c r="S66" s="113" t="s">
        <v>2212</v>
      </c>
      <c r="T66" s="75" t="s">
        <v>2213</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2214</v>
      </c>
      <c r="AA66" s="150" t="s">
        <v>2215</v>
      </c>
      <c r="AB66" s="132" t="s">
        <v>2216</v>
      </c>
      <c r="AC66" s="139">
        <v>14.0</v>
      </c>
      <c r="AD66" s="108" t="s">
        <v>2217</v>
      </c>
      <c r="AE66" s="109" t="s">
        <v>2218</v>
      </c>
      <c r="AF66" s="110" t="s">
        <v>2219</v>
      </c>
      <c r="AG66" s="151">
        <v>14.0</v>
      </c>
      <c r="AH66" s="118" t="s">
        <v>2220</v>
      </c>
      <c r="AI66" s="119" t="s">
        <v>2221</v>
      </c>
      <c r="AJ66" s="120" t="s">
        <v>2222</v>
      </c>
      <c r="AK66" s="107">
        <v>14.0</v>
      </c>
      <c r="AL66" s="121" t="s">
        <v>2223</v>
      </c>
      <c r="AM66" s="131" t="s">
        <v>2224</v>
      </c>
      <c r="AN66" s="123" t="s">
        <v>2225</v>
      </c>
      <c r="AO66" s="107">
        <v>14.0</v>
      </c>
      <c r="AP66" s="108" t="s">
        <v>2226</v>
      </c>
      <c r="AQ66" s="109" t="s">
        <v>2227</v>
      </c>
      <c r="AR66" s="110" t="s">
        <v>2228</v>
      </c>
      <c r="AS66" s="110"/>
      <c r="AT66" s="110"/>
    </row>
    <row r="67">
      <c r="A67" s="107">
        <v>15.0</v>
      </c>
      <c r="B67" s="108" t="s">
        <v>2229</v>
      </c>
      <c r="C67" s="109" t="s">
        <v>2230</v>
      </c>
      <c r="D67" s="110" t="s">
        <v>2231</v>
      </c>
      <c r="E67" s="107">
        <v>15.0</v>
      </c>
      <c r="F67" s="108" t="s">
        <v>2232</v>
      </c>
      <c r="G67" s="109" t="s">
        <v>2233</v>
      </c>
      <c r="H67" s="110" t="s">
        <v>2234</v>
      </c>
      <c r="I67" s="107">
        <v>15.0</v>
      </c>
      <c r="J67" s="108" t="s">
        <v>2235</v>
      </c>
      <c r="K67" s="111" t="s">
        <v>2236</v>
      </c>
      <c r="L67" s="110" t="s">
        <v>2237</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2238</v>
      </c>
      <c r="S67" s="113" t="s">
        <v>2239</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2240</v>
      </c>
      <c r="AA67" s="150" t="s">
        <v>2241</v>
      </c>
      <c r="AB67" s="132" t="s">
        <v>2242</v>
      </c>
      <c r="AC67" s="107">
        <v>15.0</v>
      </c>
      <c r="AD67" s="108" t="s">
        <v>2243</v>
      </c>
      <c r="AE67" s="109" t="s">
        <v>2244</v>
      </c>
      <c r="AF67" s="110" t="s">
        <v>2245</v>
      </c>
      <c r="AG67" s="117">
        <v>15.0</v>
      </c>
      <c r="AH67" s="118" t="s">
        <v>2246</v>
      </c>
      <c r="AI67" s="119" t="s">
        <v>2247</v>
      </c>
      <c r="AJ67" s="120" t="s">
        <v>2248</v>
      </c>
      <c r="AK67" s="107">
        <v>15.0</v>
      </c>
      <c r="AL67" s="121" t="s">
        <v>2249</v>
      </c>
      <c r="AM67" s="122" t="s">
        <v>2250</v>
      </c>
      <c r="AN67" s="123" t="s">
        <v>2251</v>
      </c>
      <c r="AO67" s="107">
        <v>15.0</v>
      </c>
      <c r="AP67" s="112" t="s">
        <v>2252</v>
      </c>
      <c r="AQ67" s="109" t="s">
        <v>2253</v>
      </c>
      <c r="AR67" s="110" t="s">
        <v>2254</v>
      </c>
      <c r="AS67" s="110"/>
      <c r="AT67" s="110"/>
    </row>
    <row r="68">
      <c r="A68" s="107">
        <v>16.0</v>
      </c>
      <c r="B68" s="108" t="s">
        <v>2255</v>
      </c>
      <c r="C68" s="109" t="s">
        <v>2256</v>
      </c>
      <c r="D68" s="110" t="s">
        <v>2257</v>
      </c>
      <c r="E68" s="107">
        <v>16.0</v>
      </c>
      <c r="F68" s="108" t="s">
        <v>2258</v>
      </c>
      <c r="G68" s="109" t="s">
        <v>2259</v>
      </c>
      <c r="H68" s="110" t="s">
        <v>2260</v>
      </c>
      <c r="I68" s="107">
        <v>16.0</v>
      </c>
      <c r="J68" s="108" t="s">
        <v>2261</v>
      </c>
      <c r="K68" s="109" t="s">
        <v>2262</v>
      </c>
      <c r="L68" s="110" t="s">
        <v>2263</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2264</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2265</v>
      </c>
      <c r="AA68" s="150" t="s">
        <v>2266</v>
      </c>
      <c r="AB68" s="132" t="s">
        <v>2267</v>
      </c>
      <c r="AC68" s="107">
        <v>16.0</v>
      </c>
      <c r="AD68" s="108" t="s">
        <v>2268</v>
      </c>
      <c r="AE68" s="109" t="s">
        <v>2269</v>
      </c>
      <c r="AF68" s="110" t="s">
        <v>2270</v>
      </c>
      <c r="AG68" s="117">
        <v>16.0</v>
      </c>
      <c r="AH68" s="118" t="s">
        <v>2271</v>
      </c>
      <c r="AI68" s="119" t="s">
        <v>2272</v>
      </c>
      <c r="AJ68" s="120" t="s">
        <v>2273</v>
      </c>
      <c r="AK68" s="107">
        <v>16.0</v>
      </c>
      <c r="AL68" s="121" t="s">
        <v>2274</v>
      </c>
      <c r="AM68" s="131" t="s">
        <v>2275</v>
      </c>
      <c r="AN68" s="123" t="s">
        <v>2276</v>
      </c>
      <c r="AO68" s="107">
        <v>16.0</v>
      </c>
      <c r="AP68" s="112" t="s">
        <v>2277</v>
      </c>
      <c r="AQ68" s="109" t="s">
        <v>2278</v>
      </c>
      <c r="AR68" s="110" t="s">
        <v>2279</v>
      </c>
      <c r="AS68" s="110"/>
      <c r="AT68" s="110"/>
    </row>
    <row r="69">
      <c r="A69" s="139">
        <v>17.0</v>
      </c>
      <c r="B69" s="108" t="s">
        <v>2280</v>
      </c>
      <c r="C69" s="109" t="s">
        <v>2281</v>
      </c>
      <c r="D69" s="110" t="s">
        <v>2282</v>
      </c>
      <c r="E69" s="139">
        <v>17.0</v>
      </c>
      <c r="F69" s="108" t="s">
        <v>2283</v>
      </c>
      <c r="G69" s="109" t="s">
        <v>2284</v>
      </c>
      <c r="H69" s="110" t="s">
        <v>2285</v>
      </c>
      <c r="I69" s="139">
        <v>17.0</v>
      </c>
      <c r="J69" s="108" t="s">
        <v>2286</v>
      </c>
      <c r="K69" s="109" t="s">
        <v>2287</v>
      </c>
      <c r="L69" s="110" t="s">
        <v>2288</v>
      </c>
      <c r="M69" s="139">
        <v>17.0</v>
      </c>
      <c r="N69" s="108" t="str">
        <f>IFERROR(__xludf.DUMMYFUNCTION("GOOGLETRANSLATE(B69,""zh-tw"",""zh"")"),"气息消除-1")</f>
        <v>气息消除-1</v>
      </c>
      <c r="O69" s="111" t="s">
        <v>2289</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2290</v>
      </c>
      <c r="AA69" s="150" t="s">
        <v>2291</v>
      </c>
      <c r="AB69" s="132" t="s">
        <v>2292</v>
      </c>
      <c r="AC69" s="139">
        <v>17.0</v>
      </c>
      <c r="AD69" s="108" t="s">
        <v>2293</v>
      </c>
      <c r="AE69" s="109" t="s">
        <v>2294</v>
      </c>
      <c r="AF69" s="110" t="s">
        <v>2295</v>
      </c>
      <c r="AG69" s="151">
        <v>17.0</v>
      </c>
      <c r="AH69" s="118" t="s">
        <v>2296</v>
      </c>
      <c r="AI69" s="119" t="s">
        <v>2297</v>
      </c>
      <c r="AJ69" s="120" t="s">
        <v>2298</v>
      </c>
      <c r="AK69" s="107">
        <v>17.0</v>
      </c>
      <c r="AL69" s="121" t="s">
        <v>2299</v>
      </c>
      <c r="AM69" s="131" t="s">
        <v>2300</v>
      </c>
      <c r="AN69" s="123" t="s">
        <v>2301</v>
      </c>
      <c r="AO69" s="107">
        <v>17.0</v>
      </c>
      <c r="AP69" s="112" t="s">
        <v>2302</v>
      </c>
      <c r="AQ69" s="109" t="s">
        <v>2303</v>
      </c>
      <c r="AR69" s="110" t="s">
        <v>2304</v>
      </c>
      <c r="AS69" s="110"/>
      <c r="AT69" s="110"/>
    </row>
    <row r="70">
      <c r="A70" s="107">
        <v>18.0</v>
      </c>
      <c r="B70" s="108" t="s">
        <v>2305</v>
      </c>
      <c r="C70" s="109" t="s">
        <v>2306</v>
      </c>
      <c r="D70" s="110" t="s">
        <v>2307</v>
      </c>
      <c r="E70" s="107">
        <v>18.0</v>
      </c>
      <c r="F70" s="108" t="s">
        <v>2308</v>
      </c>
      <c r="G70" s="109" t="s">
        <v>2309</v>
      </c>
      <c r="H70" s="110" t="s">
        <v>2310</v>
      </c>
      <c r="I70" s="107">
        <v>18.0</v>
      </c>
      <c r="J70" s="108" t="s">
        <v>2311</v>
      </c>
      <c r="K70" s="109" t="s">
        <v>2312</v>
      </c>
      <c r="L70" s="110" t="s">
        <v>2313</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2314</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2315</v>
      </c>
      <c r="AA70" s="150" t="s">
        <v>2316</v>
      </c>
      <c r="AB70" s="132" t="s">
        <v>2317</v>
      </c>
      <c r="AC70" s="107">
        <v>18.0</v>
      </c>
      <c r="AD70" s="108" t="s">
        <v>2318</v>
      </c>
      <c r="AE70" s="109" t="s">
        <v>2319</v>
      </c>
      <c r="AF70" s="110" t="s">
        <v>2320</v>
      </c>
      <c r="AG70" s="117">
        <v>18.0</v>
      </c>
      <c r="AH70" s="118" t="s">
        <v>2321</v>
      </c>
      <c r="AI70" s="119" t="s">
        <v>2322</v>
      </c>
      <c r="AJ70" s="120" t="s">
        <v>2323</v>
      </c>
      <c r="AK70" s="107">
        <v>18.0</v>
      </c>
      <c r="AL70" s="121" t="s">
        <v>2324</v>
      </c>
      <c r="AM70" s="122" t="s">
        <v>2325</v>
      </c>
      <c r="AN70" s="129" t="s">
        <v>2326</v>
      </c>
      <c r="AO70" s="107">
        <v>18.0</v>
      </c>
      <c r="AP70" s="112" t="s">
        <v>2327</v>
      </c>
      <c r="AQ70" s="109" t="s">
        <v>2328</v>
      </c>
      <c r="AR70" s="110" t="s">
        <v>2329</v>
      </c>
      <c r="AS70" s="110"/>
      <c r="AT70" s="110"/>
    </row>
    <row r="71">
      <c r="A71" s="107">
        <v>19.0</v>
      </c>
      <c r="B71" s="108" t="s">
        <v>2330</v>
      </c>
      <c r="C71" s="109" t="s">
        <v>2331</v>
      </c>
      <c r="D71" s="110" t="s">
        <v>2332</v>
      </c>
      <c r="E71" s="107">
        <v>19.0</v>
      </c>
      <c r="F71" s="108" t="s">
        <v>2333</v>
      </c>
      <c r="G71" s="109" t="s">
        <v>2334</v>
      </c>
      <c r="H71" s="110" t="s">
        <v>2335</v>
      </c>
      <c r="I71" s="107">
        <v>19.0</v>
      </c>
      <c r="J71" s="108" t="s">
        <v>2336</v>
      </c>
      <c r="K71" s="109" t="s">
        <v>2337</v>
      </c>
      <c r="L71" s="110" t="s">
        <v>2338</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2339</v>
      </c>
      <c r="S71" s="113" t="s">
        <v>2340</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2341</v>
      </c>
      <c r="AA71" s="150" t="s">
        <v>2342</v>
      </c>
      <c r="AB71" s="132" t="s">
        <v>2343</v>
      </c>
      <c r="AC71" s="107">
        <v>19.0</v>
      </c>
      <c r="AD71" s="108" t="s">
        <v>2344</v>
      </c>
      <c r="AE71" s="109" t="s">
        <v>2345</v>
      </c>
      <c r="AF71" s="110" t="s">
        <v>2346</v>
      </c>
      <c r="AG71" s="117">
        <v>19.0</v>
      </c>
      <c r="AH71" s="118" t="s">
        <v>2347</v>
      </c>
      <c r="AI71" s="119" t="s">
        <v>2348</v>
      </c>
      <c r="AJ71" s="120" t="s">
        <v>2349</v>
      </c>
      <c r="AK71" s="107">
        <v>19.0</v>
      </c>
      <c r="AL71" s="121" t="s">
        <v>2350</v>
      </c>
      <c r="AM71" s="131" t="s">
        <v>2351</v>
      </c>
      <c r="AN71" s="123" t="s">
        <v>2352</v>
      </c>
      <c r="AO71" s="107">
        <v>19.0</v>
      </c>
      <c r="AP71" s="112" t="s">
        <v>2353</v>
      </c>
      <c r="AQ71" s="109" t="s">
        <v>2354</v>
      </c>
      <c r="AR71" s="110" t="s">
        <v>2355</v>
      </c>
      <c r="AS71" s="110"/>
      <c r="AT71" s="110"/>
    </row>
    <row r="72">
      <c r="A72" s="139">
        <v>20.0</v>
      </c>
      <c r="B72" s="108" t="s">
        <v>2356</v>
      </c>
      <c r="C72" s="109" t="s">
        <v>2357</v>
      </c>
      <c r="D72" s="110" t="s">
        <v>2358</v>
      </c>
      <c r="E72" s="139">
        <v>20.0</v>
      </c>
      <c r="F72" s="108" t="s">
        <v>2359</v>
      </c>
      <c r="G72" s="109" t="s">
        <v>2360</v>
      </c>
      <c r="H72" s="110" t="s">
        <v>2361</v>
      </c>
      <c r="I72" s="139">
        <v>20.0</v>
      </c>
      <c r="J72" s="108" t="s">
        <v>2362</v>
      </c>
      <c r="K72" s="109" t="s">
        <v>2363</v>
      </c>
      <c r="L72" s="110" t="s">
        <v>2364</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2365</v>
      </c>
      <c r="S72" s="113" t="s">
        <v>2366</v>
      </c>
      <c r="T72" s="75" t="s">
        <v>2367</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2368</v>
      </c>
      <c r="AA72" s="150" t="s">
        <v>2369</v>
      </c>
      <c r="AB72" s="132" t="s">
        <v>2370</v>
      </c>
      <c r="AC72" s="139">
        <v>20.0</v>
      </c>
      <c r="AD72" s="108" t="s">
        <v>2371</v>
      </c>
      <c r="AE72" s="109" t="s">
        <v>2372</v>
      </c>
      <c r="AF72" s="110" t="s">
        <v>2373</v>
      </c>
      <c r="AG72" s="151">
        <v>20.0</v>
      </c>
      <c r="AH72" s="118" t="s">
        <v>2374</v>
      </c>
      <c r="AI72" s="119" t="s">
        <v>2375</v>
      </c>
      <c r="AJ72" s="120" t="s">
        <v>2376</v>
      </c>
      <c r="AK72" s="107">
        <v>20.0</v>
      </c>
      <c r="AL72" s="121" t="s">
        <v>2377</v>
      </c>
      <c r="AM72" s="122" t="s">
        <v>2378</v>
      </c>
      <c r="AN72" s="123" t="s">
        <v>2379</v>
      </c>
      <c r="AO72" s="107">
        <v>20.0</v>
      </c>
      <c r="AP72" s="108" t="s">
        <v>2380</v>
      </c>
      <c r="AQ72" s="109" t="s">
        <v>2381</v>
      </c>
      <c r="AR72" s="110" t="s">
        <v>2382</v>
      </c>
      <c r="AS72" s="110"/>
      <c r="AT72" s="110"/>
    </row>
    <row r="73" ht="41.25" customHeight="1">
      <c r="A73" s="107">
        <v>21.0</v>
      </c>
      <c r="B73" s="108" t="s">
        <v>2383</v>
      </c>
      <c r="C73" s="109" t="s">
        <v>2384</v>
      </c>
      <c r="D73" s="110" t="s">
        <v>2385</v>
      </c>
      <c r="E73" s="107">
        <v>21.0</v>
      </c>
      <c r="F73" s="108" t="s">
        <v>2386</v>
      </c>
      <c r="G73" s="111" t="s">
        <v>2387</v>
      </c>
      <c r="H73" s="110" t="s">
        <v>2388</v>
      </c>
      <c r="I73" s="107">
        <v>21.0</v>
      </c>
      <c r="J73" s="108" t="s">
        <v>2389</v>
      </c>
      <c r="K73" s="109" t="s">
        <v>2390</v>
      </c>
      <c r="L73" s="110" t="s">
        <v>2391</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2392</v>
      </c>
      <c r="S73" s="113" t="s">
        <v>2393</v>
      </c>
      <c r="T73" s="75" t="s">
        <v>2394</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2395</v>
      </c>
      <c r="AA73" s="150" t="s">
        <v>2396</v>
      </c>
      <c r="AB73" s="132" t="s">
        <v>2397</v>
      </c>
      <c r="AC73" s="107">
        <v>21.0</v>
      </c>
      <c r="AD73" s="108" t="s">
        <v>2398</v>
      </c>
      <c r="AE73" s="109" t="s">
        <v>2399</v>
      </c>
      <c r="AF73" s="110" t="s">
        <v>2400</v>
      </c>
      <c r="AG73" s="117">
        <v>21.0</v>
      </c>
      <c r="AH73" s="133" t="s">
        <v>2401</v>
      </c>
      <c r="AI73" s="119" t="s">
        <v>2402</v>
      </c>
      <c r="AJ73" s="120" t="s">
        <v>2403</v>
      </c>
      <c r="AK73" s="107">
        <v>21.0</v>
      </c>
      <c r="AL73" s="121" t="s">
        <v>2404</v>
      </c>
      <c r="AM73" s="131" t="s">
        <v>2405</v>
      </c>
      <c r="AN73" s="123" t="s">
        <v>2406</v>
      </c>
      <c r="AO73" s="107">
        <v>21.0</v>
      </c>
      <c r="AP73" s="108" t="s">
        <v>2407</v>
      </c>
      <c r="AQ73" s="109" t="s">
        <v>2408</v>
      </c>
      <c r="AR73" s="110" t="s">
        <v>2409</v>
      </c>
      <c r="AS73" s="110"/>
      <c r="AT73" s="110"/>
    </row>
    <row r="74">
      <c r="A74" s="107">
        <v>22.0</v>
      </c>
      <c r="B74" s="108" t="s">
        <v>2410</v>
      </c>
      <c r="C74" s="109" t="s">
        <v>2411</v>
      </c>
      <c r="D74" s="110" t="s">
        <v>2412</v>
      </c>
      <c r="E74" s="107">
        <v>22.0</v>
      </c>
      <c r="F74" s="108" t="s">
        <v>2413</v>
      </c>
      <c r="G74" s="109" t="s">
        <v>2414</v>
      </c>
      <c r="H74" s="110" t="s">
        <v>2415</v>
      </c>
      <c r="I74" s="107">
        <v>22.0</v>
      </c>
      <c r="J74" s="108" t="s">
        <v>2416</v>
      </c>
      <c r="K74" s="109" t="s">
        <v>2417</v>
      </c>
      <c r="L74" s="110" t="s">
        <v>2418</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2419</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2420</v>
      </c>
      <c r="AA74" s="115" t="s">
        <v>2421</v>
      </c>
      <c r="AB74" s="116" t="s">
        <v>2422</v>
      </c>
      <c r="AC74" s="107">
        <v>22.0</v>
      </c>
      <c r="AD74" s="108" t="s">
        <v>2423</v>
      </c>
      <c r="AE74" s="109" t="s">
        <v>2424</v>
      </c>
      <c r="AF74" s="110" t="s">
        <v>2425</v>
      </c>
      <c r="AG74" s="117">
        <v>22.0</v>
      </c>
      <c r="AH74" s="133" t="s">
        <v>2426</v>
      </c>
      <c r="AI74" s="119" t="s">
        <v>2427</v>
      </c>
      <c r="AJ74" s="120" t="s">
        <v>2428</v>
      </c>
      <c r="AK74" s="107">
        <v>22.0</v>
      </c>
      <c r="AL74" s="121" t="s">
        <v>2429</v>
      </c>
      <c r="AM74" s="122" t="s">
        <v>2430</v>
      </c>
      <c r="AN74" s="123" t="s">
        <v>2431</v>
      </c>
      <c r="AO74" s="107">
        <v>22.0</v>
      </c>
      <c r="AP74" s="108" t="s">
        <v>2432</v>
      </c>
      <c r="AQ74" s="109" t="s">
        <v>2433</v>
      </c>
      <c r="AR74" s="110" t="s">
        <v>2434</v>
      </c>
      <c r="AS74" s="110"/>
      <c r="AT74" s="110"/>
    </row>
    <row r="75">
      <c r="A75" s="139">
        <v>23.0</v>
      </c>
      <c r="B75" s="108" t="s">
        <v>2435</v>
      </c>
      <c r="C75" s="109" t="s">
        <v>2436</v>
      </c>
      <c r="D75" s="110" t="s">
        <v>2437</v>
      </c>
      <c r="E75" s="139">
        <v>23.0</v>
      </c>
      <c r="F75" s="108" t="s">
        <v>2438</v>
      </c>
      <c r="G75" s="109" t="s">
        <v>2439</v>
      </c>
      <c r="H75" s="110" t="s">
        <v>2440</v>
      </c>
      <c r="I75" s="139">
        <v>23.0</v>
      </c>
      <c r="J75" s="108" t="s">
        <v>2441</v>
      </c>
      <c r="K75" s="109" t="s">
        <v>2442</v>
      </c>
      <c r="L75" s="110" t="s">
        <v>2443</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2444</v>
      </c>
      <c r="AA75" s="150" t="s">
        <v>2445</v>
      </c>
      <c r="AB75" s="132" t="s">
        <v>2446</v>
      </c>
      <c r="AC75" s="139">
        <v>23.0</v>
      </c>
      <c r="AD75" s="108" t="s">
        <v>2447</v>
      </c>
      <c r="AE75" s="109" t="s">
        <v>2448</v>
      </c>
      <c r="AF75" s="110" t="s">
        <v>2449</v>
      </c>
      <c r="AG75" s="151">
        <v>23.0</v>
      </c>
      <c r="AH75" s="118" t="s">
        <v>2450</v>
      </c>
      <c r="AI75" s="119" t="s">
        <v>2451</v>
      </c>
      <c r="AJ75" s="120" t="s">
        <v>2452</v>
      </c>
      <c r="AK75" s="107">
        <v>23.0</v>
      </c>
      <c r="AL75" s="121" t="s">
        <v>2453</v>
      </c>
      <c r="AM75" s="131" t="s">
        <v>2454</v>
      </c>
      <c r="AN75" s="123" t="s">
        <v>2455</v>
      </c>
      <c r="AO75" s="107">
        <v>23.0</v>
      </c>
      <c r="AP75" s="108" t="s">
        <v>2456</v>
      </c>
      <c r="AQ75" s="109" t="s">
        <v>2457</v>
      </c>
      <c r="AR75" s="110" t="s">
        <v>2458</v>
      </c>
      <c r="AS75" s="110"/>
      <c r="AT75" s="110"/>
    </row>
    <row r="76">
      <c r="A76" s="107">
        <v>24.0</v>
      </c>
      <c r="B76" s="108" t="s">
        <v>2459</v>
      </c>
      <c r="C76" s="109" t="s">
        <v>2460</v>
      </c>
      <c r="D76" s="110" t="s">
        <v>2461</v>
      </c>
      <c r="E76" s="107">
        <v>24.0</v>
      </c>
      <c r="F76" s="108" t="s">
        <v>2462</v>
      </c>
      <c r="G76" s="109" t="s">
        <v>2463</v>
      </c>
      <c r="H76" s="110" t="s">
        <v>2464</v>
      </c>
      <c r="I76" s="107">
        <v>24.0</v>
      </c>
      <c r="J76" s="108" t="s">
        <v>2441</v>
      </c>
      <c r="K76" s="109" t="s">
        <v>2465</v>
      </c>
      <c r="L76" s="110" t="s">
        <v>2466</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2467</v>
      </c>
      <c r="AA76" s="150" t="s">
        <v>2468</v>
      </c>
      <c r="AB76" s="132" t="s">
        <v>2469</v>
      </c>
      <c r="AC76" s="107">
        <v>24.0</v>
      </c>
      <c r="AD76" s="108" t="s">
        <v>2470</v>
      </c>
      <c r="AE76" s="109" t="s">
        <v>2471</v>
      </c>
      <c r="AF76" s="110" t="s">
        <v>2472</v>
      </c>
      <c r="AG76" s="117">
        <v>24.0</v>
      </c>
      <c r="AH76" s="118" t="s">
        <v>2473</v>
      </c>
      <c r="AI76" s="119" t="s">
        <v>2474</v>
      </c>
      <c r="AJ76" s="120" t="s">
        <v>2475</v>
      </c>
      <c r="AK76" s="107">
        <v>24.0</v>
      </c>
      <c r="AL76" s="121" t="s">
        <v>2476</v>
      </c>
      <c r="AM76" s="131" t="s">
        <v>2477</v>
      </c>
      <c r="AN76" s="123" t="s">
        <v>2478</v>
      </c>
      <c r="AO76" s="107">
        <v>24.0</v>
      </c>
      <c r="AP76" s="108" t="s">
        <v>2479</v>
      </c>
      <c r="AQ76" s="109" t="s">
        <v>2480</v>
      </c>
      <c r="AR76" s="110" t="s">
        <v>2481</v>
      </c>
      <c r="AS76" s="110"/>
      <c r="AT76" s="110"/>
    </row>
    <row r="77">
      <c r="A77" s="107">
        <v>25.0</v>
      </c>
      <c r="B77" s="108" t="s">
        <v>2482</v>
      </c>
      <c r="C77" s="109" t="s">
        <v>2483</v>
      </c>
      <c r="D77" s="110" t="s">
        <v>2484</v>
      </c>
      <c r="E77" s="107">
        <v>25.0</v>
      </c>
      <c r="F77" s="108" t="s">
        <v>2485</v>
      </c>
      <c r="G77" s="109" t="s">
        <v>2486</v>
      </c>
      <c r="H77" s="110" t="s">
        <v>2484</v>
      </c>
      <c r="I77" s="107">
        <v>25.0</v>
      </c>
      <c r="J77" s="108" t="s">
        <v>2441</v>
      </c>
      <c r="K77" s="109" t="s">
        <v>2487</v>
      </c>
      <c r="L77" s="110" t="s">
        <v>2488</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2489</v>
      </c>
      <c r="AA77" s="150" t="s">
        <v>2490</v>
      </c>
      <c r="AB77" s="132" t="s">
        <v>2491</v>
      </c>
      <c r="AC77" s="107">
        <v>25.0</v>
      </c>
      <c r="AD77" s="108" t="s">
        <v>2492</v>
      </c>
      <c r="AE77" s="109" t="s">
        <v>2493</v>
      </c>
      <c r="AF77" s="110" t="s">
        <v>2494</v>
      </c>
      <c r="AG77" s="117">
        <v>25.0</v>
      </c>
      <c r="AH77" s="118" t="s">
        <v>2495</v>
      </c>
      <c r="AI77" s="119" t="s">
        <v>2496</v>
      </c>
      <c r="AJ77" s="120" t="s">
        <v>2497</v>
      </c>
      <c r="AK77" s="107">
        <v>25.0</v>
      </c>
      <c r="AL77" s="121" t="s">
        <v>2498</v>
      </c>
      <c r="AM77" s="122" t="s">
        <v>2499</v>
      </c>
      <c r="AN77" s="123" t="s">
        <v>2500</v>
      </c>
      <c r="AO77" s="107">
        <v>25.0</v>
      </c>
      <c r="AP77" s="108" t="s">
        <v>2501</v>
      </c>
      <c r="AQ77" s="109" t="s">
        <v>2502</v>
      </c>
      <c r="AR77" s="110" t="s">
        <v>2503</v>
      </c>
      <c r="AS77" s="110"/>
      <c r="AT77" s="110"/>
    </row>
    <row r="78">
      <c r="A78" s="139">
        <v>26.0</v>
      </c>
      <c r="B78" s="121" t="s">
        <v>2504</v>
      </c>
      <c r="C78" s="122" t="s">
        <v>2505</v>
      </c>
      <c r="D78" s="123" t="s">
        <v>2506</v>
      </c>
      <c r="E78" s="139">
        <v>26.0</v>
      </c>
      <c r="F78" s="108" t="s">
        <v>2507</v>
      </c>
      <c r="G78" s="154" t="s">
        <v>2508</v>
      </c>
      <c r="H78" s="155" t="s">
        <v>2509</v>
      </c>
      <c r="I78" s="139">
        <v>26.0</v>
      </c>
      <c r="J78" s="153" t="s">
        <v>2510</v>
      </c>
      <c r="K78" s="154" t="s">
        <v>2511</v>
      </c>
      <c r="L78" s="155" t="s">
        <v>2512</v>
      </c>
      <c r="M78" s="139">
        <v>26.0</v>
      </c>
      <c r="N78" s="121" t="s">
        <v>2504</v>
      </c>
      <c r="O78" s="141" t="s">
        <v>2513</v>
      </c>
      <c r="P78" s="142" t="s">
        <v>2514</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2515</v>
      </c>
      <c r="AA78" s="150" t="s">
        <v>2516</v>
      </c>
      <c r="AB78" s="132" t="s">
        <v>2517</v>
      </c>
      <c r="AC78" s="139">
        <v>26.0</v>
      </c>
      <c r="AD78" s="153" t="s">
        <v>2518</v>
      </c>
      <c r="AE78" s="154" t="s">
        <v>2519</v>
      </c>
      <c r="AF78" s="155" t="s">
        <v>2520</v>
      </c>
      <c r="AG78" s="139">
        <v>26.0</v>
      </c>
      <c r="AH78" s="157" t="s">
        <v>2521</v>
      </c>
      <c r="AI78" s="158" t="s">
        <v>2522</v>
      </c>
      <c r="AJ78" s="178" t="s">
        <v>2523</v>
      </c>
      <c r="AK78" s="139">
        <v>26.0</v>
      </c>
      <c r="AL78" s="121" t="s">
        <v>2524</v>
      </c>
      <c r="AM78" s="122" t="s">
        <v>2525</v>
      </c>
      <c r="AN78" s="129" t="s">
        <v>2526</v>
      </c>
      <c r="AO78" s="139">
        <v>26.0</v>
      </c>
      <c r="AP78" s="108" t="s">
        <v>2527</v>
      </c>
      <c r="AQ78" s="109" t="s">
        <v>2528</v>
      </c>
      <c r="AR78" s="110" t="s">
        <v>2529</v>
      </c>
      <c r="AS78" s="123"/>
      <c r="AT78" s="123"/>
    </row>
    <row r="79">
      <c r="A79" s="107">
        <v>27.0</v>
      </c>
      <c r="B79" s="108" t="s">
        <v>2530</v>
      </c>
      <c r="C79" s="109" t="s">
        <v>2531</v>
      </c>
      <c r="D79" s="110" t="s">
        <v>2532</v>
      </c>
      <c r="E79" s="107">
        <v>27.0</v>
      </c>
      <c r="F79" s="108" t="s">
        <v>2533</v>
      </c>
      <c r="G79" s="109" t="s">
        <v>2534</v>
      </c>
      <c r="H79" s="110" t="s">
        <v>2535</v>
      </c>
      <c r="I79" s="107">
        <v>27.0</v>
      </c>
      <c r="J79" s="108" t="s">
        <v>2536</v>
      </c>
      <c r="K79" s="109" t="s">
        <v>2537</v>
      </c>
      <c r="L79" s="110" t="s">
        <v>2538</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2539</v>
      </c>
      <c r="AA79" s="150" t="s">
        <v>2540</v>
      </c>
      <c r="AB79" s="132" t="s">
        <v>2541</v>
      </c>
      <c r="AC79" s="107">
        <v>27.0</v>
      </c>
      <c r="AD79" s="108" t="s">
        <v>2542</v>
      </c>
      <c r="AE79" s="109" t="s">
        <v>2543</v>
      </c>
      <c r="AF79" s="110" t="s">
        <v>2544</v>
      </c>
      <c r="AG79" s="107">
        <v>27.0</v>
      </c>
      <c r="AH79" s="118" t="s">
        <v>2545</v>
      </c>
      <c r="AI79" s="119" t="s">
        <v>2546</v>
      </c>
      <c r="AJ79" s="120" t="s">
        <v>2547</v>
      </c>
      <c r="AK79" s="107">
        <v>27.0</v>
      </c>
      <c r="AL79" s="160" t="s">
        <v>2548</v>
      </c>
      <c r="AM79" s="122" t="s">
        <v>2549</v>
      </c>
      <c r="AN79" s="123" t="s">
        <v>2550</v>
      </c>
      <c r="AO79" s="107">
        <v>27.0</v>
      </c>
      <c r="AP79" s="108" t="s">
        <v>2551</v>
      </c>
      <c r="AQ79" s="109" t="s">
        <v>2552</v>
      </c>
      <c r="AR79" s="110" t="s">
        <v>2553</v>
      </c>
      <c r="AS79" s="110"/>
      <c r="AT79" s="110"/>
    </row>
    <row r="80">
      <c r="A80" s="107">
        <v>28.0</v>
      </c>
      <c r="B80" s="108" t="s">
        <v>2554</v>
      </c>
      <c r="C80" s="109" t="s">
        <v>2555</v>
      </c>
      <c r="D80" s="110" t="s">
        <v>2556</v>
      </c>
      <c r="E80" s="107">
        <v>28.0</v>
      </c>
      <c r="F80" s="108" t="s">
        <v>2557</v>
      </c>
      <c r="G80" s="109" t="s">
        <v>2558</v>
      </c>
      <c r="H80" s="110" t="s">
        <v>2559</v>
      </c>
      <c r="I80" s="107">
        <v>28.0</v>
      </c>
      <c r="J80" s="108" t="s">
        <v>2560</v>
      </c>
      <c r="K80" s="109" t="s">
        <v>2561</v>
      </c>
      <c r="L80" s="110" t="s">
        <v>2562</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2563</v>
      </c>
      <c r="AA80" s="180" t="s">
        <v>2564</v>
      </c>
      <c r="AB80" s="132" t="s">
        <v>2565</v>
      </c>
      <c r="AC80" s="107">
        <v>28.0</v>
      </c>
      <c r="AD80" s="108" t="s">
        <v>2566</v>
      </c>
      <c r="AE80" s="109" t="s">
        <v>2567</v>
      </c>
      <c r="AF80" s="110" t="s">
        <v>2568</v>
      </c>
      <c r="AG80" s="107">
        <v>28.0</v>
      </c>
      <c r="AH80" s="118" t="s">
        <v>2569</v>
      </c>
      <c r="AI80" s="119" t="s">
        <v>2570</v>
      </c>
      <c r="AJ80" s="120" t="s">
        <v>2571</v>
      </c>
      <c r="AK80" s="107">
        <v>28.0</v>
      </c>
      <c r="AL80" s="160" t="s">
        <v>2572</v>
      </c>
      <c r="AM80" s="131" t="s">
        <v>2573</v>
      </c>
      <c r="AN80" s="123" t="s">
        <v>2574</v>
      </c>
      <c r="AO80" s="107">
        <v>28.0</v>
      </c>
      <c r="AP80" s="108" t="s">
        <v>2575</v>
      </c>
      <c r="AQ80" s="109" t="s">
        <v>2576</v>
      </c>
      <c r="AR80" s="110" t="s">
        <v>2577</v>
      </c>
      <c r="AS80" s="110"/>
      <c r="AT80" s="110"/>
    </row>
    <row r="81">
      <c r="A81" s="139">
        <v>29.0</v>
      </c>
      <c r="B81" s="108" t="s">
        <v>2578</v>
      </c>
      <c r="C81" s="109" t="s">
        <v>2579</v>
      </c>
      <c r="D81" s="110" t="s">
        <v>2580</v>
      </c>
      <c r="E81" s="139">
        <v>29.0</v>
      </c>
      <c r="F81" s="108" t="s">
        <v>2581</v>
      </c>
      <c r="G81" s="109" t="s">
        <v>2582</v>
      </c>
      <c r="H81" s="110" t="s">
        <v>2583</v>
      </c>
      <c r="I81" s="139">
        <v>29.0</v>
      </c>
      <c r="J81" s="108" t="s">
        <v>2584</v>
      </c>
      <c r="K81" s="109" t="s">
        <v>2585</v>
      </c>
      <c r="L81" s="110" t="s">
        <v>2586</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2587</v>
      </c>
      <c r="AA81" s="180" t="s">
        <v>2588</v>
      </c>
      <c r="AB81" s="132" t="s">
        <v>2589</v>
      </c>
      <c r="AC81" s="139">
        <v>29.0</v>
      </c>
      <c r="AD81" s="108" t="s">
        <v>2590</v>
      </c>
      <c r="AE81" s="109" t="s">
        <v>2591</v>
      </c>
      <c r="AF81" s="110" t="s">
        <v>2592</v>
      </c>
      <c r="AG81" s="139">
        <v>29.0</v>
      </c>
      <c r="AH81" s="118" t="s">
        <v>2593</v>
      </c>
      <c r="AI81" s="119" t="s">
        <v>2594</v>
      </c>
      <c r="AJ81" s="120" t="s">
        <v>2595</v>
      </c>
      <c r="AK81" s="139">
        <v>29.0</v>
      </c>
      <c r="AL81" s="160" t="s">
        <v>2596</v>
      </c>
      <c r="AM81" s="131" t="s">
        <v>2597</v>
      </c>
      <c r="AN81" s="123" t="s">
        <v>2598</v>
      </c>
      <c r="AO81" s="139">
        <v>29.0</v>
      </c>
      <c r="AP81" s="108" t="s">
        <v>2599</v>
      </c>
      <c r="AQ81" s="109" t="s">
        <v>2600</v>
      </c>
      <c r="AR81" s="110" t="s">
        <v>2601</v>
      </c>
      <c r="AS81" s="110"/>
      <c r="AT81" s="110"/>
    </row>
    <row r="82">
      <c r="A82" s="107">
        <v>30.0</v>
      </c>
      <c r="B82" s="108" t="s">
        <v>2602</v>
      </c>
      <c r="C82" s="109" t="s">
        <v>2603</v>
      </c>
      <c r="D82" s="110" t="s">
        <v>2604</v>
      </c>
      <c r="E82" s="107">
        <v>30.0</v>
      </c>
      <c r="F82" s="108" t="s">
        <v>2605</v>
      </c>
      <c r="G82" s="109" t="s">
        <v>2606</v>
      </c>
      <c r="H82" s="110" t="s">
        <v>2607</v>
      </c>
      <c r="I82" s="107">
        <v>30.0</v>
      </c>
      <c r="J82" s="108" t="s">
        <v>2608</v>
      </c>
      <c r="K82" s="109" t="s">
        <v>2609</v>
      </c>
      <c r="L82" s="110" t="s">
        <v>2610</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2611</v>
      </c>
      <c r="AA82" s="150" t="s">
        <v>2612</v>
      </c>
      <c r="AB82" s="132" t="s">
        <v>2613</v>
      </c>
      <c r="AC82" s="107">
        <v>30.0</v>
      </c>
      <c r="AD82" s="108" t="s">
        <v>2614</v>
      </c>
      <c r="AE82" s="109" t="s">
        <v>2615</v>
      </c>
      <c r="AF82" s="110" t="s">
        <v>2616</v>
      </c>
      <c r="AG82" s="107">
        <v>30.0</v>
      </c>
      <c r="AH82" s="118" t="s">
        <v>2617</v>
      </c>
      <c r="AI82" s="119" t="s">
        <v>2618</v>
      </c>
      <c r="AJ82" s="120" t="s">
        <v>2619</v>
      </c>
      <c r="AK82" s="107">
        <v>30.0</v>
      </c>
      <c r="AL82" s="160" t="s">
        <v>2620</v>
      </c>
      <c r="AM82" s="122" t="s">
        <v>2621</v>
      </c>
      <c r="AN82" s="123" t="s">
        <v>2622</v>
      </c>
      <c r="AO82" s="107">
        <v>30.0</v>
      </c>
      <c r="AP82" s="108" t="s">
        <v>2623</v>
      </c>
      <c r="AQ82" s="109" t="s">
        <v>2624</v>
      </c>
      <c r="AR82" s="110" t="s">
        <v>2625</v>
      </c>
      <c r="AS82" s="110"/>
      <c r="AT82" s="110"/>
    </row>
    <row r="83">
      <c r="A83" s="107">
        <v>31.0</v>
      </c>
      <c r="B83" s="121" t="s">
        <v>2626</v>
      </c>
      <c r="C83" s="122" t="s">
        <v>2627</v>
      </c>
      <c r="D83" s="123" t="s">
        <v>2628</v>
      </c>
      <c r="E83" s="107">
        <v>31.0</v>
      </c>
      <c r="F83" s="108" t="s">
        <v>2629</v>
      </c>
      <c r="G83" s="154" t="s">
        <v>2630</v>
      </c>
      <c r="H83" s="155" t="s">
        <v>2631</v>
      </c>
      <c r="I83" s="107">
        <v>31.0</v>
      </c>
      <c r="J83" s="153" t="s">
        <v>2632</v>
      </c>
      <c r="K83" s="154" t="s">
        <v>2633</v>
      </c>
      <c r="L83" s="155" t="s">
        <v>2634</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2635</v>
      </c>
      <c r="AA83" s="150" t="s">
        <v>2636</v>
      </c>
      <c r="AB83" s="132" t="s">
        <v>2637</v>
      </c>
      <c r="AC83" s="107">
        <v>31.0</v>
      </c>
      <c r="AD83" s="153" t="s">
        <v>2638</v>
      </c>
      <c r="AE83" s="154" t="s">
        <v>2639</v>
      </c>
      <c r="AF83" s="155" t="s">
        <v>2640</v>
      </c>
      <c r="AG83" s="107">
        <v>31.0</v>
      </c>
      <c r="AH83" s="157" t="s">
        <v>2641</v>
      </c>
      <c r="AI83" s="158" t="s">
        <v>2642</v>
      </c>
      <c r="AJ83" s="178" t="s">
        <v>2643</v>
      </c>
      <c r="AK83" s="107">
        <v>31.0</v>
      </c>
      <c r="AL83" s="121" t="s">
        <v>2644</v>
      </c>
      <c r="AM83" s="122" t="s">
        <v>2645</v>
      </c>
      <c r="AN83" s="129" t="s">
        <v>2646</v>
      </c>
      <c r="AO83" s="107">
        <v>31.0</v>
      </c>
      <c r="AP83" s="108" t="s">
        <v>2632</v>
      </c>
      <c r="AQ83" s="109" t="s">
        <v>2633</v>
      </c>
      <c r="AR83" s="110" t="s">
        <v>2647</v>
      </c>
      <c r="AS83" s="123"/>
      <c r="AT83" s="123"/>
    </row>
    <row r="84">
      <c r="A84" s="139">
        <v>32.0</v>
      </c>
      <c r="B84" s="121" t="s">
        <v>2648</v>
      </c>
      <c r="C84" s="122" t="s">
        <v>2649</v>
      </c>
      <c r="D84" s="123" t="s">
        <v>2650</v>
      </c>
      <c r="E84" s="139">
        <v>32.0</v>
      </c>
      <c r="F84" s="108" t="s">
        <v>2651</v>
      </c>
      <c r="G84" s="154" t="s">
        <v>2652</v>
      </c>
      <c r="H84" s="155" t="s">
        <v>2653</v>
      </c>
      <c r="I84" s="139">
        <v>32.0</v>
      </c>
      <c r="J84" s="153" t="s">
        <v>2654</v>
      </c>
      <c r="K84" s="154" t="s">
        <v>2655</v>
      </c>
      <c r="L84" s="155" t="s">
        <v>2656</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2657</v>
      </c>
      <c r="AA84" s="180" t="s">
        <v>2658</v>
      </c>
      <c r="AB84" s="181" t="s">
        <v>2659</v>
      </c>
      <c r="AC84" s="139">
        <v>32.0</v>
      </c>
      <c r="AD84" s="153" t="s">
        <v>2660</v>
      </c>
      <c r="AE84" s="154" t="s">
        <v>2661</v>
      </c>
      <c r="AF84" s="155" t="s">
        <v>2662</v>
      </c>
      <c r="AG84" s="139">
        <v>32.0</v>
      </c>
      <c r="AH84" s="157" t="s">
        <v>2663</v>
      </c>
      <c r="AI84" s="182" t="s">
        <v>2664</v>
      </c>
      <c r="AJ84" s="159" t="s">
        <v>2665</v>
      </c>
      <c r="AK84" s="139">
        <v>32.0</v>
      </c>
      <c r="AL84" s="121" t="s">
        <v>2666</v>
      </c>
      <c r="AM84" s="122" t="s">
        <v>2667</v>
      </c>
      <c r="AN84" s="129" t="s">
        <v>2668</v>
      </c>
      <c r="AO84" s="139">
        <v>32.0</v>
      </c>
      <c r="AP84" s="108" t="s">
        <v>2654</v>
      </c>
      <c r="AQ84" s="109" t="s">
        <v>2669</v>
      </c>
      <c r="AR84" s="110" t="s">
        <v>2670</v>
      </c>
      <c r="AS84" s="123"/>
      <c r="AT84" s="123"/>
    </row>
    <row r="85">
      <c r="A85" s="107">
        <v>33.0</v>
      </c>
      <c r="B85" s="121" t="s">
        <v>2671</v>
      </c>
      <c r="C85" s="131" t="s">
        <v>2672</v>
      </c>
      <c r="D85" s="129" t="s">
        <v>2673</v>
      </c>
      <c r="E85" s="107">
        <v>33.0</v>
      </c>
      <c r="F85" s="108"/>
      <c r="G85" s="154"/>
      <c r="H85" s="155"/>
      <c r="I85" s="107">
        <v>33.0</v>
      </c>
      <c r="J85" s="165" t="s">
        <v>2674</v>
      </c>
      <c r="K85" s="166" t="s">
        <v>2675</v>
      </c>
      <c r="L85" s="167" t="s">
        <v>2676</v>
      </c>
      <c r="M85" s="107">
        <v>33.0</v>
      </c>
      <c r="N85" s="121"/>
      <c r="O85" s="141"/>
      <c r="P85" s="142"/>
      <c r="Q85" s="107">
        <v>33.0</v>
      </c>
      <c r="R85" s="140"/>
      <c r="S85" s="141"/>
      <c r="T85" s="142"/>
      <c r="U85" s="107">
        <v>33.0</v>
      </c>
      <c r="V85" s="140"/>
      <c r="W85" s="141"/>
      <c r="X85" s="142"/>
      <c r="Y85" s="107">
        <v>33.0</v>
      </c>
      <c r="Z85" s="149" t="s">
        <v>2677</v>
      </c>
      <c r="AA85" s="180" t="s">
        <v>2678</v>
      </c>
      <c r="AB85" s="181" t="s">
        <v>2679</v>
      </c>
      <c r="AC85" s="107">
        <v>33.0</v>
      </c>
      <c r="AD85" s="153"/>
      <c r="AE85" s="154"/>
      <c r="AF85" s="155"/>
      <c r="AG85" s="107">
        <v>33.0</v>
      </c>
      <c r="AH85" s="183" t="s">
        <v>2680</v>
      </c>
      <c r="AI85" s="182" t="s">
        <v>2681</v>
      </c>
      <c r="AJ85" s="159" t="s">
        <v>2682</v>
      </c>
      <c r="AK85" s="107">
        <v>33.0</v>
      </c>
      <c r="AL85" s="160" t="s">
        <v>2683</v>
      </c>
      <c r="AM85" s="131" t="s">
        <v>2684</v>
      </c>
      <c r="AN85" s="129" t="s">
        <v>2685</v>
      </c>
      <c r="AO85" s="107">
        <v>33.0</v>
      </c>
      <c r="AP85" s="108"/>
      <c r="AQ85" s="109"/>
      <c r="AR85" s="110"/>
      <c r="AS85" s="123"/>
      <c r="AT85" s="123"/>
    </row>
    <row r="86">
      <c r="A86" s="107">
        <v>34.0</v>
      </c>
      <c r="B86" s="121" t="s">
        <v>2686</v>
      </c>
      <c r="C86" s="131" t="s">
        <v>2687</v>
      </c>
      <c r="D86" s="129" t="s">
        <v>2688</v>
      </c>
      <c r="E86" s="107">
        <v>34.0</v>
      </c>
      <c r="F86" s="108"/>
      <c r="G86" s="154"/>
      <c r="H86" s="155"/>
      <c r="I86" s="107">
        <v>34.0</v>
      </c>
      <c r="J86" s="165" t="s">
        <v>2689</v>
      </c>
      <c r="K86" s="166" t="s">
        <v>2690</v>
      </c>
      <c r="L86" s="167" t="s">
        <v>2691</v>
      </c>
      <c r="M86" s="107">
        <v>34.0</v>
      </c>
      <c r="N86" s="121"/>
      <c r="O86" s="141"/>
      <c r="P86" s="142"/>
      <c r="Q86" s="107">
        <v>34.0</v>
      </c>
      <c r="R86" s="140"/>
      <c r="S86" s="141"/>
      <c r="T86" s="142"/>
      <c r="U86" s="107">
        <v>34.0</v>
      </c>
      <c r="V86" s="140"/>
      <c r="W86" s="141"/>
      <c r="X86" s="142"/>
      <c r="Y86" s="107">
        <v>34.0</v>
      </c>
      <c r="Z86" s="149" t="s">
        <v>2692</v>
      </c>
      <c r="AA86" s="180" t="s">
        <v>2693</v>
      </c>
      <c r="AB86" s="181" t="s">
        <v>2694</v>
      </c>
      <c r="AC86" s="107">
        <v>34.0</v>
      </c>
      <c r="AD86" s="153"/>
      <c r="AE86" s="154"/>
      <c r="AF86" s="155"/>
      <c r="AG86" s="107">
        <v>34.0</v>
      </c>
      <c r="AH86" s="183" t="s">
        <v>2695</v>
      </c>
      <c r="AI86" s="182" t="s">
        <v>2696</v>
      </c>
      <c r="AJ86" s="159" t="s">
        <v>2697</v>
      </c>
      <c r="AK86" s="107">
        <v>34.0</v>
      </c>
      <c r="AL86" s="160" t="s">
        <v>2698</v>
      </c>
      <c r="AM86" s="131" t="s">
        <v>2699</v>
      </c>
      <c r="AN86" s="129" t="s">
        <v>2700</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2701</v>
      </c>
      <c r="B88" s="104" t="s">
        <v>2702</v>
      </c>
      <c r="E88" s="103" t="s">
        <v>2701</v>
      </c>
      <c r="F88" s="103" t="s">
        <v>2703</v>
      </c>
      <c r="I88" s="103" t="s">
        <v>2701</v>
      </c>
      <c r="J88" s="103" t="s">
        <v>2704</v>
      </c>
      <c r="M88" s="103" t="s">
        <v>2701</v>
      </c>
      <c r="N88" s="104" t="str">
        <f>IFERROR(__xludf.DUMMYFUNCTION("GOOGLETRANSLATE(B88,""zh-tw"",""zh"")"),"游戏机相关剧情")</f>
        <v>游戏机相关剧情</v>
      </c>
      <c r="Q88" s="103" t="s">
        <v>2701</v>
      </c>
      <c r="R88" s="103" t="s">
        <v>2705</v>
      </c>
      <c r="U88" s="103" t="s">
        <v>2701</v>
      </c>
      <c r="V88" s="103" t="s">
        <v>2706</v>
      </c>
      <c r="Y88" s="104" t="s">
        <v>2701</v>
      </c>
      <c r="Z88" s="104" t="s">
        <v>2707</v>
      </c>
      <c r="AC88" s="103" t="s">
        <v>2701</v>
      </c>
      <c r="AD88" s="103" t="s">
        <v>2708</v>
      </c>
      <c r="AG88" s="105" t="s">
        <v>2701</v>
      </c>
      <c r="AH88" s="106" t="s">
        <v>2709</v>
      </c>
      <c r="AK88" s="104" t="s">
        <v>2701</v>
      </c>
      <c r="AL88" s="104" t="s">
        <v>2710</v>
      </c>
      <c r="AO88" s="103" t="s">
        <v>2701</v>
      </c>
      <c r="AP88" s="103" t="s">
        <v>2711</v>
      </c>
      <c r="AS88" s="104"/>
      <c r="AT88" s="104"/>
    </row>
    <row r="89">
      <c r="A89" s="107">
        <v>1.0</v>
      </c>
      <c r="B89" s="108" t="s">
        <v>2712</v>
      </c>
      <c r="C89" s="109" t="s">
        <v>2713</v>
      </c>
      <c r="D89" s="110" t="s">
        <v>2714</v>
      </c>
      <c r="E89" s="107">
        <v>1.0</v>
      </c>
      <c r="F89" s="108" t="s">
        <v>2715</v>
      </c>
      <c r="G89" s="109" t="s">
        <v>2716</v>
      </c>
      <c r="H89" s="110" t="s">
        <v>2717</v>
      </c>
      <c r="I89" s="107">
        <v>1.0</v>
      </c>
      <c r="J89" s="108" t="s">
        <v>2718</v>
      </c>
      <c r="K89" s="109" t="s">
        <v>2719</v>
      </c>
      <c r="L89" s="110" t="s">
        <v>2720</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2721</v>
      </c>
      <c r="S89" s="111" t="s">
        <v>2722</v>
      </c>
      <c r="T89" s="72" t="s">
        <v>2723</v>
      </c>
      <c r="U89" s="185">
        <v>1.0</v>
      </c>
      <c r="V89" s="125" t="s">
        <v>2724</v>
      </c>
      <c r="W89" s="113" t="s">
        <v>2725</v>
      </c>
      <c r="X89" s="75" t="s">
        <v>2726</v>
      </c>
      <c r="Y89" s="107">
        <v>1.0</v>
      </c>
      <c r="Z89" s="149" t="s">
        <v>2727</v>
      </c>
      <c r="AA89" s="150" t="s">
        <v>2728</v>
      </c>
      <c r="AB89" s="132" t="s">
        <v>2729</v>
      </c>
      <c r="AC89" s="107">
        <v>1.0</v>
      </c>
      <c r="AD89" s="108" t="s">
        <v>2730</v>
      </c>
      <c r="AE89" s="109" t="s">
        <v>2731</v>
      </c>
      <c r="AF89" s="110" t="s">
        <v>2732</v>
      </c>
      <c r="AG89" s="117">
        <v>1.0</v>
      </c>
      <c r="AH89" s="133" t="s">
        <v>2733</v>
      </c>
      <c r="AI89" s="119" t="s">
        <v>2734</v>
      </c>
      <c r="AJ89" s="120" t="s">
        <v>2735</v>
      </c>
      <c r="AK89" s="107">
        <v>1.0</v>
      </c>
      <c r="AL89" s="121" t="s">
        <v>2736</v>
      </c>
      <c r="AM89" s="122" t="s">
        <v>2737</v>
      </c>
      <c r="AN89" s="123" t="s">
        <v>2738</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2739</v>
      </c>
      <c r="C90" s="109" t="s">
        <v>2740</v>
      </c>
      <c r="D90" s="110" t="s">
        <v>2741</v>
      </c>
      <c r="E90" s="107">
        <v>2.0</v>
      </c>
      <c r="F90" s="108" t="s">
        <v>2742</v>
      </c>
      <c r="G90" s="109" t="s">
        <v>2743</v>
      </c>
      <c r="H90" s="110" t="s">
        <v>2744</v>
      </c>
      <c r="I90" s="107">
        <v>2.0</v>
      </c>
      <c r="J90" s="108" t="s">
        <v>2745</v>
      </c>
      <c r="K90" s="109" t="s">
        <v>2746</v>
      </c>
      <c r="L90" s="110" t="s">
        <v>2747</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2748</v>
      </c>
      <c r="Q90" s="185">
        <v>2.0</v>
      </c>
      <c r="R90" s="112" t="s">
        <v>2749</v>
      </c>
      <c r="S90" s="111" t="s">
        <v>2750</v>
      </c>
      <c r="T90" s="72" t="s">
        <v>2751</v>
      </c>
      <c r="U90" s="185">
        <v>2.0</v>
      </c>
      <c r="V90" s="125" t="s">
        <v>2752</v>
      </c>
      <c r="W90" s="113" t="s">
        <v>2753</v>
      </c>
      <c r="X90" s="75" t="s">
        <v>2754</v>
      </c>
      <c r="Y90" s="107">
        <v>2.0</v>
      </c>
      <c r="Z90" s="149" t="s">
        <v>2755</v>
      </c>
      <c r="AA90" s="150" t="s">
        <v>2756</v>
      </c>
      <c r="AB90" s="132" t="s">
        <v>2757</v>
      </c>
      <c r="AC90" s="107">
        <v>2.0</v>
      </c>
      <c r="AD90" s="108" t="s">
        <v>2758</v>
      </c>
      <c r="AE90" s="109" t="s">
        <v>2759</v>
      </c>
      <c r="AF90" s="110" t="s">
        <v>2760</v>
      </c>
      <c r="AG90" s="117">
        <v>2.0</v>
      </c>
      <c r="AH90" s="118" t="s">
        <v>2761</v>
      </c>
      <c r="AI90" s="119" t="s">
        <v>2762</v>
      </c>
      <c r="AJ90" s="120" t="s">
        <v>2763</v>
      </c>
      <c r="AK90" s="185">
        <v>2.0</v>
      </c>
      <c r="AL90" s="160" t="s">
        <v>2764</v>
      </c>
      <c r="AM90" s="141" t="s">
        <v>2765</v>
      </c>
      <c r="AN90" s="142" t="s">
        <v>2766</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2767</v>
      </c>
      <c r="C91" s="113" t="s">
        <v>2768</v>
      </c>
      <c r="D91" s="75" t="s">
        <v>2769</v>
      </c>
      <c r="E91" s="185">
        <v>3.0</v>
      </c>
      <c r="F91" s="125" t="s">
        <v>2770</v>
      </c>
      <c r="G91" s="113" t="s">
        <v>2771</v>
      </c>
      <c r="H91" s="75" t="s">
        <v>2772</v>
      </c>
      <c r="I91" s="185">
        <v>3.0</v>
      </c>
      <c r="J91" s="125" t="s">
        <v>2773</v>
      </c>
      <c r="K91" s="113" t="s">
        <v>2774</v>
      </c>
      <c r="L91" s="75" t="s">
        <v>2775</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2776</v>
      </c>
      <c r="S91" s="111" t="s">
        <v>2777</v>
      </c>
      <c r="T91" s="72" t="s">
        <v>2778</v>
      </c>
      <c r="U91" s="185">
        <v>3.0</v>
      </c>
      <c r="V91" s="125" t="s">
        <v>2779</v>
      </c>
      <c r="W91" s="113" t="s">
        <v>2780</v>
      </c>
      <c r="X91" s="75" t="s">
        <v>2781</v>
      </c>
      <c r="Y91" s="185">
        <v>3.0</v>
      </c>
      <c r="Z91" s="149" t="s">
        <v>2782</v>
      </c>
      <c r="AA91" s="150" t="s">
        <v>2783</v>
      </c>
      <c r="AB91" s="132" t="s">
        <v>2784</v>
      </c>
      <c r="AC91" s="185">
        <v>3.0</v>
      </c>
      <c r="AD91" s="125" t="s">
        <v>2785</v>
      </c>
      <c r="AE91" s="113" t="s">
        <v>2786</v>
      </c>
      <c r="AF91" s="75" t="s">
        <v>2787</v>
      </c>
      <c r="AG91" s="186">
        <v>3.0</v>
      </c>
      <c r="AH91" s="187" t="s">
        <v>2788</v>
      </c>
      <c r="AI91" s="152" t="s">
        <v>2789</v>
      </c>
      <c r="AJ91" s="188" t="s">
        <v>2790</v>
      </c>
      <c r="AK91" s="185">
        <v>3.0</v>
      </c>
      <c r="AL91" s="140" t="s">
        <v>2791</v>
      </c>
      <c r="AM91" s="141" t="s">
        <v>2792</v>
      </c>
      <c r="AN91" s="142" t="s">
        <v>2793</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2794</v>
      </c>
      <c r="C92" s="113" t="s">
        <v>2795</v>
      </c>
      <c r="D92" s="75" t="s">
        <v>2796</v>
      </c>
      <c r="E92" s="185">
        <v>4.0</v>
      </c>
      <c r="F92" s="125" t="s">
        <v>2797</v>
      </c>
      <c r="G92" s="113" t="s">
        <v>2798</v>
      </c>
      <c r="H92" s="75" t="s">
        <v>2799</v>
      </c>
      <c r="I92" s="185">
        <v>4.0</v>
      </c>
      <c r="J92" s="125" t="s">
        <v>2800</v>
      </c>
      <c r="K92" s="113" t="s">
        <v>2801</v>
      </c>
      <c r="L92" s="75" t="s">
        <v>2802</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2803</v>
      </c>
      <c r="S92" s="111" t="s">
        <v>2804</v>
      </c>
      <c r="T92" s="75" t="str">
        <f>IFERROR(__xludf.DUMMYFUNCTION("GOOGLETRANSLATE(D92,""zh-tw"",""es-MX"")"),"Añadir otras opciones")</f>
        <v>Añadir otras opciones</v>
      </c>
      <c r="U92" s="185">
        <v>4.0</v>
      </c>
      <c r="V92" s="125" t="s">
        <v>2805</v>
      </c>
      <c r="W92" s="113" t="s">
        <v>2806</v>
      </c>
      <c r="X92" s="75" t="str">
        <f>IFERROR(__xludf.DUMMYFUNCTION("GOOGLETRANSLATE(D92,""zh-tw"",""KO"")"),"다른 옵션을 추가하세요")</f>
        <v>다른 옵션을 추가하세요</v>
      </c>
      <c r="Y92" s="185">
        <v>4.0</v>
      </c>
      <c r="Z92" s="149" t="s">
        <v>2807</v>
      </c>
      <c r="AA92" s="150" t="s">
        <v>2808</v>
      </c>
      <c r="AB92" s="132" t="s">
        <v>2809</v>
      </c>
      <c r="AC92" s="185">
        <v>4.0</v>
      </c>
      <c r="AD92" s="125" t="s">
        <v>2810</v>
      </c>
      <c r="AE92" s="113" t="s">
        <v>2811</v>
      </c>
      <c r="AF92" s="75" t="s">
        <v>2812</v>
      </c>
      <c r="AG92" s="186">
        <v>4.0</v>
      </c>
      <c r="AH92" s="187" t="s">
        <v>2813</v>
      </c>
      <c r="AI92" s="152" t="s">
        <v>2814</v>
      </c>
      <c r="AJ92" s="188" t="s">
        <v>2815</v>
      </c>
      <c r="AK92" s="185">
        <v>4.0</v>
      </c>
      <c r="AL92" s="140" t="s">
        <v>2816</v>
      </c>
      <c r="AM92" s="141" t="s">
        <v>2817</v>
      </c>
      <c r="AN92" s="142" t="s">
        <v>2818</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2819</v>
      </c>
      <c r="C93" s="113" t="s">
        <v>2820</v>
      </c>
      <c r="D93" s="75" t="s">
        <v>2821</v>
      </c>
      <c r="E93" s="185">
        <v>5.0</v>
      </c>
      <c r="F93" s="125" t="s">
        <v>2822</v>
      </c>
      <c r="G93" s="113" t="s">
        <v>2823</v>
      </c>
      <c r="H93" s="75" t="s">
        <v>2824</v>
      </c>
      <c r="I93" s="185">
        <v>5.0</v>
      </c>
      <c r="J93" s="125" t="s">
        <v>2825</v>
      </c>
      <c r="K93" s="113" t="s">
        <v>2826</v>
      </c>
      <c r="L93" s="75" t="s">
        <v>2827</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2828</v>
      </c>
      <c r="S93" s="111" t="s">
        <v>2829</v>
      </c>
      <c r="T93" s="72" t="s">
        <v>2830</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2831</v>
      </c>
      <c r="AA93" s="150" t="s">
        <v>2832</v>
      </c>
      <c r="AB93" s="132" t="s">
        <v>2833</v>
      </c>
      <c r="AC93" s="185">
        <v>5.0</v>
      </c>
      <c r="AD93" s="125" t="s">
        <v>2834</v>
      </c>
      <c r="AE93" s="113" t="s">
        <v>2835</v>
      </c>
      <c r="AF93" s="75" t="s">
        <v>2836</v>
      </c>
      <c r="AG93" s="186">
        <v>5.0</v>
      </c>
      <c r="AH93" s="187" t="s">
        <v>2837</v>
      </c>
      <c r="AI93" s="130" t="s">
        <v>2838</v>
      </c>
      <c r="AJ93" s="134" t="s">
        <v>2839</v>
      </c>
      <c r="AK93" s="185">
        <v>5.0</v>
      </c>
      <c r="AL93" s="140" t="s">
        <v>2840</v>
      </c>
      <c r="AM93" s="141" t="s">
        <v>2841</v>
      </c>
      <c r="AN93" s="142" t="s">
        <v>2842</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2843</v>
      </c>
      <c r="B95" s="192" t="s">
        <v>2844</v>
      </c>
      <c r="E95" s="103" t="s">
        <v>2843</v>
      </c>
      <c r="F95" s="103" t="s">
        <v>2845</v>
      </c>
      <c r="I95" s="103" t="s">
        <v>2843</v>
      </c>
      <c r="J95" s="103" t="s">
        <v>2846</v>
      </c>
      <c r="M95" s="103" t="s">
        <v>2843</v>
      </c>
      <c r="N95" s="104" t="str">
        <f>IFERROR(__xludf.DUMMYFUNCTION("GOOGLETRANSLATE(B95,""zh-tw"",""zh"")"),"特殊天气相关")</f>
        <v>特殊天气相关</v>
      </c>
      <c r="Q95" s="103" t="s">
        <v>2843</v>
      </c>
      <c r="R95" s="103" t="s">
        <v>2847</v>
      </c>
      <c r="U95" s="103" t="s">
        <v>2843</v>
      </c>
      <c r="V95" s="103" t="s">
        <v>2848</v>
      </c>
      <c r="Y95" s="104" t="s">
        <v>2843</v>
      </c>
      <c r="Z95" s="104" t="s">
        <v>2849</v>
      </c>
      <c r="AC95" s="103" t="s">
        <v>2843</v>
      </c>
      <c r="AD95" s="103" t="s">
        <v>2850</v>
      </c>
      <c r="AG95" s="105" t="s">
        <v>2843</v>
      </c>
      <c r="AH95" s="193" t="s">
        <v>2851</v>
      </c>
      <c r="AK95" s="192" t="s">
        <v>2843</v>
      </c>
      <c r="AL95" s="192" t="s">
        <v>2852</v>
      </c>
      <c r="AO95" s="103" t="s">
        <v>2843</v>
      </c>
      <c r="AP95" s="103" t="s">
        <v>2853</v>
      </c>
      <c r="AS95" s="192"/>
      <c r="AT95" s="192"/>
    </row>
    <row r="96">
      <c r="A96" s="185">
        <v>1.0</v>
      </c>
      <c r="B96" s="125" t="s">
        <v>2854</v>
      </c>
      <c r="C96" s="113" t="s">
        <v>2855</v>
      </c>
      <c r="D96" s="75" t="s">
        <v>2856</v>
      </c>
      <c r="E96" s="185">
        <v>1.0</v>
      </c>
      <c r="F96" s="125" t="s">
        <v>2857</v>
      </c>
      <c r="G96" s="113" t="s">
        <v>2858</v>
      </c>
      <c r="H96" s="75" t="s">
        <v>2859</v>
      </c>
      <c r="I96" s="185">
        <v>1.0</v>
      </c>
      <c r="J96" s="125" t="s">
        <v>2860</v>
      </c>
      <c r="K96" s="113" t="s">
        <v>2861</v>
      </c>
      <c r="L96" s="75" t="s">
        <v>2862</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2863</v>
      </c>
      <c r="S96" s="111" t="s">
        <v>2864</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2865</v>
      </c>
      <c r="AA96" s="150" t="s">
        <v>2866</v>
      </c>
      <c r="AB96" s="132" t="s">
        <v>2867</v>
      </c>
      <c r="AC96" s="185">
        <v>1.0</v>
      </c>
      <c r="AD96" s="125" t="s">
        <v>2868</v>
      </c>
      <c r="AE96" s="113" t="s">
        <v>2869</v>
      </c>
      <c r="AF96" s="75" t="s">
        <v>2870</v>
      </c>
      <c r="AG96" s="186">
        <v>1.0</v>
      </c>
      <c r="AH96" s="187" t="s">
        <v>2871</v>
      </c>
      <c r="AI96" s="152" t="s">
        <v>2872</v>
      </c>
      <c r="AJ96" s="188" t="s">
        <v>2873</v>
      </c>
      <c r="AK96" s="185">
        <v>1.0</v>
      </c>
      <c r="AL96" s="140" t="s">
        <v>2874</v>
      </c>
      <c r="AM96" s="141" t="s">
        <v>2875</v>
      </c>
      <c r="AN96" s="129" t="s">
        <v>2876</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2877</v>
      </c>
      <c r="C97" s="113" t="s">
        <v>2878</v>
      </c>
      <c r="D97" s="75" t="s">
        <v>2879</v>
      </c>
      <c r="E97" s="185">
        <v>2.0</v>
      </c>
      <c r="F97" s="125" t="s">
        <v>2880</v>
      </c>
      <c r="G97" s="113" t="s">
        <v>2881</v>
      </c>
      <c r="H97" s="75" t="s">
        <v>2882</v>
      </c>
      <c r="I97" s="185">
        <v>2.0</v>
      </c>
      <c r="J97" s="125" t="s">
        <v>2883</v>
      </c>
      <c r="K97" s="113" t="s">
        <v>2884</v>
      </c>
      <c r="L97" s="75" t="s">
        <v>2885</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2886</v>
      </c>
      <c r="Q97" s="185">
        <v>2.0</v>
      </c>
      <c r="R97" s="125" t="s">
        <v>2887</v>
      </c>
      <c r="S97" s="111" t="s">
        <v>2888</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2889</v>
      </c>
      <c r="AA97" s="150" t="s">
        <v>2890</v>
      </c>
      <c r="AB97" s="132" t="s">
        <v>2891</v>
      </c>
      <c r="AC97" s="185">
        <v>2.0</v>
      </c>
      <c r="AD97" s="125" t="s">
        <v>2892</v>
      </c>
      <c r="AE97" s="113" t="s">
        <v>2893</v>
      </c>
      <c r="AF97" s="75" t="s">
        <v>2894</v>
      </c>
      <c r="AG97" s="186">
        <v>2.0</v>
      </c>
      <c r="AH97" s="187" t="s">
        <v>2895</v>
      </c>
      <c r="AI97" s="152" t="s">
        <v>2896</v>
      </c>
      <c r="AJ97" s="188" t="s">
        <v>2897</v>
      </c>
      <c r="AK97" s="185">
        <v>2.0</v>
      </c>
      <c r="AL97" s="140" t="s">
        <v>2898</v>
      </c>
      <c r="AM97" s="141" t="s">
        <v>2899</v>
      </c>
      <c r="AN97" s="142" t="s">
        <v>2900</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2901</v>
      </c>
      <c r="C98" s="113" t="s">
        <v>2902</v>
      </c>
      <c r="D98" s="75" t="s">
        <v>2879</v>
      </c>
      <c r="E98" s="185">
        <v>3.0</v>
      </c>
      <c r="F98" s="125" t="s">
        <v>2903</v>
      </c>
      <c r="G98" s="113" t="s">
        <v>2904</v>
      </c>
      <c r="H98" s="75" t="s">
        <v>2882</v>
      </c>
      <c r="I98" s="185">
        <v>3.0</v>
      </c>
      <c r="J98" s="125" t="s">
        <v>2905</v>
      </c>
      <c r="K98" s="113" t="s">
        <v>2906</v>
      </c>
      <c r="L98" s="75" t="s">
        <v>2885</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2907</v>
      </c>
      <c r="S98" s="111" t="s">
        <v>2908</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2909</v>
      </c>
      <c r="AA98" s="150" t="s">
        <v>2910</v>
      </c>
      <c r="AB98" s="132" t="s">
        <v>2891</v>
      </c>
      <c r="AC98" s="185">
        <v>3.0</v>
      </c>
      <c r="AD98" s="125" t="s">
        <v>2911</v>
      </c>
      <c r="AE98" s="113" t="s">
        <v>2912</v>
      </c>
      <c r="AF98" s="75" t="s">
        <v>2894</v>
      </c>
      <c r="AG98" s="186">
        <v>3.0</v>
      </c>
      <c r="AH98" s="187" t="s">
        <v>2913</v>
      </c>
      <c r="AI98" s="152" t="s">
        <v>2914</v>
      </c>
      <c r="AJ98" s="188" t="s">
        <v>2897</v>
      </c>
      <c r="AK98" s="185">
        <v>3.0</v>
      </c>
      <c r="AL98" s="140" t="s">
        <v>2915</v>
      </c>
      <c r="AM98" s="141" t="s">
        <v>2916</v>
      </c>
      <c r="AN98" s="142" t="s">
        <v>2917</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2918</v>
      </c>
      <c r="C99" s="113" t="s">
        <v>2919</v>
      </c>
      <c r="D99" s="75" t="s">
        <v>2920</v>
      </c>
      <c r="E99" s="185">
        <v>4.0</v>
      </c>
      <c r="F99" s="125" t="s">
        <v>2921</v>
      </c>
      <c r="G99" s="113" t="s">
        <v>2922</v>
      </c>
      <c r="H99" s="75" t="s">
        <v>2923</v>
      </c>
      <c r="I99" s="185">
        <v>4.0</v>
      </c>
      <c r="J99" s="125" t="s">
        <v>2924</v>
      </c>
      <c r="K99" s="113" t="s">
        <v>2925</v>
      </c>
      <c r="L99" s="75" t="s">
        <v>2926</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2927</v>
      </c>
      <c r="S99" s="111" t="s">
        <v>2928</v>
      </c>
      <c r="T99" s="72" t="s">
        <v>2929</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9" s="185">
        <v>4.0</v>
      </c>
      <c r="Z99" s="149" t="s">
        <v>2930</v>
      </c>
      <c r="AA99" s="150" t="s">
        <v>2931</v>
      </c>
      <c r="AB99" s="132" t="s">
        <v>2932</v>
      </c>
      <c r="AC99" s="185">
        <v>4.0</v>
      </c>
      <c r="AD99" s="125" t="s">
        <v>2933</v>
      </c>
      <c r="AE99" s="113" t="s">
        <v>2934</v>
      </c>
      <c r="AF99" s="75" t="s">
        <v>2935</v>
      </c>
      <c r="AG99" s="186">
        <v>4.0</v>
      </c>
      <c r="AH99" s="187" t="s">
        <v>2936</v>
      </c>
      <c r="AI99" s="152" t="s">
        <v>2937</v>
      </c>
      <c r="AJ99" s="188" t="s">
        <v>2938</v>
      </c>
      <c r="AK99" s="185">
        <v>4.0</v>
      </c>
      <c r="AL99" s="121" t="s">
        <v>2939</v>
      </c>
      <c r="AM99" s="122" t="s">
        <v>2940</v>
      </c>
      <c r="AN99" s="123" t="s">
        <v>2941</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9" s="75"/>
      <c r="AT99" s="75"/>
    </row>
    <row r="100">
      <c r="A100" s="185">
        <v>5.0</v>
      </c>
      <c r="B100" s="112" t="s">
        <v>2942</v>
      </c>
      <c r="C100" s="111" t="s">
        <v>2943</v>
      </c>
      <c r="D100" s="72" t="s">
        <v>2944</v>
      </c>
      <c r="E100" s="185">
        <v>5.0</v>
      </c>
      <c r="F100" s="112" t="s">
        <v>2945</v>
      </c>
      <c r="G100" s="111" t="s">
        <v>2946</v>
      </c>
      <c r="H100" s="72" t="s">
        <v>2947</v>
      </c>
      <c r="I100" s="185">
        <v>5.0</v>
      </c>
      <c r="J100" s="112" t="s">
        <v>2948</v>
      </c>
      <c r="K100" s="111" t="s">
        <v>2949</v>
      </c>
      <c r="L100" s="72" t="s">
        <v>2950</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2951</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2952</v>
      </c>
      <c r="AA100" s="150" t="s">
        <v>2953</v>
      </c>
      <c r="AB100" s="132" t="s">
        <v>2954</v>
      </c>
      <c r="AC100" s="185">
        <v>5.0</v>
      </c>
      <c r="AD100" s="112" t="s">
        <v>2955</v>
      </c>
      <c r="AE100" s="111" t="s">
        <v>2956</v>
      </c>
      <c r="AF100" s="72" t="s">
        <v>2957</v>
      </c>
      <c r="AG100" s="186">
        <v>5.0</v>
      </c>
      <c r="AH100" s="133" t="s">
        <v>2958</v>
      </c>
      <c r="AI100" s="130" t="s">
        <v>2959</v>
      </c>
      <c r="AJ100" s="134" t="s">
        <v>2960</v>
      </c>
      <c r="AK100" s="185">
        <v>5.0</v>
      </c>
      <c r="AL100" s="121" t="s">
        <v>2961</v>
      </c>
      <c r="AM100" s="122" t="s">
        <v>2962</v>
      </c>
      <c r="AN100" s="123" t="s">
        <v>2963</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2964</v>
      </c>
      <c r="C101" s="111" t="s">
        <v>2965</v>
      </c>
      <c r="D101" s="72" t="s">
        <v>2966</v>
      </c>
      <c r="E101" s="185">
        <v>6.0</v>
      </c>
      <c r="F101" s="112" t="s">
        <v>2967</v>
      </c>
      <c r="G101" s="111" t="s">
        <v>2968</v>
      </c>
      <c r="H101" s="72" t="s">
        <v>2969</v>
      </c>
      <c r="I101" s="185">
        <v>6.0</v>
      </c>
      <c r="J101" s="112" t="s">
        <v>2970</v>
      </c>
      <c r="K101" s="111" t="s">
        <v>2971</v>
      </c>
      <c r="L101" s="72" t="s">
        <v>2972</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2973</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2974</v>
      </c>
      <c r="AA101" s="150" t="s">
        <v>2975</v>
      </c>
      <c r="AB101" s="132" t="s">
        <v>2976</v>
      </c>
      <c r="AC101" s="185">
        <v>6.0</v>
      </c>
      <c r="AD101" s="112" t="s">
        <v>2977</v>
      </c>
      <c r="AE101" s="111" t="s">
        <v>2978</v>
      </c>
      <c r="AF101" s="72" t="s">
        <v>2979</v>
      </c>
      <c r="AG101" s="186">
        <v>6.0</v>
      </c>
      <c r="AH101" s="133" t="s">
        <v>2980</v>
      </c>
      <c r="AI101" s="130" t="s">
        <v>2981</v>
      </c>
      <c r="AJ101" s="134" t="s">
        <v>2982</v>
      </c>
      <c r="AK101" s="185">
        <v>6.0</v>
      </c>
      <c r="AL101" s="121" t="s">
        <v>2983</v>
      </c>
      <c r="AM101" s="122" t="s">
        <v>2984</v>
      </c>
      <c r="AN101" s="123" t="s">
        <v>2985</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2986</v>
      </c>
      <c r="C102" s="111" t="s">
        <v>2987</v>
      </c>
      <c r="D102" s="72" t="s">
        <v>2988</v>
      </c>
      <c r="E102" s="185">
        <v>7.0</v>
      </c>
      <c r="F102" s="112" t="s">
        <v>2989</v>
      </c>
      <c r="G102" s="111" t="s">
        <v>2990</v>
      </c>
      <c r="H102" s="72" t="s">
        <v>2991</v>
      </c>
      <c r="I102" s="185">
        <v>7.0</v>
      </c>
      <c r="J102" s="112" t="s">
        <v>2992</v>
      </c>
      <c r="K102" s="111" t="s">
        <v>2993</v>
      </c>
      <c r="L102" s="72" t="s">
        <v>2994</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2995</v>
      </c>
      <c r="AA102" s="150" t="s">
        <v>2996</v>
      </c>
      <c r="AB102" s="132" t="s">
        <v>2997</v>
      </c>
      <c r="AC102" s="185">
        <v>7.0</v>
      </c>
      <c r="AD102" s="112" t="s">
        <v>2998</v>
      </c>
      <c r="AE102" s="111" t="s">
        <v>2999</v>
      </c>
      <c r="AF102" s="72" t="s">
        <v>3000</v>
      </c>
      <c r="AG102" s="186">
        <v>7.0</v>
      </c>
      <c r="AH102" s="133" t="s">
        <v>3001</v>
      </c>
      <c r="AI102" s="130" t="s">
        <v>3002</v>
      </c>
      <c r="AJ102" s="134" t="s">
        <v>3003</v>
      </c>
      <c r="AK102" s="185">
        <v>7.0</v>
      </c>
      <c r="AL102" s="121" t="s">
        <v>3004</v>
      </c>
      <c r="AM102" s="131" t="s">
        <v>3005</v>
      </c>
      <c r="AN102" s="123" t="s">
        <v>3006</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3007</v>
      </c>
      <c r="C103" s="111" t="s">
        <v>3008</v>
      </c>
      <c r="D103" s="72" t="s">
        <v>3009</v>
      </c>
      <c r="E103" s="185">
        <v>8.0</v>
      </c>
      <c r="F103" s="112" t="s">
        <v>3010</v>
      </c>
      <c r="G103" s="111" t="s">
        <v>3011</v>
      </c>
      <c r="H103" s="72" t="s">
        <v>3012</v>
      </c>
      <c r="I103" s="185">
        <v>8.0</v>
      </c>
      <c r="J103" s="112" t="s">
        <v>3013</v>
      </c>
      <c r="K103" s="111" t="s">
        <v>3014</v>
      </c>
      <c r="L103" s="72" t="s">
        <v>3015</v>
      </c>
      <c r="M103" s="185">
        <v>8.0</v>
      </c>
      <c r="N103" s="125" t="str">
        <f>IFERROR(__xludf.DUMMYFUNCTION("GOOGLETRANSLATE(B103,""zh-tw"",""zh"")"),"提前回家也是件好事-4")</f>
        <v>提前回家也是件好事-4</v>
      </c>
      <c r="O103" s="111" t="s">
        <v>3016</v>
      </c>
      <c r="P103" s="72" t="s">
        <v>3017</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3018</v>
      </c>
      <c r="AA103" s="150" t="s">
        <v>3019</v>
      </c>
      <c r="AB103" s="132" t="s">
        <v>3020</v>
      </c>
      <c r="AC103" s="185">
        <v>8.0</v>
      </c>
      <c r="AD103" s="112" t="s">
        <v>3021</v>
      </c>
      <c r="AE103" s="111" t="s">
        <v>3022</v>
      </c>
      <c r="AF103" s="72" t="s">
        <v>3023</v>
      </c>
      <c r="AG103" s="186">
        <v>8.0</v>
      </c>
      <c r="AH103" s="133" t="s">
        <v>3024</v>
      </c>
      <c r="AI103" s="130" t="s">
        <v>3025</v>
      </c>
      <c r="AJ103" s="134" t="s">
        <v>3026</v>
      </c>
      <c r="AK103" s="185">
        <v>8.0</v>
      </c>
      <c r="AL103" s="140" t="s">
        <v>3027</v>
      </c>
      <c r="AM103" s="141" t="s">
        <v>3028</v>
      </c>
      <c r="AN103" s="142" t="s">
        <v>3029</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3030</v>
      </c>
      <c r="B105" s="104" t="s">
        <v>3031</v>
      </c>
      <c r="E105" s="104"/>
      <c r="F105" s="103" t="s">
        <v>3032</v>
      </c>
      <c r="I105" s="103" t="s">
        <v>3030</v>
      </c>
      <c r="J105" s="103" t="s">
        <v>3033</v>
      </c>
      <c r="M105" s="104"/>
      <c r="N105" s="104" t="s">
        <v>3034</v>
      </c>
      <c r="Q105" s="103" t="s">
        <v>3030</v>
      </c>
      <c r="R105" s="103" t="s">
        <v>3035</v>
      </c>
      <c r="U105" s="103" t="s">
        <v>3030</v>
      </c>
      <c r="V105" s="103" t="s">
        <v>3036</v>
      </c>
      <c r="Y105" s="104" t="s">
        <v>3030</v>
      </c>
      <c r="Z105" s="104" t="s">
        <v>3037</v>
      </c>
      <c r="AC105" s="103" t="s">
        <v>3030</v>
      </c>
      <c r="AD105" s="103" t="s">
        <v>3038</v>
      </c>
      <c r="AG105" s="177" t="s">
        <v>3030</v>
      </c>
      <c r="AH105" s="177" t="s">
        <v>3039</v>
      </c>
      <c r="AK105" s="104" t="s">
        <v>3030</v>
      </c>
      <c r="AL105" s="104" t="s">
        <v>3040</v>
      </c>
      <c r="AO105" s="103" t="s">
        <v>3030</v>
      </c>
      <c r="AP105" s="103" t="s">
        <v>3041</v>
      </c>
      <c r="AS105" s="194"/>
      <c r="AT105" s="194"/>
    </row>
    <row r="106">
      <c r="A106" s="107">
        <v>1.0</v>
      </c>
      <c r="B106" s="121" t="s">
        <v>3042</v>
      </c>
      <c r="C106" s="122" t="s">
        <v>3043</v>
      </c>
      <c r="D106" s="123" t="s">
        <v>3044</v>
      </c>
      <c r="E106" s="107">
        <v>1.0</v>
      </c>
      <c r="F106" s="108" t="s">
        <v>3045</v>
      </c>
      <c r="G106" s="154" t="s">
        <v>3046</v>
      </c>
      <c r="H106" s="155" t="s">
        <v>3047</v>
      </c>
      <c r="I106" s="107">
        <v>1.0</v>
      </c>
      <c r="J106" s="153" t="s">
        <v>3048</v>
      </c>
      <c r="K106" s="166" t="s">
        <v>3049</v>
      </c>
      <c r="L106" s="167" t="s">
        <v>3050</v>
      </c>
      <c r="M106" s="107">
        <v>1.0</v>
      </c>
      <c r="N106" s="121" t="s">
        <v>3051</v>
      </c>
      <c r="O106" s="141" t="s">
        <v>3052</v>
      </c>
      <c r="P106" s="142" t="s">
        <v>3053</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3054</v>
      </c>
      <c r="AA106" s="150" t="s">
        <v>3055</v>
      </c>
      <c r="AB106" s="132" t="s">
        <v>3056</v>
      </c>
      <c r="AC106" s="107">
        <v>1.0</v>
      </c>
      <c r="AD106" s="153" t="s">
        <v>3057</v>
      </c>
      <c r="AE106" s="154" t="s">
        <v>3058</v>
      </c>
      <c r="AF106" s="155" t="s">
        <v>3059</v>
      </c>
      <c r="AG106" s="117">
        <v>1.0</v>
      </c>
      <c r="AH106" s="157" t="s">
        <v>3060</v>
      </c>
      <c r="AI106" s="158" t="s">
        <v>3061</v>
      </c>
      <c r="AJ106" s="178" t="s">
        <v>3062</v>
      </c>
      <c r="AK106" s="107">
        <v>1.0</v>
      </c>
      <c r="AL106" s="121" t="s">
        <v>3063</v>
      </c>
      <c r="AM106" s="196" t="s">
        <v>3064</v>
      </c>
      <c r="AN106" s="155" t="s">
        <v>3065</v>
      </c>
      <c r="AO106" s="107">
        <v>1.0</v>
      </c>
      <c r="AP106" s="108" t="s">
        <v>3066</v>
      </c>
      <c r="AQ106" s="113" t="s">
        <v>3067</v>
      </c>
      <c r="AR106" s="75" t="s">
        <v>3068</v>
      </c>
      <c r="AS106" s="123"/>
      <c r="AT106" s="123"/>
    </row>
    <row r="107">
      <c r="A107" s="185">
        <v>2.0</v>
      </c>
      <c r="B107" s="140" t="s">
        <v>3069</v>
      </c>
      <c r="C107" s="141" t="s">
        <v>3070</v>
      </c>
      <c r="D107" s="142" t="s">
        <v>3071</v>
      </c>
      <c r="E107" s="185">
        <v>2.0</v>
      </c>
      <c r="F107" s="125" t="s">
        <v>3072</v>
      </c>
      <c r="G107" s="141" t="s">
        <v>3073</v>
      </c>
      <c r="H107" s="142" t="s">
        <v>3074</v>
      </c>
      <c r="I107" s="185">
        <v>2.0</v>
      </c>
      <c r="J107" s="197" t="s">
        <v>3075</v>
      </c>
      <c r="K107" s="196" t="s">
        <v>3076</v>
      </c>
      <c r="L107" s="198" t="s">
        <v>3077</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3078</v>
      </c>
      <c r="AA107" s="150" t="s">
        <v>3079</v>
      </c>
      <c r="AB107" s="132" t="s">
        <v>3080</v>
      </c>
      <c r="AC107" s="185">
        <v>2.0</v>
      </c>
      <c r="AD107" s="197" t="s">
        <v>3081</v>
      </c>
      <c r="AE107" s="196" t="s">
        <v>3082</v>
      </c>
      <c r="AF107" s="198" t="s">
        <v>3083</v>
      </c>
      <c r="AG107" s="186">
        <v>2.0</v>
      </c>
      <c r="AH107" s="199" t="s">
        <v>3084</v>
      </c>
      <c r="AI107" s="158" t="s">
        <v>3085</v>
      </c>
      <c r="AJ107" s="200" t="s">
        <v>3086</v>
      </c>
      <c r="AK107" s="185">
        <v>2.0</v>
      </c>
      <c r="AL107" s="140" t="s">
        <v>3087</v>
      </c>
      <c r="AM107" s="141" t="s">
        <v>3088</v>
      </c>
      <c r="AN107" s="142" t="s">
        <v>3089</v>
      </c>
      <c r="AO107" s="185">
        <v>2.0</v>
      </c>
      <c r="AP107" s="112" t="s">
        <v>3090</v>
      </c>
      <c r="AQ107" s="113" t="s">
        <v>3091</v>
      </c>
      <c r="AR107" s="75" t="s">
        <v>3092</v>
      </c>
      <c r="AS107" s="142"/>
      <c r="AT107" s="142"/>
    </row>
    <row r="108">
      <c r="A108" s="185">
        <v>3.0</v>
      </c>
      <c r="B108" s="140" t="s">
        <v>3093</v>
      </c>
      <c r="C108" s="141" t="s">
        <v>3094</v>
      </c>
      <c r="D108" s="142" t="s">
        <v>1064</v>
      </c>
      <c r="E108" s="185">
        <v>3.0</v>
      </c>
      <c r="F108" s="125" t="s">
        <v>3095</v>
      </c>
      <c r="G108" s="141" t="s">
        <v>3096</v>
      </c>
      <c r="H108" s="142" t="s">
        <v>3097</v>
      </c>
      <c r="I108" s="185">
        <v>3.0</v>
      </c>
      <c r="J108" s="197" t="s">
        <v>3098</v>
      </c>
      <c r="K108" s="196" t="s">
        <v>3099</v>
      </c>
      <c r="L108" s="198" t="s">
        <v>1390</v>
      </c>
      <c r="M108" s="185">
        <v>3.0</v>
      </c>
      <c r="N108" s="140" t="s">
        <v>3100</v>
      </c>
      <c r="O108" s="141" t="s">
        <v>3101</v>
      </c>
      <c r="P108" s="142" t="s">
        <v>3102</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3103</v>
      </c>
      <c r="AA108" s="201" t="s">
        <v>3099</v>
      </c>
      <c r="AB108" s="132" t="s">
        <v>3104</v>
      </c>
      <c r="AC108" s="185">
        <v>3.0</v>
      </c>
      <c r="AD108" s="197" t="s">
        <v>3105</v>
      </c>
      <c r="AE108" s="196" t="s">
        <v>3099</v>
      </c>
      <c r="AF108" s="198" t="s">
        <v>3106</v>
      </c>
      <c r="AG108" s="186">
        <v>3.0</v>
      </c>
      <c r="AH108" s="199" t="s">
        <v>3107</v>
      </c>
      <c r="AI108" s="158" t="s">
        <v>3099</v>
      </c>
      <c r="AJ108" s="200" t="s">
        <v>1250</v>
      </c>
      <c r="AK108" s="185">
        <v>3.0</v>
      </c>
      <c r="AL108" s="140" t="s">
        <v>3108</v>
      </c>
      <c r="AM108" s="141" t="s">
        <v>3109</v>
      </c>
      <c r="AN108" s="142" t="s">
        <v>1401</v>
      </c>
      <c r="AO108" s="185">
        <v>3.0</v>
      </c>
      <c r="AP108" s="108" t="s">
        <v>3110</v>
      </c>
      <c r="AQ108" s="166" t="s">
        <v>3111</v>
      </c>
      <c r="AR108" s="75" t="s">
        <v>1656</v>
      </c>
      <c r="AS108" s="142"/>
      <c r="AT108" s="142"/>
    </row>
    <row r="109">
      <c r="A109" s="185">
        <v>4.0</v>
      </c>
      <c r="B109" s="140" t="s">
        <v>3112</v>
      </c>
      <c r="C109" s="141" t="s">
        <v>3113</v>
      </c>
      <c r="D109" s="129" t="s">
        <v>3114</v>
      </c>
      <c r="E109" s="185">
        <v>4.0</v>
      </c>
      <c r="F109" s="125" t="s">
        <v>3115</v>
      </c>
      <c r="G109" s="196" t="s">
        <v>3116</v>
      </c>
      <c r="H109" s="167" t="s">
        <v>3117</v>
      </c>
      <c r="I109" s="185">
        <v>4.0</v>
      </c>
      <c r="J109" s="197" t="s">
        <v>3118</v>
      </c>
      <c r="K109" s="166" t="s">
        <v>3119</v>
      </c>
      <c r="L109" s="167" t="s">
        <v>3120</v>
      </c>
      <c r="M109" s="185">
        <v>4.0</v>
      </c>
      <c r="N109" s="140" t="s">
        <v>3121</v>
      </c>
      <c r="O109" s="141" t="s">
        <v>3122</v>
      </c>
      <c r="P109" s="129" t="s">
        <v>3123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3124</v>
      </c>
      <c r="AA109" s="150" t="s">
        <v>3125</v>
      </c>
      <c r="AB109" s="132" t="s">
        <v>3126</v>
      </c>
      <c r="AC109" s="185">
        <v>4.0</v>
      </c>
      <c r="AD109" s="197" t="s">
        <v>3127</v>
      </c>
      <c r="AE109" s="196" t="s">
        <v>3128</v>
      </c>
      <c r="AF109" s="167" t="s">
        <v>3129</v>
      </c>
      <c r="AG109" s="186">
        <v>4.0</v>
      </c>
      <c r="AH109" s="199" t="s">
        <v>3130</v>
      </c>
      <c r="AI109" s="158" t="s">
        <v>3131</v>
      </c>
      <c r="AJ109" s="159" t="s">
        <v>3132</v>
      </c>
      <c r="AK109" s="185">
        <v>4.0</v>
      </c>
      <c r="AL109" s="140" t="s">
        <v>3133</v>
      </c>
      <c r="AM109" s="141" t="s">
        <v>3134</v>
      </c>
      <c r="AN109" s="129" t="s">
        <v>3135</v>
      </c>
      <c r="AO109" s="185">
        <v>4.0</v>
      </c>
      <c r="AP109" s="108" t="s">
        <v>3136</v>
      </c>
      <c r="AQ109" s="113" t="s">
        <v>3137</v>
      </c>
      <c r="AR109" s="75" t="s">
        <v>3138</v>
      </c>
      <c r="AS109" s="142"/>
      <c r="AT109" s="142"/>
    </row>
    <row r="110">
      <c r="A110" s="185">
        <v>5.0</v>
      </c>
      <c r="B110" s="140" t="s">
        <v>3139</v>
      </c>
      <c r="C110" s="131" t="s">
        <v>3140</v>
      </c>
      <c r="D110" s="129" t="s">
        <v>3141</v>
      </c>
      <c r="E110" s="185">
        <v>5.0</v>
      </c>
      <c r="F110" s="125" t="s">
        <v>3142</v>
      </c>
      <c r="G110" s="196" t="s">
        <v>3143</v>
      </c>
      <c r="H110" s="198" t="s">
        <v>3144</v>
      </c>
      <c r="I110" s="185">
        <v>5.0</v>
      </c>
      <c r="J110" s="165" t="s">
        <v>3145</v>
      </c>
      <c r="K110" s="166" t="s">
        <v>3146</v>
      </c>
      <c r="L110" s="167" t="s">
        <v>3147</v>
      </c>
      <c r="M110" s="185">
        <v>5.0</v>
      </c>
      <c r="N110" s="140" t="s">
        <v>3139</v>
      </c>
      <c r="O110" s="131" t="s">
        <v>3148</v>
      </c>
      <c r="P110" s="129" t="s">
        <v>3149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3150</v>
      </c>
      <c r="AA110" s="115" t="s">
        <v>3151</v>
      </c>
      <c r="AB110" s="116" t="s">
        <v>3152</v>
      </c>
      <c r="AC110" s="185">
        <v>5.0</v>
      </c>
      <c r="AD110" s="197" t="s">
        <v>3153</v>
      </c>
      <c r="AE110" s="196" t="s">
        <v>3154</v>
      </c>
      <c r="AF110" s="198" t="s">
        <v>3155</v>
      </c>
      <c r="AG110" s="185">
        <v>5.0</v>
      </c>
      <c r="AH110" s="199" t="s">
        <v>3156</v>
      </c>
      <c r="AI110" s="158" t="s">
        <v>3157</v>
      </c>
      <c r="AJ110" s="200" t="s">
        <v>3158</v>
      </c>
      <c r="AK110" s="185">
        <v>5.0</v>
      </c>
      <c r="AL110" s="140" t="s">
        <v>3159</v>
      </c>
      <c r="AM110" s="141" t="s">
        <v>3160</v>
      </c>
      <c r="AN110" s="142" t="s">
        <v>3161</v>
      </c>
      <c r="AO110" s="185">
        <v>5.0</v>
      </c>
      <c r="AP110" s="108" t="s">
        <v>3162</v>
      </c>
      <c r="AQ110" s="111" t="s">
        <v>3163</v>
      </c>
      <c r="AR110" s="75" t="s">
        <v>3164</v>
      </c>
      <c r="AS110" s="142"/>
      <c r="AT110" s="142"/>
    </row>
    <row r="111">
      <c r="A111" s="185">
        <v>6.0</v>
      </c>
      <c r="B111" s="140" t="s">
        <v>3165</v>
      </c>
      <c r="C111" s="131" t="s">
        <v>3166</v>
      </c>
      <c r="D111" s="163" t="s">
        <v>3167</v>
      </c>
      <c r="E111" s="185">
        <v>6.0</v>
      </c>
      <c r="F111" s="125" t="s">
        <v>3168</v>
      </c>
      <c r="G111" s="166" t="s">
        <v>3169</v>
      </c>
      <c r="H111" s="167" t="s">
        <v>3170</v>
      </c>
      <c r="I111" s="185">
        <v>6.0</v>
      </c>
      <c r="J111" s="165" t="s">
        <v>3171</v>
      </c>
      <c r="K111" s="166" t="s">
        <v>3172</v>
      </c>
      <c r="L111" s="167" t="s">
        <v>3173</v>
      </c>
      <c r="M111" s="185">
        <v>6.0</v>
      </c>
      <c r="N111" s="140" t="s">
        <v>3165</v>
      </c>
      <c r="O111" s="131" t="s">
        <v>3174</v>
      </c>
      <c r="P111" s="163" t="s">
        <v>3175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3176</v>
      </c>
      <c r="AA111" s="150" t="s">
        <v>3177</v>
      </c>
      <c r="AB111" s="155" t="s">
        <v>3178</v>
      </c>
      <c r="AC111" s="185">
        <v>6.0</v>
      </c>
      <c r="AD111" s="197" t="s">
        <v>3179</v>
      </c>
      <c r="AE111" s="166" t="s">
        <v>3180</v>
      </c>
      <c r="AF111" s="202" t="s">
        <v>3181</v>
      </c>
      <c r="AG111" s="185">
        <v>6.0</v>
      </c>
      <c r="AH111" s="199" t="s">
        <v>3182</v>
      </c>
      <c r="AI111" s="182" t="s">
        <v>3183</v>
      </c>
      <c r="AJ111" s="203" t="s">
        <v>3184</v>
      </c>
      <c r="AK111" s="185">
        <v>6.0</v>
      </c>
      <c r="AL111" s="140" t="s">
        <v>3185</v>
      </c>
      <c r="AM111" s="131" t="s">
        <v>3186</v>
      </c>
      <c r="AN111" s="129" t="s">
        <v>3187</v>
      </c>
      <c r="AO111" s="185">
        <v>6.0</v>
      </c>
      <c r="AP111" s="108" t="s">
        <v>3188</v>
      </c>
      <c r="AQ111" s="111" t="s">
        <v>3189</v>
      </c>
      <c r="AR111" s="72" t="s">
        <v>3190</v>
      </c>
      <c r="AS111" s="142"/>
      <c r="AT111" s="142"/>
    </row>
    <row r="112">
      <c r="A112" s="185">
        <v>7.0</v>
      </c>
      <c r="B112" s="204" t="s">
        <v>3191</v>
      </c>
      <c r="C112" s="141" t="s">
        <v>3192</v>
      </c>
      <c r="D112" s="142" t="s">
        <v>3141</v>
      </c>
      <c r="E112" s="185">
        <v>7.0</v>
      </c>
      <c r="F112" s="140" t="s">
        <v>3193</v>
      </c>
      <c r="G112" s="196" t="s">
        <v>3194</v>
      </c>
      <c r="H112" s="198" t="s">
        <v>3195</v>
      </c>
      <c r="I112" s="185">
        <v>7.0</v>
      </c>
      <c r="J112" s="140" t="s">
        <v>3196</v>
      </c>
      <c r="K112" s="154" t="s">
        <v>3197</v>
      </c>
      <c r="L112" s="198" t="s">
        <v>3198</v>
      </c>
      <c r="M112" s="185">
        <v>7.0</v>
      </c>
      <c r="N112" s="140" t="s">
        <v>3199</v>
      </c>
      <c r="O112" s="141" t="s">
        <v>3200</v>
      </c>
      <c r="P112" s="142" t="s">
        <v>3149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3201</v>
      </c>
      <c r="AA112" s="205" t="s">
        <v>3202</v>
      </c>
      <c r="AB112" s="206" t="s">
        <v>3203</v>
      </c>
      <c r="AC112" s="185">
        <v>7.0</v>
      </c>
      <c r="AD112" s="197" t="s">
        <v>3204</v>
      </c>
      <c r="AE112" s="196" t="s">
        <v>3205</v>
      </c>
      <c r="AF112" s="198" t="s">
        <v>3206</v>
      </c>
      <c r="AG112" s="185">
        <v>7.0</v>
      </c>
      <c r="AH112" s="207" t="s">
        <v>3207</v>
      </c>
      <c r="AI112" s="208" t="s">
        <v>3208</v>
      </c>
      <c r="AJ112" s="209" t="s">
        <v>3209</v>
      </c>
      <c r="AK112" s="185">
        <v>7.0</v>
      </c>
      <c r="AL112" s="204" t="s">
        <v>3210</v>
      </c>
      <c r="AM112" s="141" t="s">
        <v>3211</v>
      </c>
      <c r="AN112" s="142" t="s">
        <v>3212</v>
      </c>
      <c r="AO112" s="185">
        <v>7.0</v>
      </c>
      <c r="AP112" s="125" t="s">
        <v>3213</v>
      </c>
      <c r="AQ112" s="113" t="s">
        <v>3214</v>
      </c>
      <c r="AR112" s="75" t="s">
        <v>3215</v>
      </c>
      <c r="AS112" s="210"/>
      <c r="AT112" s="210"/>
    </row>
    <row r="113">
      <c r="A113" s="185">
        <v>8.0</v>
      </c>
      <c r="B113" s="204" t="s">
        <v>3216</v>
      </c>
      <c r="C113" s="141" t="s">
        <v>3217</v>
      </c>
      <c r="D113" s="142" t="s">
        <v>3167</v>
      </c>
      <c r="E113" s="185">
        <v>8.0</v>
      </c>
      <c r="F113" s="140" t="s">
        <v>3218</v>
      </c>
      <c r="G113" s="196" t="s">
        <v>3219</v>
      </c>
      <c r="H113" s="198" t="s">
        <v>3220</v>
      </c>
      <c r="I113" s="185">
        <v>8.0</v>
      </c>
      <c r="J113" s="140" t="s">
        <v>3221</v>
      </c>
      <c r="K113" s="154" t="s">
        <v>3222</v>
      </c>
      <c r="L113" s="198" t="s">
        <v>3223</v>
      </c>
      <c r="M113" s="185">
        <v>8.0</v>
      </c>
      <c r="N113" s="140" t="s">
        <v>3224</v>
      </c>
      <c r="O113" s="141" t="s">
        <v>3225</v>
      </c>
      <c r="P113" s="142" t="s">
        <v>3226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3227</v>
      </c>
      <c r="AA113" s="205" t="s">
        <v>3228</v>
      </c>
      <c r="AB113" s="206" t="s">
        <v>3229</v>
      </c>
      <c r="AC113" s="185">
        <v>8.0</v>
      </c>
      <c r="AD113" s="197" t="s">
        <v>3230</v>
      </c>
      <c r="AE113" s="196" t="s">
        <v>3231</v>
      </c>
      <c r="AF113" s="198" t="s">
        <v>3181</v>
      </c>
      <c r="AG113" s="185">
        <v>8.0</v>
      </c>
      <c r="AH113" s="207" t="s">
        <v>3232</v>
      </c>
      <c r="AI113" s="208" t="s">
        <v>3233</v>
      </c>
      <c r="AJ113" s="211" t="s">
        <v>3234</v>
      </c>
      <c r="AK113" s="185">
        <v>8.0</v>
      </c>
      <c r="AL113" s="204" t="s">
        <v>3235</v>
      </c>
      <c r="AM113" s="141" t="s">
        <v>3236</v>
      </c>
      <c r="AN113" s="142" t="s">
        <v>3237</v>
      </c>
      <c r="AO113" s="185">
        <v>8.0</v>
      </c>
      <c r="AP113" s="125" t="s">
        <v>3238</v>
      </c>
      <c r="AQ113" s="113" t="s">
        <v>3239</v>
      </c>
      <c r="AR113" s="75" t="s">
        <v>3240</v>
      </c>
      <c r="AS113" s="210"/>
      <c r="AT113" s="210"/>
    </row>
    <row r="114">
      <c r="A114" s="185">
        <v>9.0</v>
      </c>
      <c r="B114" s="204" t="s">
        <v>3241</v>
      </c>
      <c r="C114" s="141" t="s">
        <v>3242</v>
      </c>
      <c r="D114" s="142" t="s">
        <v>3243</v>
      </c>
      <c r="E114" s="185">
        <v>9.0</v>
      </c>
      <c r="F114" s="140" t="s">
        <v>3244</v>
      </c>
      <c r="G114" s="196" t="s">
        <v>3245</v>
      </c>
      <c r="H114" s="167" t="s">
        <v>3246</v>
      </c>
      <c r="I114" s="185">
        <v>9.0</v>
      </c>
      <c r="J114" s="140" t="s">
        <v>3247</v>
      </c>
      <c r="K114" s="166" t="s">
        <v>3248</v>
      </c>
      <c r="L114" s="198" t="s">
        <v>3249</v>
      </c>
      <c r="M114" s="185">
        <v>9.0</v>
      </c>
      <c r="N114" s="140" t="s">
        <v>3250</v>
      </c>
      <c r="O114" s="141" t="s">
        <v>3251</v>
      </c>
      <c r="P114" s="142" t="s">
        <v>3252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3253</v>
      </c>
      <c r="AA114" s="205" t="s">
        <v>3254</v>
      </c>
      <c r="AB114" s="206" t="s">
        <v>3255</v>
      </c>
      <c r="AC114" s="185">
        <v>9.0</v>
      </c>
      <c r="AD114" s="197" t="s">
        <v>3256</v>
      </c>
      <c r="AE114" s="166" t="s">
        <v>3257</v>
      </c>
      <c r="AF114" s="198" t="s">
        <v>3258</v>
      </c>
      <c r="AG114" s="185">
        <v>9.0</v>
      </c>
      <c r="AH114" s="212" t="s">
        <v>3259</v>
      </c>
      <c r="AI114" s="213" t="s">
        <v>3260</v>
      </c>
      <c r="AJ114" s="211" t="s">
        <v>3261</v>
      </c>
      <c r="AK114" s="185">
        <v>9.0</v>
      </c>
      <c r="AL114" s="207" t="s">
        <v>3262</v>
      </c>
      <c r="AM114" s="141" t="s">
        <v>3263</v>
      </c>
      <c r="AN114" s="142" t="s">
        <v>3264</v>
      </c>
      <c r="AO114" s="185">
        <v>9.0</v>
      </c>
      <c r="AP114" s="125" t="s">
        <v>3265</v>
      </c>
      <c r="AQ114" s="113" t="s">
        <v>3266</v>
      </c>
      <c r="AR114" s="75" t="s">
        <v>3267</v>
      </c>
      <c r="AS114" s="210"/>
      <c r="AT114" s="210"/>
    </row>
    <row r="115">
      <c r="A115" s="185">
        <v>10.0</v>
      </c>
      <c r="B115" s="204" t="s">
        <v>3268</v>
      </c>
      <c r="C115" s="141" t="s">
        <v>3269</v>
      </c>
      <c r="D115" s="142" t="s">
        <v>3270</v>
      </c>
      <c r="E115" s="185">
        <v>10.0</v>
      </c>
      <c r="F115" s="140" t="s">
        <v>3271</v>
      </c>
      <c r="G115" s="196" t="s">
        <v>3272</v>
      </c>
      <c r="H115" s="167" t="s">
        <v>3273</v>
      </c>
      <c r="I115" s="185">
        <v>10.0</v>
      </c>
      <c r="J115" s="140" t="s">
        <v>3247</v>
      </c>
      <c r="K115" s="166" t="s">
        <v>3274</v>
      </c>
      <c r="L115" s="198" t="s">
        <v>3275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3276</v>
      </c>
      <c r="AA115" s="205" t="s">
        <v>3277</v>
      </c>
      <c r="AB115" s="206" t="s">
        <v>3278</v>
      </c>
      <c r="AC115" s="185">
        <v>10.0</v>
      </c>
      <c r="AD115" s="197" t="s">
        <v>3279</v>
      </c>
      <c r="AE115" s="166" t="s">
        <v>3280</v>
      </c>
      <c r="AF115" s="198" t="s">
        <v>3281</v>
      </c>
      <c r="AG115" s="185">
        <v>10.0</v>
      </c>
      <c r="AH115" s="212" t="s">
        <v>3282</v>
      </c>
      <c r="AI115" s="213" t="s">
        <v>3283</v>
      </c>
      <c r="AJ115" s="211" t="s">
        <v>3284</v>
      </c>
      <c r="AK115" s="185">
        <v>10.0</v>
      </c>
      <c r="AL115" s="207" t="s">
        <v>3285</v>
      </c>
      <c r="AM115" s="141" t="s">
        <v>3286</v>
      </c>
      <c r="AN115" s="142" t="s">
        <v>3287</v>
      </c>
      <c r="AO115" s="185">
        <v>10.0</v>
      </c>
      <c r="AP115" s="125" t="s">
        <v>3265</v>
      </c>
      <c r="AQ115" s="113" t="s">
        <v>3288</v>
      </c>
      <c r="AR115" s="75" t="s">
        <v>3289</v>
      </c>
      <c r="AS115" s="210"/>
      <c r="AT115" s="210"/>
    </row>
    <row r="116">
      <c r="A116" s="185">
        <v>11.0</v>
      </c>
      <c r="B116" s="204" t="s">
        <v>3290</v>
      </c>
      <c r="C116" s="141" t="s">
        <v>3291</v>
      </c>
      <c r="D116" s="142" t="s">
        <v>3292</v>
      </c>
      <c r="E116" s="185">
        <v>11.0</v>
      </c>
      <c r="F116" s="140" t="s">
        <v>3293</v>
      </c>
      <c r="G116" s="196" t="s">
        <v>3291</v>
      </c>
      <c r="H116" s="167" t="s">
        <v>3294</v>
      </c>
      <c r="I116" s="185">
        <v>11.0</v>
      </c>
      <c r="J116" s="140" t="s">
        <v>3295</v>
      </c>
      <c r="K116" s="166" t="s">
        <v>3296</v>
      </c>
      <c r="L116" s="198" t="s">
        <v>3297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3298</v>
      </c>
      <c r="AA116" s="205" t="s">
        <v>3299</v>
      </c>
      <c r="AB116" s="206" t="s">
        <v>3300</v>
      </c>
      <c r="AC116" s="185">
        <v>11.0</v>
      </c>
      <c r="AD116" s="197" t="s">
        <v>3301</v>
      </c>
      <c r="AE116" s="166" t="s">
        <v>3302</v>
      </c>
      <c r="AF116" s="198" t="s">
        <v>3303</v>
      </c>
      <c r="AG116" s="185">
        <v>11.0</v>
      </c>
      <c r="AH116" s="212" t="s">
        <v>3304</v>
      </c>
      <c r="AI116" s="213" t="s">
        <v>3305</v>
      </c>
      <c r="AJ116" s="211" t="s">
        <v>3306</v>
      </c>
      <c r="AK116" s="185">
        <v>11.0</v>
      </c>
      <c r="AL116" s="207" t="s">
        <v>3307</v>
      </c>
      <c r="AM116" s="141" t="s">
        <v>3308</v>
      </c>
      <c r="AN116" s="142" t="s">
        <v>3309</v>
      </c>
      <c r="AO116" s="185">
        <v>11.0</v>
      </c>
      <c r="AP116" s="125" t="s">
        <v>3295</v>
      </c>
      <c r="AQ116" s="113" t="s">
        <v>3310</v>
      </c>
      <c r="AR116" s="75" t="s">
        <v>3311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3312</v>
      </c>
      <c r="B118" s="192" t="s">
        <v>3313</v>
      </c>
      <c r="E118" s="103" t="s">
        <v>3312</v>
      </c>
      <c r="F118" s="103" t="s">
        <v>3314</v>
      </c>
      <c r="I118" s="103" t="s">
        <v>3312</v>
      </c>
      <c r="J118" s="103" t="s">
        <v>3315</v>
      </c>
      <c r="M118" s="103" t="s">
        <v>3312</v>
      </c>
      <c r="N118" s="103" t="str">
        <f>IFERROR(__xludf.DUMMYFUNCTION("GOOGLETRANSLATE(B118,""zh-tw"",""zh"")"),"夜袭相关")</f>
        <v>夜袭相关</v>
      </c>
      <c r="Q118" s="103" t="s">
        <v>3312</v>
      </c>
      <c r="R118" s="103" t="s">
        <v>3316</v>
      </c>
      <c r="U118" s="103" t="s">
        <v>3312</v>
      </c>
      <c r="V118" s="103" t="s">
        <v>3317</v>
      </c>
      <c r="Y118" s="104" t="s">
        <v>3312</v>
      </c>
      <c r="Z118" s="104" t="s">
        <v>3318</v>
      </c>
      <c r="AC118" s="103" t="s">
        <v>3312</v>
      </c>
      <c r="AD118" s="103" t="s">
        <v>3319</v>
      </c>
      <c r="AG118" s="177" t="s">
        <v>3312</v>
      </c>
      <c r="AH118" s="193" t="s">
        <v>3320</v>
      </c>
      <c r="AK118" s="103" t="s">
        <v>3312</v>
      </c>
      <c r="AL118" s="104" t="s">
        <v>3321</v>
      </c>
      <c r="AO118" s="103" t="s">
        <v>3312</v>
      </c>
      <c r="AP118" s="103" t="s">
        <v>3322</v>
      </c>
      <c r="AS118" s="192"/>
      <c r="AT118" s="192"/>
    </row>
    <row r="119">
      <c r="A119" s="185">
        <v>1.0</v>
      </c>
      <c r="B119" s="125" t="s">
        <v>3323</v>
      </c>
      <c r="C119" s="113" t="s">
        <v>3324</v>
      </c>
      <c r="D119" s="75" t="s">
        <v>3325</v>
      </c>
      <c r="E119" s="185">
        <v>1.0</v>
      </c>
      <c r="F119" s="125" t="s">
        <v>3326</v>
      </c>
      <c r="G119" s="113" t="s">
        <v>3327</v>
      </c>
      <c r="H119" s="75" t="s">
        <v>3328</v>
      </c>
      <c r="I119" s="185">
        <v>1.0</v>
      </c>
      <c r="J119" s="125" t="s">
        <v>3329</v>
      </c>
      <c r="K119" s="113" t="s">
        <v>3330</v>
      </c>
      <c r="L119" s="75" t="s">
        <v>3331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3332</v>
      </c>
      <c r="S119" s="111" t="s">
        <v>3333</v>
      </c>
      <c r="T119" s="72" t="s">
        <v>3334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3335</v>
      </c>
      <c r="AA119" s="150" t="s">
        <v>3336</v>
      </c>
      <c r="AB119" s="132" t="s">
        <v>3337</v>
      </c>
      <c r="AC119" s="185">
        <v>1.0</v>
      </c>
      <c r="AD119" s="125" t="s">
        <v>3338</v>
      </c>
      <c r="AE119" s="113" t="s">
        <v>3339</v>
      </c>
      <c r="AF119" s="75" t="s">
        <v>1647</v>
      </c>
      <c r="AG119" s="186">
        <v>1.0</v>
      </c>
      <c r="AH119" s="187" t="s">
        <v>3340</v>
      </c>
      <c r="AI119" s="152" t="s">
        <v>3341</v>
      </c>
      <c r="AJ119" s="134" t="s">
        <v>3342</v>
      </c>
      <c r="AK119" s="185">
        <v>1.0</v>
      </c>
      <c r="AL119" s="140" t="s">
        <v>3343</v>
      </c>
      <c r="AM119" s="141" t="s">
        <v>3344</v>
      </c>
      <c r="AN119" s="142" t="s">
        <v>3345</v>
      </c>
      <c r="AO119" s="185">
        <v>1.0</v>
      </c>
      <c r="AP119" s="108" t="str">
        <f>IFERROR(__xludf.DUMMYFUNCTION("GOOGLETRANSLATE(B119,""zh-tw"",""id"")"),"Penghilangan Bau -3")</f>
        <v>Penghilangan Bau -3</v>
      </c>
      <c r="AQ119" s="111" t="s">
        <v>3346</v>
      </c>
      <c r="AR119" s="72" t="s">
        <v>3347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561</v>
      </c>
      <c r="B1" s="82" t="s">
        <v>3349</v>
      </c>
      <c r="C1" s="83" t="s">
        <v>563</v>
      </c>
      <c r="D1" s="84" t="s">
        <v>564</v>
      </c>
      <c r="E1" s="93" t="s">
        <v>561</v>
      </c>
      <c r="F1" s="82" t="s">
        <v>3350</v>
      </c>
      <c r="G1" s="83" t="s">
        <v>3351</v>
      </c>
      <c r="H1" s="84" t="s">
        <v>564</v>
      </c>
      <c r="I1" s="93" t="s">
        <v>561</v>
      </c>
      <c r="J1" s="82" t="s">
        <v>3352</v>
      </c>
      <c r="K1" s="83" t="s">
        <v>568</v>
      </c>
      <c r="L1" s="84" t="s">
        <v>569</v>
      </c>
      <c r="M1" s="93" t="s">
        <v>561</v>
      </c>
      <c r="N1" s="82" t="s">
        <v>3349</v>
      </c>
      <c r="O1" s="83" t="s">
        <v>3353</v>
      </c>
      <c r="P1" s="84" t="s">
        <v>3354</v>
      </c>
      <c r="Q1" s="93" t="s">
        <v>561</v>
      </c>
      <c r="R1" s="86" t="s">
        <v>3355</v>
      </c>
      <c r="S1" s="87" t="str">
        <f>IFERROR(__xludf.DUMMYFUNCTION("GOOGLETRANSLATE(C1,""zh-tw"",""es-MX"")"),"ilustrar")</f>
        <v>ilustrar</v>
      </c>
      <c r="T1" s="88" t="str">
        <f>IFERROR(__xludf.DUMMYFUNCTION("GOOGLETRANSLATE(D1,""zh-tw"",""es-MX"")"),"resultado")</f>
        <v>resultado</v>
      </c>
      <c r="U1" s="93" t="s">
        <v>561</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561</v>
      </c>
      <c r="Z1" s="82" t="s">
        <v>3356</v>
      </c>
      <c r="AA1" s="83" t="s">
        <v>3357</v>
      </c>
      <c r="AB1" s="84" t="s">
        <v>3358</v>
      </c>
      <c r="AC1" s="93" t="s">
        <v>561</v>
      </c>
      <c r="AD1" s="82" t="s">
        <v>3359</v>
      </c>
      <c r="AE1" s="224" t="s">
        <v>3360</v>
      </c>
      <c r="AF1" s="84" t="s">
        <v>3361</v>
      </c>
      <c r="AG1" s="93" t="s">
        <v>561</v>
      </c>
      <c r="AH1" s="225" t="s">
        <v>3362</v>
      </c>
      <c r="AI1" s="226" t="s">
        <v>3363</v>
      </c>
      <c r="AJ1" s="227" t="s">
        <v>582</v>
      </c>
      <c r="AK1" s="93" t="s">
        <v>561</v>
      </c>
      <c r="AL1" s="86" t="s">
        <v>3364</v>
      </c>
      <c r="AM1" s="87" t="s">
        <v>584</v>
      </c>
      <c r="AN1" s="88" t="s">
        <v>572</v>
      </c>
      <c r="AO1" s="93" t="s">
        <v>561</v>
      </c>
      <c r="AP1" s="82" t="s">
        <v>3365</v>
      </c>
      <c r="AQ1" s="83" t="s">
        <v>3366</v>
      </c>
      <c r="AR1" s="84" t="s">
        <v>588</v>
      </c>
      <c r="AS1" s="88"/>
      <c r="AT1" s="88"/>
    </row>
    <row r="2">
      <c r="A2" s="228" t="s">
        <v>589</v>
      </c>
      <c r="B2" s="228" t="s">
        <v>3367</v>
      </c>
      <c r="E2" s="228" t="s">
        <v>589</v>
      </c>
      <c r="F2" s="229"/>
      <c r="I2" s="228" t="s">
        <v>589</v>
      </c>
      <c r="J2" s="230" t="s">
        <v>3368</v>
      </c>
      <c r="M2" s="228" t="s">
        <v>589</v>
      </c>
      <c r="N2" s="228" t="s">
        <v>3369</v>
      </c>
      <c r="Q2" s="228" t="s">
        <v>589</v>
      </c>
      <c r="R2" s="231"/>
      <c r="U2" s="228" t="s">
        <v>589</v>
      </c>
      <c r="V2" s="231"/>
      <c r="Y2" s="228" t="s">
        <v>589</v>
      </c>
      <c r="Z2" s="232" t="s">
        <v>3370</v>
      </c>
      <c r="AC2" s="228" t="s">
        <v>589</v>
      </c>
      <c r="AD2" s="229"/>
      <c r="AG2" s="228" t="s">
        <v>589</v>
      </c>
      <c r="AH2" s="229"/>
      <c r="AK2" s="228" t="s">
        <v>589</v>
      </c>
      <c r="AL2" s="233" t="s">
        <v>3371</v>
      </c>
      <c r="AO2" s="228" t="s">
        <v>589</v>
      </c>
      <c r="AP2" s="229"/>
      <c r="AS2" s="231"/>
      <c r="AT2" s="231"/>
    </row>
    <row r="3">
      <c r="A3" s="234" t="s">
        <v>3372</v>
      </c>
      <c r="B3" s="112" t="s">
        <v>3373</v>
      </c>
      <c r="C3" s="111" t="s">
        <v>3374</v>
      </c>
      <c r="D3" s="72" t="s">
        <v>3375</v>
      </c>
      <c r="E3" s="234" t="s">
        <v>3372</v>
      </c>
      <c r="F3" s="112" t="s">
        <v>3376</v>
      </c>
      <c r="G3" s="111" t="s">
        <v>3377</v>
      </c>
      <c r="H3" s="72" t="s">
        <v>3378</v>
      </c>
      <c r="I3" s="234" t="s">
        <v>3372</v>
      </c>
      <c r="J3" s="112" t="s">
        <v>3379</v>
      </c>
      <c r="K3" s="111" t="s">
        <v>3380</v>
      </c>
      <c r="L3" s="72" t="s">
        <v>3381</v>
      </c>
      <c r="M3" s="234" t="s">
        <v>3372</v>
      </c>
      <c r="N3" s="112" t="s">
        <v>3373</v>
      </c>
      <c r="O3" s="111" t="s">
        <v>3382</v>
      </c>
      <c r="P3" s="72" t="s">
        <v>3383</v>
      </c>
      <c r="Q3" s="234" t="s">
        <v>3372</v>
      </c>
      <c r="R3" s="125" t="s">
        <v>3384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3372</v>
      </c>
      <c r="V3" s="112" t="s">
        <v>3385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3386</v>
      </c>
      <c r="Y3" s="234" t="s">
        <v>3372</v>
      </c>
      <c r="Z3" s="235" t="s">
        <v>3387</v>
      </c>
      <c r="AA3" s="236" t="s">
        <v>3388</v>
      </c>
      <c r="AB3" s="65" t="s">
        <v>3389</v>
      </c>
      <c r="AC3" s="234" t="s">
        <v>3372</v>
      </c>
      <c r="AD3" s="112" t="s">
        <v>3390</v>
      </c>
      <c r="AE3" s="237" t="s">
        <v>3391</v>
      </c>
      <c r="AF3" s="135" t="s">
        <v>3392</v>
      </c>
      <c r="AG3" s="234" t="s">
        <v>3372</v>
      </c>
      <c r="AH3" s="238" t="s">
        <v>3393</v>
      </c>
      <c r="AI3" s="119" t="s">
        <v>3394</v>
      </c>
      <c r="AJ3" s="120" t="s">
        <v>3395</v>
      </c>
      <c r="AK3" s="234" t="s">
        <v>3372</v>
      </c>
      <c r="AL3" s="125" t="s">
        <v>3396</v>
      </c>
      <c r="AM3" s="113" t="s">
        <v>3397</v>
      </c>
      <c r="AN3" s="72" t="s">
        <v>3398</v>
      </c>
      <c r="AO3" s="234" t="s">
        <v>3372</v>
      </c>
      <c r="AP3" s="112" t="s">
        <v>3399</v>
      </c>
      <c r="AQ3" s="111" t="s">
        <v>3400</v>
      </c>
      <c r="AR3" s="72" t="s">
        <v>3401</v>
      </c>
      <c r="AS3" s="75"/>
      <c r="AT3" s="75"/>
    </row>
    <row r="4" ht="122.25" customHeight="1">
      <c r="A4" s="234" t="s">
        <v>3402</v>
      </c>
      <c r="B4" s="108" t="s">
        <v>3403</v>
      </c>
      <c r="C4" s="111" t="s">
        <v>3404</v>
      </c>
      <c r="D4" s="110" t="s">
        <v>3405</v>
      </c>
      <c r="E4" s="234" t="s">
        <v>3402</v>
      </c>
      <c r="F4" s="112" t="s">
        <v>3406</v>
      </c>
      <c r="G4" s="111" t="s">
        <v>3407</v>
      </c>
      <c r="H4" s="72" t="s">
        <v>3408</v>
      </c>
      <c r="I4" s="234" t="s">
        <v>3402</v>
      </c>
      <c r="J4" s="112" t="s">
        <v>3409</v>
      </c>
      <c r="K4" s="111" t="s">
        <v>3410</v>
      </c>
      <c r="L4" s="72" t="s">
        <v>3411</v>
      </c>
      <c r="M4" s="234" t="s">
        <v>3402</v>
      </c>
      <c r="N4" s="112" t="s">
        <v>3403</v>
      </c>
      <c r="O4" s="111" t="s">
        <v>3412</v>
      </c>
      <c r="P4" s="72" t="s">
        <v>3413</v>
      </c>
      <c r="Q4" s="234" t="s">
        <v>3402</v>
      </c>
      <c r="R4" s="125" t="s">
        <v>3414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3402</v>
      </c>
      <c r="Z4" s="235" t="s">
        <v>3415</v>
      </c>
      <c r="AA4" s="236" t="s">
        <v>3416</v>
      </c>
      <c r="AB4" s="65" t="s">
        <v>3417</v>
      </c>
      <c r="AC4" s="234" t="s">
        <v>3402</v>
      </c>
      <c r="AD4" s="112" t="s">
        <v>3418</v>
      </c>
      <c r="AE4" s="237" t="s">
        <v>3419</v>
      </c>
      <c r="AF4" s="135" t="s">
        <v>3420</v>
      </c>
      <c r="AG4" s="234" t="s">
        <v>3402</v>
      </c>
      <c r="AH4" s="238" t="s">
        <v>3421</v>
      </c>
      <c r="AI4" s="119" t="s">
        <v>3422</v>
      </c>
      <c r="AJ4" s="120" t="s">
        <v>3423</v>
      </c>
      <c r="AK4" s="234" t="s">
        <v>3402</v>
      </c>
      <c r="AL4" s="125" t="s">
        <v>3424</v>
      </c>
      <c r="AM4" s="113" t="s">
        <v>3425</v>
      </c>
      <c r="AN4" s="75" t="s">
        <v>3426</v>
      </c>
      <c r="AO4" s="234" t="s">
        <v>3402</v>
      </c>
      <c r="AP4" s="112" t="s">
        <v>3427</v>
      </c>
      <c r="AQ4" s="111" t="s">
        <v>3428</v>
      </c>
      <c r="AR4" s="72" t="s">
        <v>3429</v>
      </c>
      <c r="AS4" s="75"/>
      <c r="AT4" s="75"/>
    </row>
    <row r="5">
      <c r="A5" s="234" t="s">
        <v>3430</v>
      </c>
      <c r="B5" s="108" t="s">
        <v>3431</v>
      </c>
      <c r="C5" s="109" t="s">
        <v>3432</v>
      </c>
      <c r="D5" s="110" t="s">
        <v>3433</v>
      </c>
      <c r="E5" s="234" t="s">
        <v>3430</v>
      </c>
      <c r="F5" s="108" t="s">
        <v>3434</v>
      </c>
      <c r="G5" s="109" t="s">
        <v>3435</v>
      </c>
      <c r="H5" s="110" t="s">
        <v>3436</v>
      </c>
      <c r="I5" s="234" t="s">
        <v>3430</v>
      </c>
      <c r="J5" s="108" t="s">
        <v>3437</v>
      </c>
      <c r="K5" s="109" t="s">
        <v>3438</v>
      </c>
      <c r="L5" s="110" t="s">
        <v>3439</v>
      </c>
      <c r="M5" s="234" t="s">
        <v>3430</v>
      </c>
      <c r="N5" s="112" t="s">
        <v>3431</v>
      </c>
      <c r="O5" s="111" t="s">
        <v>3440</v>
      </c>
      <c r="P5" s="72" t="s">
        <v>3441</v>
      </c>
      <c r="Q5" s="234" t="s">
        <v>3430</v>
      </c>
      <c r="R5" s="125" t="s">
        <v>3442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3430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3430</v>
      </c>
      <c r="Z5" s="235" t="s">
        <v>3443</v>
      </c>
      <c r="AA5" s="236" t="s">
        <v>3444</v>
      </c>
      <c r="AB5" s="65" t="s">
        <v>3445</v>
      </c>
      <c r="AC5" s="234" t="s">
        <v>3430</v>
      </c>
      <c r="AD5" s="108" t="s">
        <v>3446</v>
      </c>
      <c r="AE5" s="109" t="s">
        <v>3447</v>
      </c>
      <c r="AF5" s="110" t="s">
        <v>3448</v>
      </c>
      <c r="AG5" s="234" t="s">
        <v>3430</v>
      </c>
      <c r="AH5" s="238" t="s">
        <v>3449</v>
      </c>
      <c r="AI5" s="119" t="s">
        <v>3450</v>
      </c>
      <c r="AJ5" s="120" t="s">
        <v>3451</v>
      </c>
      <c r="AK5" s="234" t="s">
        <v>3430</v>
      </c>
      <c r="AL5" s="125" t="s">
        <v>3452</v>
      </c>
      <c r="AM5" s="113" t="s">
        <v>3453</v>
      </c>
      <c r="AN5" s="75" t="s">
        <v>3454</v>
      </c>
      <c r="AO5" s="234" t="s">
        <v>3430</v>
      </c>
      <c r="AP5" s="112" t="s">
        <v>3455</v>
      </c>
      <c r="AQ5" s="113" t="s">
        <v>3456</v>
      </c>
      <c r="AR5" s="75" t="s">
        <v>3457</v>
      </c>
      <c r="AS5" s="75"/>
      <c r="AT5" s="75"/>
    </row>
    <row r="6">
      <c r="A6" s="234" t="s">
        <v>3458</v>
      </c>
      <c r="B6" s="112" t="s">
        <v>3459</v>
      </c>
      <c r="C6" s="111" t="s">
        <v>3460</v>
      </c>
      <c r="D6" s="72" t="s">
        <v>3461</v>
      </c>
      <c r="E6" s="234" t="s">
        <v>3458</v>
      </c>
      <c r="F6" s="112" t="s">
        <v>3459</v>
      </c>
      <c r="G6" s="111" t="s">
        <v>3462</v>
      </c>
      <c r="H6" s="72" t="s">
        <v>3463</v>
      </c>
      <c r="I6" s="234" t="s">
        <v>3458</v>
      </c>
      <c r="J6" s="112" t="s">
        <v>3464</v>
      </c>
      <c r="K6" s="111" t="s">
        <v>3465</v>
      </c>
      <c r="L6" s="72" t="s">
        <v>3466</v>
      </c>
      <c r="M6" s="234" t="s">
        <v>3458</v>
      </c>
      <c r="N6" s="112" t="s">
        <v>3467</v>
      </c>
      <c r="O6" s="111" t="s">
        <v>3468</v>
      </c>
      <c r="P6" s="72" t="s">
        <v>3469</v>
      </c>
      <c r="Q6" s="234" t="s">
        <v>3458</v>
      </c>
      <c r="R6" s="125" t="s">
        <v>3470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3458</v>
      </c>
      <c r="Z6" s="235" t="s">
        <v>3471</v>
      </c>
      <c r="AA6" s="236" t="s">
        <v>3472</v>
      </c>
      <c r="AB6" s="65" t="s">
        <v>3473</v>
      </c>
      <c r="AC6" s="234" t="s">
        <v>3458</v>
      </c>
      <c r="AD6" s="112" t="s">
        <v>3474</v>
      </c>
      <c r="AE6" s="237" t="s">
        <v>3475</v>
      </c>
      <c r="AF6" s="135" t="s">
        <v>3476</v>
      </c>
      <c r="AG6" s="234" t="s">
        <v>3458</v>
      </c>
      <c r="AH6" s="238" t="s">
        <v>3464</v>
      </c>
      <c r="AI6" s="119" t="s">
        <v>3477</v>
      </c>
      <c r="AJ6" s="120" t="s">
        <v>3478</v>
      </c>
      <c r="AK6" s="234" t="s">
        <v>3458</v>
      </c>
      <c r="AL6" s="125" t="s">
        <v>3464</v>
      </c>
      <c r="AM6" s="113" t="s">
        <v>3479</v>
      </c>
      <c r="AN6" s="75" t="s">
        <v>3480</v>
      </c>
      <c r="AO6" s="234" t="s">
        <v>3458</v>
      </c>
      <c r="AP6" s="112" t="s">
        <v>3464</v>
      </c>
      <c r="AQ6" s="111" t="s">
        <v>3481</v>
      </c>
      <c r="AR6" s="72" t="s">
        <v>3482</v>
      </c>
      <c r="AS6" s="75"/>
      <c r="AT6" s="75"/>
    </row>
    <row r="7">
      <c r="A7" s="234" t="s">
        <v>3483</v>
      </c>
      <c r="B7" s="112" t="s">
        <v>3484</v>
      </c>
      <c r="C7" s="111" t="s">
        <v>3485</v>
      </c>
      <c r="D7" s="72" t="s">
        <v>3486</v>
      </c>
      <c r="E7" s="234" t="s">
        <v>3483</v>
      </c>
      <c r="F7" s="112" t="s">
        <v>3487</v>
      </c>
      <c r="G7" s="111" t="s">
        <v>3488</v>
      </c>
      <c r="H7" s="72" t="s">
        <v>3489</v>
      </c>
      <c r="I7" s="234" t="s">
        <v>3483</v>
      </c>
      <c r="J7" s="112" t="s">
        <v>3490</v>
      </c>
      <c r="K7" s="111" t="s">
        <v>3491</v>
      </c>
      <c r="L7" s="72" t="s">
        <v>3492</v>
      </c>
      <c r="M7" s="234" t="s">
        <v>3483</v>
      </c>
      <c r="N7" s="112" t="s">
        <v>3493</v>
      </c>
      <c r="O7" s="111" t="s">
        <v>3494</v>
      </c>
      <c r="P7" s="72" t="s">
        <v>3495</v>
      </c>
      <c r="Q7" s="234" t="s">
        <v>3483</v>
      </c>
      <c r="R7" s="125" t="s">
        <v>3496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3483</v>
      </c>
      <c r="Z7" s="235" t="s">
        <v>3497</v>
      </c>
      <c r="AA7" s="236" t="s">
        <v>3498</v>
      </c>
      <c r="AB7" s="65" t="s">
        <v>3499</v>
      </c>
      <c r="AC7" s="234" t="s">
        <v>3483</v>
      </c>
      <c r="AD7" s="112" t="s">
        <v>3500</v>
      </c>
      <c r="AE7" s="237" t="s">
        <v>3501</v>
      </c>
      <c r="AF7" s="135" t="s">
        <v>3502</v>
      </c>
      <c r="AG7" s="234" t="s">
        <v>3483</v>
      </c>
      <c r="AH7" s="239" t="s">
        <v>3503</v>
      </c>
      <c r="AI7" s="130" t="s">
        <v>3504</v>
      </c>
      <c r="AJ7" s="134" t="s">
        <v>3505</v>
      </c>
      <c r="AK7" s="234" t="s">
        <v>3483</v>
      </c>
      <c r="AL7" s="125" t="s">
        <v>3506</v>
      </c>
      <c r="AM7" s="113" t="s">
        <v>3507</v>
      </c>
      <c r="AN7" s="75" t="s">
        <v>3508</v>
      </c>
      <c r="AO7" s="234" t="s">
        <v>3483</v>
      </c>
      <c r="AP7" s="112" t="s">
        <v>3509</v>
      </c>
      <c r="AQ7" s="111" t="s">
        <v>3510</v>
      </c>
      <c r="AR7" s="72" t="s">
        <v>3511</v>
      </c>
      <c r="AS7" s="75"/>
      <c r="AT7" s="75"/>
    </row>
    <row r="8">
      <c r="A8" s="234" t="s">
        <v>3512</v>
      </c>
      <c r="B8" s="112" t="s">
        <v>3513</v>
      </c>
      <c r="C8" s="111" t="s">
        <v>3514</v>
      </c>
      <c r="D8" s="72" t="s">
        <v>1240</v>
      </c>
      <c r="E8" s="234" t="s">
        <v>3512</v>
      </c>
      <c r="F8" s="112" t="s">
        <v>3515</v>
      </c>
      <c r="G8" s="111" t="s">
        <v>3516</v>
      </c>
      <c r="H8" s="72" t="s">
        <v>1240</v>
      </c>
      <c r="I8" s="234" t="s">
        <v>3512</v>
      </c>
      <c r="J8" s="112" t="s">
        <v>3517</v>
      </c>
      <c r="K8" s="111" t="s">
        <v>3518</v>
      </c>
      <c r="L8" s="72" t="s">
        <v>1240</v>
      </c>
      <c r="M8" s="234" t="s">
        <v>3512</v>
      </c>
      <c r="N8" s="112" t="s">
        <v>3519</v>
      </c>
      <c r="O8" s="111" t="s">
        <v>3520</v>
      </c>
      <c r="P8" s="72" t="s">
        <v>1240</v>
      </c>
      <c r="Q8" s="234" t="s">
        <v>3512</v>
      </c>
      <c r="R8" s="125" t="s">
        <v>3521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1240</v>
      </c>
      <c r="U8" s="234" t="s">
        <v>3512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1240</v>
      </c>
      <c r="Y8" s="234" t="s">
        <v>3512</v>
      </c>
      <c r="Z8" s="235" t="s">
        <v>3522</v>
      </c>
      <c r="AA8" s="236" t="s">
        <v>3523</v>
      </c>
      <c r="AB8" s="65" t="s">
        <v>1240</v>
      </c>
      <c r="AC8" s="234" t="s">
        <v>3512</v>
      </c>
      <c r="AD8" s="112" t="s">
        <v>3524</v>
      </c>
      <c r="AE8" s="237" t="s">
        <v>3525</v>
      </c>
      <c r="AF8" s="135" t="s">
        <v>3526</v>
      </c>
      <c r="AG8" s="234" t="s">
        <v>3512</v>
      </c>
      <c r="AH8" s="238" t="s">
        <v>3527</v>
      </c>
      <c r="AI8" s="119" t="s">
        <v>3528</v>
      </c>
      <c r="AJ8" s="120" t="s">
        <v>1240</v>
      </c>
      <c r="AK8" s="234" t="s">
        <v>3512</v>
      </c>
      <c r="AL8" s="125" t="s">
        <v>3529</v>
      </c>
      <c r="AM8" s="113" t="s">
        <v>3530</v>
      </c>
      <c r="AN8" s="75" t="s">
        <v>1240</v>
      </c>
      <c r="AO8" s="234" t="s">
        <v>3512</v>
      </c>
      <c r="AP8" s="112" t="s">
        <v>3531</v>
      </c>
      <c r="AQ8" s="111" t="s">
        <v>3532</v>
      </c>
      <c r="AR8" s="72" t="s">
        <v>1240</v>
      </c>
      <c r="AS8" s="75"/>
      <c r="AT8" s="75"/>
    </row>
    <row r="9">
      <c r="A9" s="234" t="s">
        <v>3533</v>
      </c>
      <c r="B9" s="112" t="s">
        <v>3534</v>
      </c>
      <c r="C9" s="111" t="s">
        <v>3535</v>
      </c>
      <c r="D9" s="72" t="s">
        <v>3536</v>
      </c>
      <c r="E9" s="234" t="s">
        <v>3533</v>
      </c>
      <c r="F9" s="112" t="s">
        <v>3537</v>
      </c>
      <c r="G9" s="111" t="s">
        <v>3538</v>
      </c>
      <c r="H9" s="72" t="s">
        <v>3539</v>
      </c>
      <c r="I9" s="234" t="s">
        <v>3533</v>
      </c>
      <c r="J9" s="112" t="s">
        <v>3540</v>
      </c>
      <c r="K9" s="111" t="s">
        <v>3541</v>
      </c>
      <c r="L9" s="72" t="s">
        <v>3542</v>
      </c>
      <c r="M9" s="234" t="s">
        <v>3533</v>
      </c>
      <c r="N9" s="112" t="s">
        <v>3543</v>
      </c>
      <c r="O9" s="111" t="s">
        <v>3544</v>
      </c>
      <c r="P9" s="72" t="s">
        <v>3545</v>
      </c>
      <c r="Q9" s="234" t="s">
        <v>3533</v>
      </c>
      <c r="R9" s="125" t="s">
        <v>3546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3533</v>
      </c>
      <c r="Z9" s="235" t="s">
        <v>3547</v>
      </c>
      <c r="AA9" s="236" t="s">
        <v>3548</v>
      </c>
      <c r="AB9" s="65" t="s">
        <v>3549</v>
      </c>
      <c r="AC9" s="234" t="s">
        <v>3533</v>
      </c>
      <c r="AD9" s="112" t="s">
        <v>3550</v>
      </c>
      <c r="AE9" s="237" t="s">
        <v>3551</v>
      </c>
      <c r="AF9" s="135" t="s">
        <v>3552</v>
      </c>
      <c r="AG9" s="234" t="s">
        <v>3533</v>
      </c>
      <c r="AH9" s="238" t="s">
        <v>3553</v>
      </c>
      <c r="AI9" s="119" t="s">
        <v>3554</v>
      </c>
      <c r="AJ9" s="120" t="s">
        <v>3555</v>
      </c>
      <c r="AK9" s="234" t="s">
        <v>3533</v>
      </c>
      <c r="AL9" s="125" t="s">
        <v>3556</v>
      </c>
      <c r="AM9" s="113" t="s">
        <v>3557</v>
      </c>
      <c r="AN9" s="75" t="s">
        <v>3558</v>
      </c>
      <c r="AO9" s="234" t="s">
        <v>3533</v>
      </c>
      <c r="AP9" s="112" t="s">
        <v>3559</v>
      </c>
      <c r="AQ9" s="111" t="s">
        <v>3560</v>
      </c>
      <c r="AR9" s="72" t="s">
        <v>3561</v>
      </c>
      <c r="AS9" s="75"/>
      <c r="AT9" s="75"/>
    </row>
    <row r="10">
      <c r="A10" s="234" t="s">
        <v>3562</v>
      </c>
      <c r="B10" s="112" t="s">
        <v>3563</v>
      </c>
      <c r="C10" s="111" t="s">
        <v>3564</v>
      </c>
      <c r="D10" s="240" t="s">
        <v>3565</v>
      </c>
      <c r="E10" s="234" t="s">
        <v>3562</v>
      </c>
      <c r="F10" s="112" t="s">
        <v>3566</v>
      </c>
      <c r="G10" s="111" t="s">
        <v>3567</v>
      </c>
      <c r="H10" s="72" t="s">
        <v>3568</v>
      </c>
      <c r="I10" s="234" t="s">
        <v>3562</v>
      </c>
      <c r="J10" s="112" t="s">
        <v>3563</v>
      </c>
      <c r="K10" s="111" t="s">
        <v>3569</v>
      </c>
      <c r="L10" s="72" t="s">
        <v>3570</v>
      </c>
      <c r="M10" s="234" t="s">
        <v>3562</v>
      </c>
      <c r="N10" s="112" t="s">
        <v>3563</v>
      </c>
      <c r="O10" s="111" t="s">
        <v>3571</v>
      </c>
      <c r="P10" s="72" t="s">
        <v>3572</v>
      </c>
      <c r="Q10" s="234" t="s">
        <v>3562</v>
      </c>
      <c r="R10" s="125" t="s">
        <v>3573</v>
      </c>
      <c r="S10" s="111" t="s">
        <v>3574</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3562</v>
      </c>
      <c r="Z10" s="235" t="s">
        <v>3563</v>
      </c>
      <c r="AA10" s="236" t="s">
        <v>3575</v>
      </c>
      <c r="AB10" s="65" t="s">
        <v>3576</v>
      </c>
      <c r="AC10" s="234" t="s">
        <v>3562</v>
      </c>
      <c r="AD10" s="112" t="s">
        <v>3563</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3577</v>
      </c>
      <c r="AG10" s="234" t="s">
        <v>3562</v>
      </c>
      <c r="AH10" s="238" t="s">
        <v>3563</v>
      </c>
      <c r="AI10" s="130" t="s">
        <v>3578</v>
      </c>
      <c r="AJ10" s="134" t="s">
        <v>3579</v>
      </c>
      <c r="AK10" s="234" t="s">
        <v>3562</v>
      </c>
      <c r="AL10" s="125" t="s">
        <v>3563</v>
      </c>
      <c r="AM10" s="111" t="s">
        <v>3580</v>
      </c>
      <c r="AN10" s="72" t="s">
        <v>3581</v>
      </c>
      <c r="AO10" s="234" t="s">
        <v>3562</v>
      </c>
      <c r="AP10" s="108" t="s">
        <v>3563</v>
      </c>
      <c r="AQ10" s="113" t="s">
        <v>3582</v>
      </c>
      <c r="AR10" s="75" t="s">
        <v>3583</v>
      </c>
      <c r="AS10" s="75"/>
      <c r="AT10" s="75"/>
    </row>
    <row r="11">
      <c r="A11" s="234" t="s">
        <v>3584</v>
      </c>
      <c r="B11" s="112" t="s">
        <v>3585</v>
      </c>
      <c r="C11" s="111" t="s">
        <v>3586</v>
      </c>
      <c r="D11" s="72" t="s">
        <v>3587</v>
      </c>
      <c r="E11" s="234" t="s">
        <v>3584</v>
      </c>
      <c r="F11" s="112" t="s">
        <v>3588</v>
      </c>
      <c r="G11" s="111" t="s">
        <v>3589</v>
      </c>
      <c r="H11" s="72" t="s">
        <v>3590</v>
      </c>
      <c r="I11" s="234" t="s">
        <v>3584</v>
      </c>
      <c r="J11" s="112" t="s">
        <v>3591</v>
      </c>
      <c r="K11" s="111" t="s">
        <v>3592</v>
      </c>
      <c r="L11" s="72" t="s">
        <v>3593</v>
      </c>
      <c r="M11" s="234" t="s">
        <v>3584</v>
      </c>
      <c r="N11" s="112" t="s">
        <v>3594</v>
      </c>
      <c r="O11" s="111" t="s">
        <v>3595</v>
      </c>
      <c r="P11" s="72" t="s">
        <v>3596</v>
      </c>
      <c r="Q11" s="234" t="s">
        <v>3584</v>
      </c>
      <c r="R11" s="112" t="s">
        <v>3597</v>
      </c>
      <c r="S11" s="111" t="s">
        <v>3598</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3584</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3584</v>
      </c>
      <c r="Z11" s="235" t="s">
        <v>3599</v>
      </c>
      <c r="AA11" s="236" t="s">
        <v>3600</v>
      </c>
      <c r="AB11" s="71" t="s">
        <v>3601</v>
      </c>
      <c r="AC11" s="234" t="s">
        <v>3584</v>
      </c>
      <c r="AD11" s="112" t="s">
        <v>3602</v>
      </c>
      <c r="AE11" s="237" t="s">
        <v>3603</v>
      </c>
      <c r="AF11" s="135" t="s">
        <v>3604</v>
      </c>
      <c r="AG11" s="234" t="s">
        <v>3584</v>
      </c>
      <c r="AH11" s="239" t="s">
        <v>3605</v>
      </c>
      <c r="AI11" s="130" t="s">
        <v>3606</v>
      </c>
      <c r="AJ11" s="134" t="s">
        <v>3607</v>
      </c>
      <c r="AK11" s="234" t="s">
        <v>3584</v>
      </c>
      <c r="AL11" s="125" t="s">
        <v>3608</v>
      </c>
      <c r="AM11" s="113" t="s">
        <v>3609</v>
      </c>
      <c r="AN11" s="75" t="s">
        <v>3610</v>
      </c>
      <c r="AO11" s="234" t="s">
        <v>3584</v>
      </c>
      <c r="AP11" s="108" t="s">
        <v>3611</v>
      </c>
      <c r="AQ11" s="113" t="s">
        <v>3612</v>
      </c>
      <c r="AR11" s="75" t="s">
        <v>3613</v>
      </c>
      <c r="AS11" s="75"/>
      <c r="AT11" s="75"/>
    </row>
    <row r="12">
      <c r="A12" s="234" t="s">
        <v>3614</v>
      </c>
      <c r="B12" s="112" t="s">
        <v>3615</v>
      </c>
      <c r="C12" s="111" t="s">
        <v>3616</v>
      </c>
      <c r="D12" s="72" t="s">
        <v>3617</v>
      </c>
      <c r="E12" s="234" t="s">
        <v>3618</v>
      </c>
      <c r="F12" s="112" t="s">
        <v>3619</v>
      </c>
      <c r="G12" s="111" t="s">
        <v>3620</v>
      </c>
      <c r="H12" s="72" t="s">
        <v>3621</v>
      </c>
      <c r="I12" s="234" t="s">
        <v>3618</v>
      </c>
      <c r="J12" s="112" t="s">
        <v>3622</v>
      </c>
      <c r="K12" s="111" t="s">
        <v>3623</v>
      </c>
      <c r="L12" s="72" t="s">
        <v>3624</v>
      </c>
      <c r="M12" s="234" t="s">
        <v>3618</v>
      </c>
      <c r="N12" s="112" t="s">
        <v>3625</v>
      </c>
      <c r="O12" s="111" t="s">
        <v>3626</v>
      </c>
      <c r="P12" s="72" t="s">
        <v>3627</v>
      </c>
      <c r="Q12" s="234" t="s">
        <v>3618</v>
      </c>
      <c r="R12" s="112" t="s">
        <v>3628</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3618</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3618</v>
      </c>
      <c r="Z12" s="235" t="s">
        <v>3629</v>
      </c>
      <c r="AA12" s="236" t="s">
        <v>3630</v>
      </c>
      <c r="AB12" s="65" t="s">
        <v>3631</v>
      </c>
      <c r="AC12" s="234" t="s">
        <v>3618</v>
      </c>
      <c r="AD12" s="112" t="s">
        <v>3632</v>
      </c>
      <c r="AE12" s="237" t="s">
        <v>3633</v>
      </c>
      <c r="AF12" s="135" t="s">
        <v>3634</v>
      </c>
      <c r="AG12" s="234" t="s">
        <v>3618</v>
      </c>
      <c r="AH12" s="239" t="s">
        <v>3635</v>
      </c>
      <c r="AI12" s="119" t="s">
        <v>3636</v>
      </c>
      <c r="AJ12" s="120" t="s">
        <v>3637</v>
      </c>
      <c r="AK12" s="234" t="s">
        <v>3618</v>
      </c>
      <c r="AL12" s="112" t="s">
        <v>3638</v>
      </c>
      <c r="AM12" s="113" t="s">
        <v>3639</v>
      </c>
      <c r="AN12" s="75" t="s">
        <v>3640</v>
      </c>
      <c r="AO12" s="234" t="s">
        <v>3618</v>
      </c>
      <c r="AP12" s="112" t="s">
        <v>3641</v>
      </c>
      <c r="AQ12" s="113" t="s">
        <v>3642</v>
      </c>
      <c r="AR12" s="75" t="s">
        <v>3643</v>
      </c>
      <c r="AS12" s="75"/>
      <c r="AT12" s="75"/>
    </row>
    <row r="13">
      <c r="A13" s="234" t="s">
        <v>3618</v>
      </c>
      <c r="B13" s="112" t="s">
        <v>3615</v>
      </c>
      <c r="C13" s="111" t="s">
        <v>3644</v>
      </c>
      <c r="D13" s="72" t="s">
        <v>3645</v>
      </c>
      <c r="E13" s="234" t="s">
        <v>3646</v>
      </c>
      <c r="F13" s="112" t="s">
        <v>3647</v>
      </c>
      <c r="G13" s="111" t="s">
        <v>3648</v>
      </c>
      <c r="H13" s="72" t="s">
        <v>3649</v>
      </c>
      <c r="I13" s="234" t="s">
        <v>3646</v>
      </c>
      <c r="J13" s="112" t="s">
        <v>3622</v>
      </c>
      <c r="K13" s="111" t="s">
        <v>3650</v>
      </c>
      <c r="L13" s="72" t="s">
        <v>3651</v>
      </c>
      <c r="M13" s="234" t="s">
        <v>3646</v>
      </c>
      <c r="N13" s="112" t="s">
        <v>3625</v>
      </c>
      <c r="O13" s="111" t="s">
        <v>3652</v>
      </c>
      <c r="P13" s="72" t="s">
        <v>3653</v>
      </c>
      <c r="Q13" s="234" t="s">
        <v>3646</v>
      </c>
      <c r="R13" s="112" t="s">
        <v>3628</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3646</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3646</v>
      </c>
      <c r="Z13" s="235" t="s">
        <v>3654</v>
      </c>
      <c r="AA13" s="236" t="s">
        <v>3655</v>
      </c>
      <c r="AB13" s="65" t="s">
        <v>3656</v>
      </c>
      <c r="AC13" s="234" t="s">
        <v>3646</v>
      </c>
      <c r="AD13" s="112" t="s">
        <v>3657</v>
      </c>
      <c r="AE13" s="237" t="s">
        <v>3658</v>
      </c>
      <c r="AF13" s="135" t="s">
        <v>3659</v>
      </c>
      <c r="AG13" s="234" t="s">
        <v>3646</v>
      </c>
      <c r="AH13" s="239" t="s">
        <v>3635</v>
      </c>
      <c r="AI13" s="119" t="s">
        <v>3660</v>
      </c>
      <c r="AJ13" s="120" t="s">
        <v>3661</v>
      </c>
      <c r="AK13" s="234" t="s">
        <v>3646</v>
      </c>
      <c r="AL13" s="112" t="s">
        <v>3638</v>
      </c>
      <c r="AM13" s="113" t="s">
        <v>3662</v>
      </c>
      <c r="AN13" s="75" t="s">
        <v>3663</v>
      </c>
      <c r="AO13" s="234" t="s">
        <v>3646</v>
      </c>
      <c r="AP13" s="112" t="s">
        <v>3641</v>
      </c>
      <c r="AQ13" s="113" t="s">
        <v>3664</v>
      </c>
      <c r="AR13" s="75" t="s">
        <v>3665</v>
      </c>
      <c r="AS13" s="75"/>
      <c r="AT13" s="75"/>
    </row>
    <row r="14">
      <c r="A14" s="229"/>
      <c r="B14" s="230" t="s">
        <v>3666</v>
      </c>
      <c r="E14" s="229"/>
      <c r="F14" s="229"/>
      <c r="I14" s="229"/>
      <c r="J14" s="230" t="s">
        <v>3667</v>
      </c>
      <c r="M14" s="229"/>
      <c r="N14" s="228" t="s">
        <v>3668</v>
      </c>
      <c r="Q14" s="229"/>
      <c r="R14" s="229"/>
      <c r="U14" s="229"/>
      <c r="V14" s="231"/>
      <c r="Y14" s="229"/>
      <c r="Z14" s="232" t="s">
        <v>3669</v>
      </c>
      <c r="AC14" s="229"/>
      <c r="AD14" s="229"/>
      <c r="AG14" s="229"/>
      <c r="AH14" s="229"/>
      <c r="AK14" s="229"/>
      <c r="AL14" s="242" t="s">
        <v>3670</v>
      </c>
      <c r="AO14" s="229"/>
      <c r="AP14" s="229"/>
      <c r="AS14" s="231"/>
      <c r="AT14" s="231"/>
    </row>
    <row r="15">
      <c r="A15" s="234" t="s">
        <v>3671</v>
      </c>
      <c r="B15" s="112" t="s">
        <v>3672</v>
      </c>
      <c r="C15" s="111" t="s">
        <v>3673</v>
      </c>
      <c r="D15" s="72" t="s">
        <v>3674</v>
      </c>
      <c r="E15" s="234" t="s">
        <v>3671</v>
      </c>
      <c r="F15" s="112" t="s">
        <v>3675</v>
      </c>
      <c r="G15" s="111" t="s">
        <v>3676</v>
      </c>
      <c r="H15" s="72" t="s">
        <v>3677</v>
      </c>
      <c r="I15" s="234" t="s">
        <v>3671</v>
      </c>
      <c r="J15" s="112" t="s">
        <v>3678</v>
      </c>
      <c r="K15" s="111" t="s">
        <v>3679</v>
      </c>
      <c r="L15" s="72" t="s">
        <v>3680</v>
      </c>
      <c r="M15" s="234" t="s">
        <v>3671</v>
      </c>
      <c r="N15" s="112" t="s">
        <v>3672</v>
      </c>
      <c r="O15" s="111" t="s">
        <v>3681</v>
      </c>
      <c r="P15" s="72" t="s">
        <v>3682</v>
      </c>
      <c r="Q15" s="234" t="s">
        <v>3671</v>
      </c>
      <c r="R15" s="125" t="s">
        <v>3683</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3671</v>
      </c>
      <c r="V15" s="112" t="s">
        <v>3684</v>
      </c>
      <c r="W15" s="111" t="s">
        <v>3685</v>
      </c>
      <c r="X15" s="72" t="s">
        <v>3686</v>
      </c>
      <c r="Y15" s="234" t="s">
        <v>3671</v>
      </c>
      <c r="Z15" s="235" t="s">
        <v>3687</v>
      </c>
      <c r="AA15" s="236" t="s">
        <v>3688</v>
      </c>
      <c r="AB15" s="65" t="s">
        <v>3689</v>
      </c>
      <c r="AC15" s="234" t="s">
        <v>3671</v>
      </c>
      <c r="AD15" s="112" t="s">
        <v>3690</v>
      </c>
      <c r="AE15" s="237" t="s">
        <v>3691</v>
      </c>
      <c r="AF15" s="135" t="s">
        <v>3692</v>
      </c>
      <c r="AG15" s="234" t="s">
        <v>3671</v>
      </c>
      <c r="AH15" s="238" t="s">
        <v>3693</v>
      </c>
      <c r="AI15" s="119" t="s">
        <v>3694</v>
      </c>
      <c r="AJ15" s="120" t="s">
        <v>3695</v>
      </c>
      <c r="AK15" s="234" t="s">
        <v>3671</v>
      </c>
      <c r="AL15" s="125" t="s">
        <v>3696</v>
      </c>
      <c r="AM15" s="113" t="s">
        <v>3697</v>
      </c>
      <c r="AN15" s="75" t="s">
        <v>3698</v>
      </c>
      <c r="AO15" s="234" t="s">
        <v>3671</v>
      </c>
      <c r="AP15" s="112" t="s">
        <v>3678</v>
      </c>
      <c r="AQ15" s="111" t="s">
        <v>3699</v>
      </c>
      <c r="AR15" s="72" t="s">
        <v>3700</v>
      </c>
      <c r="AS15" s="75"/>
      <c r="AT15" s="75"/>
    </row>
    <row r="16">
      <c r="A16" s="234" t="s">
        <v>3701</v>
      </c>
      <c r="B16" s="112" t="s">
        <v>3702</v>
      </c>
      <c r="C16" s="111" t="s">
        <v>3703</v>
      </c>
      <c r="D16" s="72" t="s">
        <v>3704</v>
      </c>
      <c r="E16" s="234" t="s">
        <v>3701</v>
      </c>
      <c r="F16" s="112" t="s">
        <v>3705</v>
      </c>
      <c r="G16" s="111" t="s">
        <v>3706</v>
      </c>
      <c r="H16" s="72" t="s">
        <v>3707</v>
      </c>
      <c r="I16" s="234" t="s">
        <v>3701</v>
      </c>
      <c r="J16" s="112" t="s">
        <v>3708</v>
      </c>
      <c r="K16" s="111" t="s">
        <v>3709</v>
      </c>
      <c r="L16" s="72" t="s">
        <v>3710</v>
      </c>
      <c r="M16" s="234" t="s">
        <v>3701</v>
      </c>
      <c r="N16" s="112" t="s">
        <v>3711</v>
      </c>
      <c r="O16" s="113" t="s">
        <v>3712</v>
      </c>
      <c r="P16" s="75" t="s">
        <v>3713</v>
      </c>
      <c r="Q16" s="234" t="s">
        <v>3701</v>
      </c>
      <c r="R16" s="125" t="s">
        <v>3714</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3701</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3701</v>
      </c>
      <c r="Z16" s="235" t="s">
        <v>3715</v>
      </c>
      <c r="AA16" s="236" t="s">
        <v>3716</v>
      </c>
      <c r="AB16" s="65" t="s">
        <v>3717</v>
      </c>
      <c r="AC16" s="234" t="s">
        <v>3701</v>
      </c>
      <c r="AD16" s="112" t="s">
        <v>3718</v>
      </c>
      <c r="AE16" s="111" t="s">
        <v>3719</v>
      </c>
      <c r="AF16" s="72" t="s">
        <v>3720</v>
      </c>
      <c r="AG16" s="234" t="s">
        <v>3701</v>
      </c>
      <c r="AH16" s="238" t="s">
        <v>3721</v>
      </c>
      <c r="AI16" s="119" t="s">
        <v>3722</v>
      </c>
      <c r="AJ16" s="120" t="s">
        <v>3723</v>
      </c>
      <c r="AK16" s="234" t="s">
        <v>3701</v>
      </c>
      <c r="AL16" s="125" t="s">
        <v>3724</v>
      </c>
      <c r="AM16" s="113" t="s">
        <v>3725</v>
      </c>
      <c r="AN16" s="75" t="s">
        <v>3726</v>
      </c>
      <c r="AO16" s="234" t="s">
        <v>3701</v>
      </c>
      <c r="AP16" s="108" t="s">
        <v>3727</v>
      </c>
      <c r="AQ16" s="113" t="s">
        <v>3728</v>
      </c>
      <c r="AR16" s="75" t="s">
        <v>3729</v>
      </c>
      <c r="AS16" s="75"/>
      <c r="AT16" s="75"/>
    </row>
    <row r="17">
      <c r="A17" s="234" t="s">
        <v>3730</v>
      </c>
      <c r="B17" s="112" t="s">
        <v>3731</v>
      </c>
      <c r="C17" s="111" t="s">
        <v>3732</v>
      </c>
      <c r="D17" s="72" t="s">
        <v>3733</v>
      </c>
      <c r="E17" s="234" t="s">
        <v>3730</v>
      </c>
      <c r="F17" s="112" t="s">
        <v>3734</v>
      </c>
      <c r="G17" s="111" t="s">
        <v>3735</v>
      </c>
      <c r="H17" s="72" t="s">
        <v>3736</v>
      </c>
      <c r="I17" s="234" t="s">
        <v>3730</v>
      </c>
      <c r="J17" s="112" t="s">
        <v>3737</v>
      </c>
      <c r="K17" s="111" t="s">
        <v>3738</v>
      </c>
      <c r="L17" s="72" t="s">
        <v>3739</v>
      </c>
      <c r="M17" s="234" t="s">
        <v>3730</v>
      </c>
      <c r="N17" s="112" t="s">
        <v>3740</v>
      </c>
      <c r="O17" s="113" t="s">
        <v>3741</v>
      </c>
      <c r="P17" s="75" t="s">
        <v>3742</v>
      </c>
      <c r="Q17" s="234" t="s">
        <v>3730</v>
      </c>
      <c r="R17" s="125" t="s">
        <v>3743</v>
      </c>
      <c r="S17" s="113" t="str">
        <f>IFERROR(__xludf.DUMMYFUNCTION("GOOGLETRANSLATE(C17,""zh-tw"",""es-MX"")"),"Hay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3730</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3730</v>
      </c>
      <c r="Z17" s="235" t="s">
        <v>3744</v>
      </c>
      <c r="AA17" s="236" t="s">
        <v>3745</v>
      </c>
      <c r="AB17" s="65" t="s">
        <v>3746</v>
      </c>
      <c r="AC17" s="234" t="s">
        <v>3730</v>
      </c>
      <c r="AD17" s="112" t="s">
        <v>3747</v>
      </c>
      <c r="AE17" s="111" t="s">
        <v>3748</v>
      </c>
      <c r="AF17" s="72" t="s">
        <v>3749</v>
      </c>
      <c r="AG17" s="234" t="s">
        <v>3730</v>
      </c>
      <c r="AH17" s="238" t="s">
        <v>3750</v>
      </c>
      <c r="AI17" s="119" t="s">
        <v>3751</v>
      </c>
      <c r="AJ17" s="120" t="s">
        <v>3752</v>
      </c>
      <c r="AK17" s="234" t="s">
        <v>3730</v>
      </c>
      <c r="AL17" s="125" t="s">
        <v>3753</v>
      </c>
      <c r="AM17" s="113" t="s">
        <v>3754</v>
      </c>
      <c r="AN17" s="75" t="s">
        <v>3755</v>
      </c>
      <c r="AO17" s="234" t="s">
        <v>3730</v>
      </c>
      <c r="AP17" s="108" t="s">
        <v>3756</v>
      </c>
      <c r="AQ17" s="113" t="s">
        <v>3757</v>
      </c>
      <c r="AR17" s="75" t="s">
        <v>3758</v>
      </c>
      <c r="AS17" s="75"/>
      <c r="AT17" s="75"/>
    </row>
    <row r="18">
      <c r="A18" s="234" t="s">
        <v>3759</v>
      </c>
      <c r="B18" s="112" t="s">
        <v>3615</v>
      </c>
      <c r="C18" s="111" t="s">
        <v>3760</v>
      </c>
      <c r="D18" s="72" t="s">
        <v>3761</v>
      </c>
      <c r="E18" s="234" t="s">
        <v>3759</v>
      </c>
      <c r="F18" s="112" t="s">
        <v>3619</v>
      </c>
      <c r="G18" s="111" t="s">
        <v>3762</v>
      </c>
      <c r="H18" s="72" t="s">
        <v>3763</v>
      </c>
      <c r="I18" s="234" t="s">
        <v>3759</v>
      </c>
      <c r="J18" s="112" t="s">
        <v>3622</v>
      </c>
      <c r="K18" s="111" t="s">
        <v>3764</v>
      </c>
      <c r="L18" s="72" t="s">
        <v>3765</v>
      </c>
      <c r="M18" s="234" t="s">
        <v>3759</v>
      </c>
      <c r="N18" s="112" t="s">
        <v>3625</v>
      </c>
      <c r="O18" s="111" t="s">
        <v>3766</v>
      </c>
      <c r="P18" s="72" t="s">
        <v>3767</v>
      </c>
      <c r="Q18" s="234" t="s">
        <v>3759</v>
      </c>
      <c r="R18" s="112" t="s">
        <v>3768</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3759</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3759</v>
      </c>
      <c r="Z18" s="235" t="s">
        <v>3654</v>
      </c>
      <c r="AA18" s="236" t="s">
        <v>3769</v>
      </c>
      <c r="AB18" s="65" t="s">
        <v>3770</v>
      </c>
      <c r="AC18" s="234" t="s">
        <v>3759</v>
      </c>
      <c r="AD18" s="112" t="s">
        <v>3632</v>
      </c>
      <c r="AE18" s="237" t="s">
        <v>3771</v>
      </c>
      <c r="AF18" s="135" t="s">
        <v>3772</v>
      </c>
      <c r="AG18" s="234" t="s">
        <v>3759</v>
      </c>
      <c r="AH18" s="239" t="s">
        <v>3635</v>
      </c>
      <c r="AI18" s="119" t="s">
        <v>3773</v>
      </c>
      <c r="AJ18" s="120" t="s">
        <v>3774</v>
      </c>
      <c r="AK18" s="234" t="s">
        <v>3759</v>
      </c>
      <c r="AL18" s="112" t="s">
        <v>3638</v>
      </c>
      <c r="AM18" s="113" t="s">
        <v>3775</v>
      </c>
      <c r="AN18" s="75" t="s">
        <v>3776</v>
      </c>
      <c r="AO18" s="234" t="s">
        <v>3759</v>
      </c>
      <c r="AP18" s="112" t="s">
        <v>3641</v>
      </c>
      <c r="AQ18" s="113" t="s">
        <v>3777</v>
      </c>
      <c r="AR18" s="75" t="s">
        <v>3778</v>
      </c>
      <c r="AS18" s="75"/>
      <c r="AT18" s="75"/>
    </row>
    <row r="19">
      <c r="A19" s="234" t="s">
        <v>3779</v>
      </c>
      <c r="B19" s="112" t="s">
        <v>3780</v>
      </c>
      <c r="C19" s="111" t="s">
        <v>3781</v>
      </c>
      <c r="D19" s="72" t="s">
        <v>3782</v>
      </c>
      <c r="E19" s="234" t="s">
        <v>3779</v>
      </c>
      <c r="F19" s="112" t="s">
        <v>3783</v>
      </c>
      <c r="G19" s="111" t="s">
        <v>3784</v>
      </c>
      <c r="H19" s="72" t="s">
        <v>3785</v>
      </c>
      <c r="I19" s="234" t="s">
        <v>3779</v>
      </c>
      <c r="J19" s="112" t="s">
        <v>3786</v>
      </c>
      <c r="K19" s="111" t="s">
        <v>3787</v>
      </c>
      <c r="L19" s="72" t="s">
        <v>3788</v>
      </c>
      <c r="M19" s="234" t="s">
        <v>3779</v>
      </c>
      <c r="N19" s="112" t="s">
        <v>3780</v>
      </c>
      <c r="O19" s="113" t="s">
        <v>3789</v>
      </c>
      <c r="P19" s="75" t="s">
        <v>3790</v>
      </c>
      <c r="Q19" s="234" t="s">
        <v>3779</v>
      </c>
      <c r="R19" s="125" t="s">
        <v>3791</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3779</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3779</v>
      </c>
      <c r="Z19" s="243" t="s">
        <v>3792</v>
      </c>
      <c r="AA19" s="236" t="s">
        <v>3793</v>
      </c>
      <c r="AB19" s="71" t="s">
        <v>3794</v>
      </c>
      <c r="AC19" s="234" t="s">
        <v>3779</v>
      </c>
      <c r="AD19" s="112" t="s">
        <v>3795</v>
      </c>
      <c r="AE19" s="237" t="s">
        <v>3796</v>
      </c>
      <c r="AF19" s="135" t="s">
        <v>3797</v>
      </c>
      <c r="AG19" s="234" t="s">
        <v>3779</v>
      </c>
      <c r="AH19" s="244" t="s">
        <v>3798</v>
      </c>
      <c r="AI19" s="245" t="s">
        <v>3799</v>
      </c>
      <c r="AJ19" s="246" t="s">
        <v>3800</v>
      </c>
      <c r="AK19" s="234" t="s">
        <v>3779</v>
      </c>
      <c r="AL19" s="112" t="s">
        <v>3801</v>
      </c>
      <c r="AM19" s="111" t="s">
        <v>3802</v>
      </c>
      <c r="AN19" s="72" t="s">
        <v>3803</v>
      </c>
      <c r="AO19" s="234" t="s">
        <v>3779</v>
      </c>
      <c r="AP19" s="108" t="s">
        <v>3804</v>
      </c>
      <c r="AQ19" s="113" t="s">
        <v>3805</v>
      </c>
      <c r="AR19" s="75" t="s">
        <v>3806</v>
      </c>
      <c r="AS19" s="75"/>
      <c r="AT19" s="75"/>
    </row>
    <row r="20">
      <c r="A20" s="234" t="s">
        <v>3807</v>
      </c>
      <c r="B20" s="112" t="s">
        <v>3808</v>
      </c>
      <c r="C20" s="122" t="s">
        <v>3809</v>
      </c>
      <c r="D20" s="129" t="s">
        <v>3810</v>
      </c>
      <c r="E20" s="234" t="s">
        <v>3807</v>
      </c>
      <c r="F20" s="112" t="s">
        <v>3811</v>
      </c>
      <c r="G20" s="111" t="s">
        <v>3812</v>
      </c>
      <c r="H20" s="72" t="s">
        <v>3813</v>
      </c>
      <c r="I20" s="234" t="s">
        <v>3807</v>
      </c>
      <c r="J20" s="112" t="s">
        <v>3814</v>
      </c>
      <c r="K20" s="111" t="s">
        <v>3815</v>
      </c>
      <c r="L20" s="72" t="s">
        <v>3816</v>
      </c>
      <c r="M20" s="234" t="s">
        <v>3807</v>
      </c>
      <c r="N20" s="112" t="s">
        <v>3817</v>
      </c>
      <c r="O20" s="111" t="s">
        <v>3818</v>
      </c>
      <c r="P20" s="72" t="s">
        <v>3819</v>
      </c>
      <c r="Q20" s="234" t="s">
        <v>3807</v>
      </c>
      <c r="R20" s="125" t="s">
        <v>3820</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3807</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3807</v>
      </c>
      <c r="Z20" s="235" t="s">
        <v>3821</v>
      </c>
      <c r="AA20" s="236" t="s">
        <v>3822</v>
      </c>
      <c r="AB20" s="65" t="s">
        <v>3823</v>
      </c>
      <c r="AC20" s="234" t="s">
        <v>3807</v>
      </c>
      <c r="AD20" s="112" t="s">
        <v>3824</v>
      </c>
      <c r="AE20" s="111" t="s">
        <v>3825</v>
      </c>
      <c r="AF20" s="72" t="s">
        <v>3826</v>
      </c>
      <c r="AG20" s="234" t="s">
        <v>3807</v>
      </c>
      <c r="AH20" s="248" t="s">
        <v>3827</v>
      </c>
      <c r="AI20" s="119" t="s">
        <v>3828</v>
      </c>
      <c r="AJ20" s="188" t="s">
        <v>3829</v>
      </c>
      <c r="AK20" s="234" t="s">
        <v>3807</v>
      </c>
      <c r="AL20" s="249" t="s">
        <v>3830</v>
      </c>
      <c r="AM20" s="113" t="s">
        <v>3831</v>
      </c>
      <c r="AN20" s="75" t="s">
        <v>3832</v>
      </c>
      <c r="AO20" s="234" t="s">
        <v>3807</v>
      </c>
      <c r="AP20" s="108" t="s">
        <v>3833</v>
      </c>
      <c r="AQ20" s="113" t="s">
        <v>3834</v>
      </c>
      <c r="AR20" s="75" t="s">
        <v>3835</v>
      </c>
      <c r="AS20" s="75"/>
      <c r="AT20" s="75"/>
    </row>
    <row r="21">
      <c r="A21" s="229"/>
      <c r="B21" s="228" t="s">
        <v>3836</v>
      </c>
      <c r="E21" s="229"/>
      <c r="F21" s="231"/>
      <c r="I21" s="229"/>
      <c r="J21" s="230" t="s">
        <v>3837</v>
      </c>
      <c r="M21" s="229"/>
      <c r="N21" s="228" t="s">
        <v>3838</v>
      </c>
      <c r="Q21" s="229"/>
      <c r="R21" s="231"/>
      <c r="U21" s="229"/>
      <c r="V21" s="231"/>
      <c r="Y21" s="229"/>
      <c r="Z21" s="232" t="s">
        <v>3839</v>
      </c>
      <c r="AC21" s="229"/>
      <c r="AD21" s="229"/>
      <c r="AG21" s="229"/>
      <c r="AH21" s="231"/>
      <c r="AK21" s="229"/>
      <c r="AL21" s="233" t="s">
        <v>3840</v>
      </c>
      <c r="AO21" s="229"/>
      <c r="AP21" s="229"/>
      <c r="AS21" s="231"/>
      <c r="AT21" s="231"/>
    </row>
    <row r="22">
      <c r="A22" s="234" t="s">
        <v>3841</v>
      </c>
      <c r="B22" s="112" t="s">
        <v>3842</v>
      </c>
      <c r="C22" s="111" t="s">
        <v>3843</v>
      </c>
      <c r="D22" s="72" t="s">
        <v>3844</v>
      </c>
      <c r="E22" s="234" t="s">
        <v>3841</v>
      </c>
      <c r="F22" s="112" t="s">
        <v>3845</v>
      </c>
      <c r="G22" s="111" t="s">
        <v>3846</v>
      </c>
      <c r="H22" s="72" t="s">
        <v>3847</v>
      </c>
      <c r="I22" s="234" t="s">
        <v>3841</v>
      </c>
      <c r="J22" s="112" t="s">
        <v>3848</v>
      </c>
      <c r="K22" s="111" t="s">
        <v>3849</v>
      </c>
      <c r="L22" s="72" t="s">
        <v>3850</v>
      </c>
      <c r="M22" s="234" t="s">
        <v>3841</v>
      </c>
      <c r="N22" s="112" t="s">
        <v>3851</v>
      </c>
      <c r="O22" s="111" t="s">
        <v>3852</v>
      </c>
      <c r="P22" s="72" t="s">
        <v>3853</v>
      </c>
      <c r="Q22" s="234" t="s">
        <v>3841</v>
      </c>
      <c r="R22" s="112" t="s">
        <v>3854</v>
      </c>
      <c r="S22" s="111" t="s">
        <v>3855</v>
      </c>
      <c r="T22" s="75" t="str">
        <f>IFERROR(__xludf.DUMMYFUNCTION("GOOGLETRANSLATE(D22,""zh-tw"",""es-MX"")"),"Consigue el objeto ""Pato de goma""; se puede colocar dentro de la bañera.")</f>
        <v>Consigue el objeto "Pato de goma"; se puede colocar dentro de la bañera.</v>
      </c>
      <c r="U22" s="234" t="s">
        <v>3841</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3841</v>
      </c>
      <c r="Z22" s="235" t="s">
        <v>3856</v>
      </c>
      <c r="AA22" s="236" t="s">
        <v>3857</v>
      </c>
      <c r="AB22" s="65" t="s">
        <v>3858</v>
      </c>
      <c r="AC22" s="234" t="s">
        <v>3841</v>
      </c>
      <c r="AD22" s="112" t="s">
        <v>3859</v>
      </c>
      <c r="AE22" s="237" t="s">
        <v>3860</v>
      </c>
      <c r="AF22" s="135" t="s">
        <v>3861</v>
      </c>
      <c r="AG22" s="234" t="s">
        <v>3841</v>
      </c>
      <c r="AH22" s="238" t="s">
        <v>3862</v>
      </c>
      <c r="AI22" s="119" t="s">
        <v>3863</v>
      </c>
      <c r="AJ22" s="120" t="s">
        <v>3864</v>
      </c>
      <c r="AK22" s="234" t="s">
        <v>3841</v>
      </c>
      <c r="AL22" s="125" t="s">
        <v>3848</v>
      </c>
      <c r="AM22" s="113" t="s">
        <v>3865</v>
      </c>
      <c r="AN22" s="75" t="s">
        <v>3866</v>
      </c>
      <c r="AO22" s="234" t="s">
        <v>3841</v>
      </c>
      <c r="AP22" s="112" t="s">
        <v>3848</v>
      </c>
      <c r="AQ22" s="111" t="s">
        <v>3867</v>
      </c>
      <c r="AR22" s="72" t="s">
        <v>3868</v>
      </c>
      <c r="AS22" s="75"/>
      <c r="AT22" s="75"/>
    </row>
    <row r="23">
      <c r="A23" s="234" t="s">
        <v>3869</v>
      </c>
      <c r="B23" s="112" t="s">
        <v>3615</v>
      </c>
      <c r="C23" s="111" t="s">
        <v>3870</v>
      </c>
      <c r="D23" s="72" t="s">
        <v>3871</v>
      </c>
      <c r="E23" s="234" t="s">
        <v>3869</v>
      </c>
      <c r="F23" s="112" t="s">
        <v>3619</v>
      </c>
      <c r="G23" s="111" t="s">
        <v>3872</v>
      </c>
      <c r="H23" s="72" t="s">
        <v>3873</v>
      </c>
      <c r="I23" s="234" t="s">
        <v>3869</v>
      </c>
      <c r="J23" s="112" t="s">
        <v>3622</v>
      </c>
      <c r="K23" s="111" t="s">
        <v>3874</v>
      </c>
      <c r="L23" s="72" t="s">
        <v>3875</v>
      </c>
      <c r="M23" s="234" t="s">
        <v>3869</v>
      </c>
      <c r="N23" s="112" t="s">
        <v>3625</v>
      </c>
      <c r="O23" s="111" t="s">
        <v>3876</v>
      </c>
      <c r="P23" s="72" t="s">
        <v>3877</v>
      </c>
      <c r="Q23" s="234" t="s">
        <v>3869</v>
      </c>
      <c r="R23" s="112" t="s">
        <v>3628</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3869</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3869</v>
      </c>
      <c r="Z23" s="235" t="s">
        <v>3629</v>
      </c>
      <c r="AA23" s="236" t="s">
        <v>3878</v>
      </c>
      <c r="AB23" s="65" t="s">
        <v>3879</v>
      </c>
      <c r="AC23" s="234" t="s">
        <v>3869</v>
      </c>
      <c r="AD23" s="112" t="s">
        <v>3632</v>
      </c>
      <c r="AE23" s="237" t="s">
        <v>3880</v>
      </c>
      <c r="AF23" s="135" t="s">
        <v>3881</v>
      </c>
      <c r="AG23" s="234" t="s">
        <v>3869</v>
      </c>
      <c r="AH23" s="239" t="s">
        <v>3635</v>
      </c>
      <c r="AI23" s="119" t="s">
        <v>3882</v>
      </c>
      <c r="AJ23" s="120" t="s">
        <v>3883</v>
      </c>
      <c r="AK23" s="234" t="s">
        <v>3869</v>
      </c>
      <c r="AL23" s="112" t="s">
        <v>3638</v>
      </c>
      <c r="AM23" s="113" t="s">
        <v>3884</v>
      </c>
      <c r="AN23" s="75" t="s">
        <v>3885</v>
      </c>
      <c r="AO23" s="234" t="s">
        <v>3869</v>
      </c>
      <c r="AP23" s="112" t="s">
        <v>3641</v>
      </c>
      <c r="AQ23" s="113" t="s">
        <v>3886</v>
      </c>
      <c r="AR23" s="75" t="s">
        <v>3887</v>
      </c>
      <c r="AS23" s="75"/>
      <c r="AT23" s="75"/>
    </row>
    <row r="24">
      <c r="A24" s="229"/>
      <c r="B24" s="228" t="s">
        <v>3888</v>
      </c>
      <c r="E24" s="229"/>
      <c r="F24" s="229"/>
      <c r="I24" s="229"/>
      <c r="J24" s="230" t="s">
        <v>3889</v>
      </c>
      <c r="M24" s="229"/>
      <c r="N24" s="228" t="s">
        <v>3890</v>
      </c>
      <c r="Q24" s="229"/>
      <c r="R24" s="229"/>
      <c r="U24" s="229"/>
      <c r="V24" s="231"/>
      <c r="Y24" s="229"/>
      <c r="Z24" s="232" t="s">
        <v>3891</v>
      </c>
      <c r="AC24" s="229"/>
      <c r="AD24" s="229"/>
      <c r="AG24" s="229"/>
      <c r="AH24" s="229"/>
      <c r="AK24" s="229"/>
      <c r="AL24" s="233" t="s">
        <v>3892</v>
      </c>
      <c r="AO24" s="229"/>
      <c r="AP24" s="229"/>
      <c r="AS24" s="231"/>
      <c r="AT24" s="231"/>
    </row>
    <row r="25">
      <c r="A25" s="234" t="s">
        <v>3893</v>
      </c>
      <c r="B25" s="121" t="s">
        <v>3894</v>
      </c>
      <c r="C25" s="111" t="s">
        <v>3895</v>
      </c>
      <c r="D25" s="72" t="s">
        <v>3896</v>
      </c>
      <c r="E25" s="234" t="s">
        <v>3893</v>
      </c>
      <c r="F25" s="112" t="s">
        <v>3897</v>
      </c>
      <c r="G25" s="111" t="s">
        <v>3898</v>
      </c>
      <c r="H25" s="72" t="s">
        <v>3899</v>
      </c>
      <c r="I25" s="234" t="s">
        <v>3893</v>
      </c>
      <c r="J25" s="112" t="s">
        <v>3900</v>
      </c>
      <c r="K25" s="111" t="s">
        <v>3901</v>
      </c>
      <c r="L25" s="72" t="s">
        <v>3902</v>
      </c>
      <c r="M25" s="234" t="s">
        <v>3893</v>
      </c>
      <c r="N25" s="112" t="s">
        <v>3903</v>
      </c>
      <c r="O25" s="111" t="s">
        <v>3904</v>
      </c>
      <c r="P25" s="72" t="s">
        <v>3905</v>
      </c>
      <c r="Q25" s="234" t="s">
        <v>3893</v>
      </c>
      <c r="R25" s="125" t="s">
        <v>3906</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3893</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3893</v>
      </c>
      <c r="Z25" s="235" t="s">
        <v>3907</v>
      </c>
      <c r="AA25" s="250" t="s">
        <v>3908</v>
      </c>
      <c r="AB25" s="71" t="s">
        <v>3909</v>
      </c>
      <c r="AC25" s="234" t="s">
        <v>3893</v>
      </c>
      <c r="AD25" s="112" t="s">
        <v>3910</v>
      </c>
      <c r="AE25" s="237" t="s">
        <v>3911</v>
      </c>
      <c r="AF25" s="135" t="s">
        <v>3912</v>
      </c>
      <c r="AG25" s="234" t="s">
        <v>3893</v>
      </c>
      <c r="AH25" s="238" t="s">
        <v>3913</v>
      </c>
      <c r="AI25" s="130" t="s">
        <v>3914</v>
      </c>
      <c r="AJ25" s="134" t="s">
        <v>3915</v>
      </c>
      <c r="AK25" s="234" t="s">
        <v>3893</v>
      </c>
      <c r="AL25" s="125" t="s">
        <v>3916</v>
      </c>
      <c r="AM25" s="113" t="s">
        <v>3917</v>
      </c>
      <c r="AN25" s="75" t="s">
        <v>3918</v>
      </c>
      <c r="AO25" s="234" t="s">
        <v>3893</v>
      </c>
      <c r="AP25" s="108" t="s">
        <v>3919</v>
      </c>
      <c r="AQ25" s="113" t="s">
        <v>3920</v>
      </c>
      <c r="AR25" s="75" t="s">
        <v>3921</v>
      </c>
      <c r="AS25" s="75"/>
      <c r="AT25" s="75"/>
    </row>
    <row r="26">
      <c r="A26" s="229"/>
      <c r="B26" s="228" t="s">
        <v>3922</v>
      </c>
      <c r="E26" s="229"/>
      <c r="F26" s="229"/>
      <c r="I26" s="229"/>
      <c r="J26" s="230" t="s">
        <v>3923</v>
      </c>
      <c r="M26" s="229"/>
      <c r="N26" s="228" t="s">
        <v>3924</v>
      </c>
      <c r="Q26" s="229"/>
      <c r="R26" s="229"/>
      <c r="U26" s="229"/>
      <c r="V26" s="231"/>
      <c r="Y26" s="229"/>
      <c r="Z26" s="232" t="s">
        <v>3925</v>
      </c>
      <c r="AC26" s="229"/>
      <c r="AD26" s="229"/>
      <c r="AG26" s="229"/>
      <c r="AH26" s="229"/>
      <c r="AK26" s="229"/>
      <c r="AL26" s="233" t="s">
        <v>3926</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1445</v>
      </c>
      <c r="B29" s="228" t="s">
        <v>3927</v>
      </c>
      <c r="E29" s="228" t="s">
        <v>1445</v>
      </c>
      <c r="F29" s="229"/>
      <c r="I29" s="228" t="s">
        <v>1445</v>
      </c>
      <c r="J29" s="230" t="s">
        <v>3928</v>
      </c>
      <c r="M29" s="228" t="s">
        <v>1445</v>
      </c>
      <c r="N29" s="228" t="s">
        <v>3929</v>
      </c>
      <c r="Q29" s="228" t="s">
        <v>1445</v>
      </c>
      <c r="R29" s="229"/>
      <c r="U29" s="228" t="s">
        <v>1445</v>
      </c>
      <c r="V29" s="231"/>
      <c r="Y29" s="228" t="s">
        <v>1445</v>
      </c>
      <c r="Z29" s="232" t="s">
        <v>3930</v>
      </c>
      <c r="AC29" s="228" t="s">
        <v>1445</v>
      </c>
      <c r="AD29" s="229"/>
      <c r="AG29" s="228" t="s">
        <v>1445</v>
      </c>
      <c r="AH29" s="229"/>
      <c r="AK29" s="228" t="s">
        <v>1445</v>
      </c>
      <c r="AL29" s="233" t="s">
        <v>3931</v>
      </c>
      <c r="AO29" s="228" t="s">
        <v>1445</v>
      </c>
      <c r="AP29" s="229"/>
      <c r="AS29" s="231"/>
      <c r="AT29" s="231"/>
    </row>
    <row r="30">
      <c r="A30" s="234" t="s">
        <v>3932</v>
      </c>
      <c r="B30" s="112" t="s">
        <v>3615</v>
      </c>
      <c r="C30" s="111" t="s">
        <v>3933</v>
      </c>
      <c r="D30" s="72" t="s">
        <v>3761</v>
      </c>
      <c r="E30" s="234" t="s">
        <v>3932</v>
      </c>
      <c r="F30" s="112" t="s">
        <v>3619</v>
      </c>
      <c r="G30" s="111" t="s">
        <v>3934</v>
      </c>
      <c r="H30" s="72" t="s">
        <v>3763</v>
      </c>
      <c r="I30" s="234" t="s">
        <v>3932</v>
      </c>
      <c r="J30" s="112" t="s">
        <v>3622</v>
      </c>
      <c r="K30" s="111" t="s">
        <v>3935</v>
      </c>
      <c r="L30" s="72" t="s">
        <v>3765</v>
      </c>
      <c r="M30" s="234" t="s">
        <v>3932</v>
      </c>
      <c r="N30" s="112" t="s">
        <v>3625</v>
      </c>
      <c r="O30" s="111" t="s">
        <v>3936</v>
      </c>
      <c r="P30" s="72" t="s">
        <v>3767</v>
      </c>
      <c r="Q30" s="234" t="s">
        <v>3932</v>
      </c>
      <c r="R30" s="112" t="s">
        <v>3628</v>
      </c>
      <c r="S30" s="113" t="str">
        <f>IFERROR(__xludf.DUMMYFUNCTION("GOOGLETRANSLATE(C30,""zh-tw"",""es-MX"")"),"Hay un objeto oculto en el bosque en la esquina inferior derecha de ""Ruinas del Bosque-4"".")</f>
        <v>Hay un objeto oculto en el bosque en la esquina inferior derecha de "Ruinas del Bosque-4".</v>
      </c>
      <c r="T30" s="72" t="s">
        <v>3937</v>
      </c>
      <c r="U30" s="234" t="s">
        <v>3932</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3932</v>
      </c>
      <c r="Z30" s="235" t="s">
        <v>3629</v>
      </c>
      <c r="AA30" s="236" t="s">
        <v>3938</v>
      </c>
      <c r="AB30" s="65" t="s">
        <v>3770</v>
      </c>
      <c r="AC30" s="234" t="s">
        <v>3932</v>
      </c>
      <c r="AD30" s="112" t="s">
        <v>3632</v>
      </c>
      <c r="AE30" s="237" t="s">
        <v>3939</v>
      </c>
      <c r="AF30" s="135" t="s">
        <v>3940</v>
      </c>
      <c r="AG30" s="234" t="s">
        <v>3932</v>
      </c>
      <c r="AH30" s="239" t="s">
        <v>3635</v>
      </c>
      <c r="AI30" s="119" t="s">
        <v>3941</v>
      </c>
      <c r="AJ30" s="120" t="s">
        <v>3774</v>
      </c>
      <c r="AK30" s="234" t="s">
        <v>3932</v>
      </c>
      <c r="AL30" s="112" t="s">
        <v>3638</v>
      </c>
      <c r="AM30" s="113" t="s">
        <v>3942</v>
      </c>
      <c r="AN30" s="75" t="s">
        <v>3943</v>
      </c>
      <c r="AO30" s="234" t="s">
        <v>3932</v>
      </c>
      <c r="AP30" s="112" t="s">
        <v>3641</v>
      </c>
      <c r="AQ30" s="113" t="s">
        <v>3944</v>
      </c>
      <c r="AR30" s="75" t="s">
        <v>3778</v>
      </c>
      <c r="AS30" s="75"/>
      <c r="AT30" s="75"/>
    </row>
    <row r="31">
      <c r="A31" s="234" t="s">
        <v>3945</v>
      </c>
      <c r="B31" s="112" t="s">
        <v>3946</v>
      </c>
      <c r="C31" s="111" t="s">
        <v>3947</v>
      </c>
      <c r="D31" s="72" t="s">
        <v>3948</v>
      </c>
      <c r="E31" s="234" t="s">
        <v>3945</v>
      </c>
      <c r="F31" s="112" t="s">
        <v>3949</v>
      </c>
      <c r="G31" s="111" t="s">
        <v>3950</v>
      </c>
      <c r="H31" s="72" t="s">
        <v>3951</v>
      </c>
      <c r="I31" s="234" t="s">
        <v>3945</v>
      </c>
      <c r="J31" s="112" t="s">
        <v>3952</v>
      </c>
      <c r="K31" s="111" t="s">
        <v>3953</v>
      </c>
      <c r="L31" s="72" t="s">
        <v>3954</v>
      </c>
      <c r="M31" s="234" t="s">
        <v>3945</v>
      </c>
      <c r="N31" s="112" t="s">
        <v>3955</v>
      </c>
      <c r="O31" s="111" t="s">
        <v>3956</v>
      </c>
      <c r="P31" s="72" t="s">
        <v>3957</v>
      </c>
      <c r="Q31" s="234" t="s">
        <v>3945</v>
      </c>
      <c r="R31" s="112" t="s">
        <v>3958</v>
      </c>
      <c r="S31" s="111" t="s">
        <v>3959</v>
      </c>
      <c r="T31" s="75" t="str">
        <f>IFERROR(__xludf.DUMMYFUNCTION("GOOGLETRANSLATE(D31,""zh-tw"",""es-MX"")"),"Enlace al mapa de ruinas
Observaciones")</f>
        <v>Enlace al mapa de ruinas
Observaciones</v>
      </c>
      <c r="U31" s="234" t="s">
        <v>3945</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3945</v>
      </c>
      <c r="Z31" s="235" t="s">
        <v>3960</v>
      </c>
      <c r="AA31" s="236" t="s">
        <v>3961</v>
      </c>
      <c r="AB31" s="65" t="s">
        <v>3962</v>
      </c>
      <c r="AC31" s="234" t="s">
        <v>3945</v>
      </c>
      <c r="AD31" s="112" t="s">
        <v>3963</v>
      </c>
      <c r="AE31" s="237" t="s">
        <v>3964</v>
      </c>
      <c r="AF31" s="135" t="s">
        <v>3965</v>
      </c>
      <c r="AG31" s="234" t="s">
        <v>3945</v>
      </c>
      <c r="AH31" s="238" t="s">
        <v>3966</v>
      </c>
      <c r="AI31" s="119" t="s">
        <v>3967</v>
      </c>
      <c r="AJ31" s="120" t="s">
        <v>3968</v>
      </c>
      <c r="AK31" s="234" t="s">
        <v>3945</v>
      </c>
      <c r="AL31" s="125" t="s">
        <v>3969</v>
      </c>
      <c r="AM31" s="113" t="s">
        <v>3970</v>
      </c>
      <c r="AN31" s="75" t="s">
        <v>3971</v>
      </c>
      <c r="AO31" s="234" t="s">
        <v>3945</v>
      </c>
      <c r="AP31" s="254" t="s">
        <v>3972</v>
      </c>
      <c r="AQ31" s="255" t="s">
        <v>3973</v>
      </c>
      <c r="AR31" s="256" t="s">
        <v>3974</v>
      </c>
      <c r="AS31" s="75"/>
      <c r="AT31" s="75"/>
    </row>
    <row r="32">
      <c r="A32" s="229"/>
      <c r="B32" s="228" t="s">
        <v>3975</v>
      </c>
      <c r="E32" s="229"/>
      <c r="F32" s="229"/>
      <c r="I32" s="229"/>
      <c r="J32" s="230" t="s">
        <v>3814</v>
      </c>
      <c r="M32" s="229"/>
      <c r="N32" s="228" t="s">
        <v>3976</v>
      </c>
      <c r="Q32" s="229"/>
      <c r="R32" s="229"/>
      <c r="U32" s="229"/>
      <c r="V32" s="231"/>
      <c r="Y32" s="229"/>
      <c r="Z32" s="232" t="s">
        <v>3977</v>
      </c>
      <c r="AC32" s="229"/>
      <c r="AD32" s="229"/>
      <c r="AG32" s="229"/>
      <c r="AH32" s="229"/>
      <c r="AK32" s="229"/>
      <c r="AL32" s="233" t="s">
        <v>3978</v>
      </c>
      <c r="AO32" s="229"/>
      <c r="AP32" s="229"/>
      <c r="AS32" s="231"/>
      <c r="AT32" s="231"/>
    </row>
    <row r="33">
      <c r="A33" s="234" t="s">
        <v>3979</v>
      </c>
      <c r="B33" s="125" t="s">
        <v>3980</v>
      </c>
      <c r="C33" s="113" t="s">
        <v>3981</v>
      </c>
      <c r="D33" s="75" t="s">
        <v>3982</v>
      </c>
      <c r="E33" s="234" t="s">
        <v>3979</v>
      </c>
      <c r="F33" s="125" t="s">
        <v>3983</v>
      </c>
      <c r="G33" s="113" t="s">
        <v>3984</v>
      </c>
      <c r="H33" s="75" t="s">
        <v>3985</v>
      </c>
      <c r="I33" s="234" t="s">
        <v>3979</v>
      </c>
      <c r="J33" s="125" t="s">
        <v>3986</v>
      </c>
      <c r="K33" s="113" t="s">
        <v>3987</v>
      </c>
      <c r="L33" s="75" t="s">
        <v>3988</v>
      </c>
      <c r="M33" s="234" t="s">
        <v>3979</v>
      </c>
      <c r="N33" s="112" t="s">
        <v>3989</v>
      </c>
      <c r="O33" s="111" t="s">
        <v>3990</v>
      </c>
      <c r="P33" s="72" t="s">
        <v>3991</v>
      </c>
      <c r="Q33" s="234" t="s">
        <v>3979</v>
      </c>
      <c r="R33" s="125" t="s">
        <v>3992</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3979</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3979</v>
      </c>
      <c r="Z33" s="112" t="s">
        <v>3993</v>
      </c>
      <c r="AA33" s="236" t="s">
        <v>3994</v>
      </c>
      <c r="AB33" s="65" t="s">
        <v>3995</v>
      </c>
      <c r="AC33" s="234" t="s">
        <v>3979</v>
      </c>
      <c r="AD33" s="125" t="s">
        <v>3996</v>
      </c>
      <c r="AE33" s="113" t="s">
        <v>3997</v>
      </c>
      <c r="AF33" s="75" t="s">
        <v>3998</v>
      </c>
      <c r="AG33" s="234" t="s">
        <v>3979</v>
      </c>
      <c r="AH33" s="248" t="s">
        <v>3999</v>
      </c>
      <c r="AI33" s="152" t="s">
        <v>4000</v>
      </c>
      <c r="AJ33" s="188" t="s">
        <v>4001</v>
      </c>
      <c r="AK33" s="234" t="s">
        <v>3979</v>
      </c>
      <c r="AL33" s="125" t="s">
        <v>4002</v>
      </c>
      <c r="AM33" s="113" t="s">
        <v>4003</v>
      </c>
      <c r="AN33" s="75" t="s">
        <v>4004</v>
      </c>
      <c r="AO33" s="234" t="s">
        <v>3979</v>
      </c>
      <c r="AP33" s="108" t="s">
        <v>4005</v>
      </c>
      <c r="AQ33" s="113" t="s">
        <v>4006</v>
      </c>
      <c r="AR33" s="75" t="s">
        <v>4007</v>
      </c>
      <c r="AS33" s="75"/>
      <c r="AT33" s="75"/>
    </row>
    <row r="34">
      <c r="A34" s="234" t="s">
        <v>4008</v>
      </c>
      <c r="B34" s="125" t="s">
        <v>4009</v>
      </c>
      <c r="C34" s="113" t="s">
        <v>4010</v>
      </c>
      <c r="D34" s="72" t="s">
        <v>4011</v>
      </c>
      <c r="E34" s="234" t="s">
        <v>4008</v>
      </c>
      <c r="F34" s="125" t="s">
        <v>4012</v>
      </c>
      <c r="G34" s="113" t="s">
        <v>4013</v>
      </c>
      <c r="H34" s="72" t="s">
        <v>4014</v>
      </c>
      <c r="I34" s="234" t="s">
        <v>4008</v>
      </c>
      <c r="J34" s="125" t="s">
        <v>4015</v>
      </c>
      <c r="K34" s="113" t="s">
        <v>4016</v>
      </c>
      <c r="L34" s="72" t="s">
        <v>4017</v>
      </c>
      <c r="M34" s="234" t="s">
        <v>4008</v>
      </c>
      <c r="N34" s="112" t="s">
        <v>4018</v>
      </c>
      <c r="O34" s="113" t="s">
        <v>4019</v>
      </c>
      <c r="P34" s="75" t="s">
        <v>4020</v>
      </c>
      <c r="Q34" s="234" t="s">
        <v>4008</v>
      </c>
      <c r="R34" s="125" t="s">
        <v>4021</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4008</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4008</v>
      </c>
      <c r="Z34" s="112" t="s">
        <v>4022</v>
      </c>
      <c r="AA34" s="236" t="s">
        <v>4023</v>
      </c>
      <c r="AB34" s="65" t="s">
        <v>4024</v>
      </c>
      <c r="AC34" s="234" t="s">
        <v>4008</v>
      </c>
      <c r="AD34" s="125" t="s">
        <v>4025</v>
      </c>
      <c r="AE34" s="113" t="s">
        <v>4026</v>
      </c>
      <c r="AF34" s="75" t="s">
        <v>4027</v>
      </c>
      <c r="AG34" s="234" t="s">
        <v>4008</v>
      </c>
      <c r="AH34" s="248" t="s">
        <v>4028</v>
      </c>
      <c r="AI34" s="152" t="s">
        <v>4029</v>
      </c>
      <c r="AJ34" s="120" t="s">
        <v>4030</v>
      </c>
      <c r="AK34" s="234" t="s">
        <v>4008</v>
      </c>
      <c r="AL34" s="125" t="s">
        <v>4031</v>
      </c>
      <c r="AM34" s="113" t="s">
        <v>4032</v>
      </c>
      <c r="AN34" s="75" t="s">
        <v>4033</v>
      </c>
      <c r="AO34" s="234" t="s">
        <v>4008</v>
      </c>
      <c r="AP34" s="108" t="s">
        <v>4034</v>
      </c>
      <c r="AQ34" s="113" t="s">
        <v>4035</v>
      </c>
      <c r="AR34" s="75" t="s">
        <v>4036</v>
      </c>
      <c r="AS34" s="75"/>
      <c r="AT34" s="75"/>
    </row>
    <row r="35">
      <c r="A35" s="234" t="s">
        <v>4037</v>
      </c>
      <c r="B35" s="125" t="s">
        <v>4038</v>
      </c>
      <c r="C35" s="111" t="s">
        <v>4039</v>
      </c>
      <c r="D35" s="75" t="s">
        <v>4040</v>
      </c>
      <c r="E35" s="234" t="s">
        <v>4037</v>
      </c>
      <c r="F35" s="125" t="s">
        <v>4041</v>
      </c>
      <c r="G35" s="113" t="s">
        <v>4042</v>
      </c>
      <c r="H35" s="75" t="s">
        <v>4043</v>
      </c>
      <c r="I35" s="234" t="s">
        <v>4037</v>
      </c>
      <c r="J35" s="125" t="s">
        <v>4044</v>
      </c>
      <c r="K35" s="111" t="s">
        <v>4045</v>
      </c>
      <c r="L35" s="72" t="s">
        <v>4046</v>
      </c>
      <c r="M35" s="234" t="s">
        <v>4037</v>
      </c>
      <c r="N35" s="112" t="s">
        <v>4047</v>
      </c>
      <c r="O35" s="113" t="s">
        <v>4048</v>
      </c>
      <c r="P35" s="75" t="s">
        <v>4049</v>
      </c>
      <c r="Q35" s="234" t="s">
        <v>4037</v>
      </c>
      <c r="R35" s="125" t="s">
        <v>4050</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4037</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4037</v>
      </c>
      <c r="Z35" s="112" t="s">
        <v>4051</v>
      </c>
      <c r="AA35" s="236" t="s">
        <v>4052</v>
      </c>
      <c r="AB35" s="71" t="s">
        <v>4053</v>
      </c>
      <c r="AC35" s="234" t="s">
        <v>4037</v>
      </c>
      <c r="AD35" s="125" t="s">
        <v>4054</v>
      </c>
      <c r="AE35" s="113" t="s">
        <v>4055</v>
      </c>
      <c r="AF35" s="75" t="s">
        <v>4056</v>
      </c>
      <c r="AG35" s="234" t="s">
        <v>4037</v>
      </c>
      <c r="AH35" s="248" t="s">
        <v>4057</v>
      </c>
      <c r="AI35" s="119" t="s">
        <v>4058</v>
      </c>
      <c r="AJ35" s="188" t="s">
        <v>4059</v>
      </c>
      <c r="AK35" s="234" t="s">
        <v>4037</v>
      </c>
      <c r="AL35" s="125" t="s">
        <v>4060</v>
      </c>
      <c r="AM35" s="113" t="s">
        <v>4061</v>
      </c>
      <c r="AN35" s="75" t="s">
        <v>4062</v>
      </c>
      <c r="AO35" s="234" t="s">
        <v>4037</v>
      </c>
      <c r="AP35" s="112" t="s">
        <v>4063</v>
      </c>
      <c r="AQ35" s="113" t="s">
        <v>4064</v>
      </c>
      <c r="AR35" s="75" t="s">
        <v>4065</v>
      </c>
      <c r="AS35" s="75"/>
      <c r="AT35" s="75"/>
    </row>
    <row r="36">
      <c r="A36" s="234" t="s">
        <v>4066</v>
      </c>
      <c r="B36" s="125" t="s">
        <v>4067</v>
      </c>
      <c r="C36" s="111" t="s">
        <v>4068</v>
      </c>
      <c r="D36" s="72" t="s">
        <v>4069</v>
      </c>
      <c r="E36" s="234" t="s">
        <v>4066</v>
      </c>
      <c r="F36" s="125" t="s">
        <v>4070</v>
      </c>
      <c r="G36" s="111" t="s">
        <v>4071</v>
      </c>
      <c r="H36" s="72" t="s">
        <v>4072</v>
      </c>
      <c r="I36" s="234" t="s">
        <v>4066</v>
      </c>
      <c r="J36" s="125" t="s">
        <v>4073</v>
      </c>
      <c r="K36" s="111" t="s">
        <v>4074</v>
      </c>
      <c r="L36" s="72" t="s">
        <v>4075</v>
      </c>
      <c r="M36" s="234" t="s">
        <v>4066</v>
      </c>
      <c r="N36" s="112" t="s">
        <v>4076</v>
      </c>
      <c r="O36" s="113" t="s">
        <v>4077</v>
      </c>
      <c r="P36" s="75" t="s">
        <v>4078</v>
      </c>
      <c r="Q36" s="234" t="s">
        <v>4066</v>
      </c>
      <c r="R36" s="125" t="s">
        <v>4079</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4066</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4066</v>
      </c>
      <c r="Z36" s="136" t="s">
        <v>4080</v>
      </c>
      <c r="AA36" s="236" t="s">
        <v>4081</v>
      </c>
      <c r="AB36" s="65" t="s">
        <v>4082</v>
      </c>
      <c r="AC36" s="234" t="s">
        <v>4066</v>
      </c>
      <c r="AD36" s="125" t="s">
        <v>4083</v>
      </c>
      <c r="AE36" s="113" t="s">
        <v>4084</v>
      </c>
      <c r="AF36" s="75" t="s">
        <v>4085</v>
      </c>
      <c r="AG36" s="234" t="s">
        <v>4066</v>
      </c>
      <c r="AH36" s="248" t="s">
        <v>4086</v>
      </c>
      <c r="AI36" s="119" t="s">
        <v>4087</v>
      </c>
      <c r="AJ36" s="134" t="s">
        <v>4088</v>
      </c>
      <c r="AK36" s="234" t="s">
        <v>4066</v>
      </c>
      <c r="AL36" s="125" t="s">
        <v>4089</v>
      </c>
      <c r="AM36" s="113" t="s">
        <v>4090</v>
      </c>
      <c r="AN36" s="75" t="s">
        <v>4091</v>
      </c>
      <c r="AO36" s="234" t="s">
        <v>4066</v>
      </c>
      <c r="AP36" s="112" t="s">
        <v>4092</v>
      </c>
      <c r="AQ36" s="113" t="s">
        <v>4093</v>
      </c>
      <c r="AR36" s="75" t="s">
        <v>4094</v>
      </c>
      <c r="AS36" s="75"/>
      <c r="AT36" s="75"/>
    </row>
    <row r="37">
      <c r="A37" s="234" t="s">
        <v>4095</v>
      </c>
      <c r="B37" s="112" t="s">
        <v>4096</v>
      </c>
      <c r="C37" s="111" t="s">
        <v>4097</v>
      </c>
      <c r="D37" s="72" t="s">
        <v>4098</v>
      </c>
      <c r="E37" s="234" t="s">
        <v>4095</v>
      </c>
      <c r="F37" s="112" t="s">
        <v>4099</v>
      </c>
      <c r="G37" s="111" t="s">
        <v>4100</v>
      </c>
      <c r="H37" s="72" t="s">
        <v>4101</v>
      </c>
      <c r="I37" s="234" t="s">
        <v>4095</v>
      </c>
      <c r="J37" s="112" t="s">
        <v>4102</v>
      </c>
      <c r="K37" s="111" t="s">
        <v>4103</v>
      </c>
      <c r="L37" s="72" t="s">
        <v>4104</v>
      </c>
      <c r="M37" s="234" t="s">
        <v>4095</v>
      </c>
      <c r="N37" s="112" t="s">
        <v>4105</v>
      </c>
      <c r="O37" s="113" t="s">
        <v>4106</v>
      </c>
      <c r="P37" s="75" t="s">
        <v>4107</v>
      </c>
      <c r="Q37" s="234" t="s">
        <v>4095</v>
      </c>
      <c r="R37" s="125" t="s">
        <v>4108</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4095</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4095</v>
      </c>
      <c r="Z37" s="235" t="s">
        <v>4109</v>
      </c>
      <c r="AA37" s="236" t="s">
        <v>4110</v>
      </c>
      <c r="AB37" s="65" t="s">
        <v>4111</v>
      </c>
      <c r="AC37" s="234" t="s">
        <v>4095</v>
      </c>
      <c r="AD37" s="112" t="s">
        <v>4112</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4113</v>
      </c>
      <c r="AG37" s="234" t="s">
        <v>4095</v>
      </c>
      <c r="AH37" s="238" t="s">
        <v>4114</v>
      </c>
      <c r="AI37" s="119" t="s">
        <v>4115</v>
      </c>
      <c r="AJ37" s="134" t="s">
        <v>4116</v>
      </c>
      <c r="AK37" s="234" t="s">
        <v>4095</v>
      </c>
      <c r="AL37" s="125" t="s">
        <v>4117</v>
      </c>
      <c r="AM37" s="113" t="s">
        <v>4118</v>
      </c>
      <c r="AN37" s="75" t="s">
        <v>4119</v>
      </c>
      <c r="AO37" s="234" t="s">
        <v>4095</v>
      </c>
      <c r="AP37" s="108" t="s">
        <v>4120</v>
      </c>
      <c r="AQ37" s="113" t="s">
        <v>4121</v>
      </c>
      <c r="AR37" s="75" t="s">
        <v>4122</v>
      </c>
      <c r="AS37" s="75"/>
      <c r="AT37" s="75"/>
    </row>
    <row r="38">
      <c r="A38" s="229"/>
      <c r="B38" s="230" t="s">
        <v>4123</v>
      </c>
      <c r="E38" s="229"/>
      <c r="F38" s="229"/>
      <c r="I38" s="229"/>
      <c r="J38" s="230" t="s">
        <v>4124</v>
      </c>
      <c r="M38" s="229"/>
      <c r="N38" s="228" t="s">
        <v>4125</v>
      </c>
      <c r="Q38" s="229"/>
      <c r="R38" s="229"/>
      <c r="U38" s="229"/>
      <c r="V38" s="231"/>
      <c r="Y38" s="229"/>
      <c r="Z38" s="232" t="s">
        <v>4126</v>
      </c>
      <c r="AC38" s="229"/>
      <c r="AD38" s="229"/>
      <c r="AG38" s="229"/>
      <c r="AH38" s="229"/>
      <c r="AK38" s="229"/>
      <c r="AL38" s="233" t="s">
        <v>4127</v>
      </c>
      <c r="AO38" s="229"/>
      <c r="AP38" s="229"/>
      <c r="AS38" s="231"/>
      <c r="AT38" s="231"/>
    </row>
    <row r="39">
      <c r="A39" s="234" t="s">
        <v>4128</v>
      </c>
      <c r="B39" s="125" t="s">
        <v>4129</v>
      </c>
      <c r="C39" s="113" t="s">
        <v>4130</v>
      </c>
      <c r="D39" s="75" t="s">
        <v>4131</v>
      </c>
      <c r="E39" s="234" t="s">
        <v>4128</v>
      </c>
      <c r="F39" s="125" t="s">
        <v>4132</v>
      </c>
      <c r="G39" s="113" t="s">
        <v>4133</v>
      </c>
      <c r="H39" s="75" t="s">
        <v>4134</v>
      </c>
      <c r="I39" s="234" t="s">
        <v>4128</v>
      </c>
      <c r="J39" s="125" t="s">
        <v>4135</v>
      </c>
      <c r="K39" s="111" t="s">
        <v>4136</v>
      </c>
      <c r="L39" s="75" t="s">
        <v>4137</v>
      </c>
      <c r="M39" s="234" t="s">
        <v>4128</v>
      </c>
      <c r="N39" s="125" t="s">
        <v>4129</v>
      </c>
      <c r="O39" s="113" t="s">
        <v>4138</v>
      </c>
      <c r="P39" s="72" t="s">
        <v>4139</v>
      </c>
      <c r="Q39" s="234" t="s">
        <v>4128</v>
      </c>
      <c r="R39" s="125" t="s">
        <v>4140</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4128</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4128</v>
      </c>
      <c r="Z39" s="235" t="s">
        <v>4141</v>
      </c>
      <c r="AA39" s="236" t="s">
        <v>4142</v>
      </c>
      <c r="AB39" s="65" t="s">
        <v>4143</v>
      </c>
      <c r="AC39" s="234" t="s">
        <v>4128</v>
      </c>
      <c r="AD39" s="243" t="str">
        <f>IFERROR(__xludf.DUMMYFUNCTION("IF(N39="""", """", GOOGLETRANSLATE(J39,""en"",""DE""))"),"Ich bin nicht der Rattenfänger von Hameln")</f>
        <v>Ich bin nicht der Rattenfänger von Hameln</v>
      </c>
      <c r="AE39" s="113" t="s">
        <v>4144</v>
      </c>
      <c r="AF39" s="75" t="s">
        <v>4145</v>
      </c>
      <c r="AG39" s="234" t="s">
        <v>4128</v>
      </c>
      <c r="AH39" s="257" t="s">
        <v>4146</v>
      </c>
      <c r="AI39" s="258" t="s">
        <v>4147</v>
      </c>
      <c r="AJ39" s="259" t="s">
        <v>4148</v>
      </c>
      <c r="AK39" s="234" t="s">
        <v>4128</v>
      </c>
      <c r="AL39" s="125" t="s">
        <v>4149</v>
      </c>
      <c r="AM39" s="113" t="s">
        <v>4150</v>
      </c>
      <c r="AN39" s="72" t="s">
        <v>4151</v>
      </c>
      <c r="AO39" s="234" t="s">
        <v>4128</v>
      </c>
      <c r="AP39" s="108" t="s">
        <v>4152</v>
      </c>
      <c r="AQ39" s="113" t="s">
        <v>4153</v>
      </c>
      <c r="AR39" s="75" t="s">
        <v>4154</v>
      </c>
      <c r="AS39" s="260"/>
      <c r="AT39" s="260"/>
    </row>
    <row r="40">
      <c r="A40" s="234" t="s">
        <v>4155</v>
      </c>
      <c r="B40" s="112" t="s">
        <v>3615</v>
      </c>
      <c r="C40" s="111" t="s">
        <v>4156</v>
      </c>
      <c r="D40" s="72" t="s">
        <v>4157</v>
      </c>
      <c r="E40" s="234" t="s">
        <v>4155</v>
      </c>
      <c r="F40" s="112" t="s">
        <v>3619</v>
      </c>
      <c r="G40" s="111" t="s">
        <v>4158</v>
      </c>
      <c r="H40" s="72" t="s">
        <v>4159</v>
      </c>
      <c r="I40" s="234" t="s">
        <v>4155</v>
      </c>
      <c r="J40" s="112" t="s">
        <v>3622</v>
      </c>
      <c r="K40" s="111" t="s">
        <v>4160</v>
      </c>
      <c r="L40" s="72" t="s">
        <v>4161</v>
      </c>
      <c r="M40" s="234" t="s">
        <v>4155</v>
      </c>
      <c r="N40" s="112" t="s">
        <v>3625</v>
      </c>
      <c r="O40" s="111" t="s">
        <v>4162</v>
      </c>
      <c r="P40" s="72" t="s">
        <v>4163</v>
      </c>
      <c r="Q40" s="234" t="s">
        <v>4155</v>
      </c>
      <c r="R40" s="112" t="s">
        <v>3628</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4155</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4155</v>
      </c>
      <c r="Z40" s="235" t="s">
        <v>3629</v>
      </c>
      <c r="AA40" s="236" t="s">
        <v>4164</v>
      </c>
      <c r="AB40" s="65" t="s">
        <v>4165</v>
      </c>
      <c r="AC40" s="234" t="s">
        <v>4155</v>
      </c>
      <c r="AD40" s="112" t="s">
        <v>3632</v>
      </c>
      <c r="AE40" s="237" t="s">
        <v>4166</v>
      </c>
      <c r="AF40" s="135" t="s">
        <v>4167</v>
      </c>
      <c r="AG40" s="234" t="s">
        <v>4155</v>
      </c>
      <c r="AH40" s="239" t="s">
        <v>3635</v>
      </c>
      <c r="AI40" s="119" t="s">
        <v>4168</v>
      </c>
      <c r="AJ40" s="120" t="s">
        <v>4169</v>
      </c>
      <c r="AK40" s="234" t="s">
        <v>4155</v>
      </c>
      <c r="AL40" s="112" t="s">
        <v>3638</v>
      </c>
      <c r="AM40" s="113" t="s">
        <v>4170</v>
      </c>
      <c r="AN40" s="75" t="s">
        <v>4171</v>
      </c>
      <c r="AO40" s="234" t="s">
        <v>4155</v>
      </c>
      <c r="AP40" s="112" t="s">
        <v>3641</v>
      </c>
      <c r="AQ40" s="113" t="s">
        <v>4172</v>
      </c>
      <c r="AR40" s="75" t="s">
        <v>4173</v>
      </c>
      <c r="AS40" s="75"/>
      <c r="AT40" s="75"/>
    </row>
    <row r="41">
      <c r="A41" s="234" t="s">
        <v>4174</v>
      </c>
      <c r="B41" s="112" t="s">
        <v>4175</v>
      </c>
      <c r="C41" s="111" t="s">
        <v>4176</v>
      </c>
      <c r="D41" s="72" t="s">
        <v>4177</v>
      </c>
      <c r="E41" s="234" t="s">
        <v>4174</v>
      </c>
      <c r="F41" s="112" t="s">
        <v>4178</v>
      </c>
      <c r="G41" s="111" t="s">
        <v>4179</v>
      </c>
      <c r="H41" s="72" t="s">
        <v>4180</v>
      </c>
      <c r="I41" s="234" t="s">
        <v>4174</v>
      </c>
      <c r="J41" s="112" t="s">
        <v>4181</v>
      </c>
      <c r="K41" s="111" t="s">
        <v>4182</v>
      </c>
      <c r="L41" s="72" t="s">
        <v>4183</v>
      </c>
      <c r="M41" s="234" t="s">
        <v>4174</v>
      </c>
      <c r="N41" s="112" t="s">
        <v>4184</v>
      </c>
      <c r="O41" s="111" t="s">
        <v>4185</v>
      </c>
      <c r="P41" s="72" t="s">
        <v>4186</v>
      </c>
      <c r="Q41" s="234" t="s">
        <v>4174</v>
      </c>
      <c r="R41" s="125" t="s">
        <v>4187</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4174</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4174</v>
      </c>
      <c r="Z41" s="235" t="s">
        <v>4188</v>
      </c>
      <c r="AA41" s="250" t="s">
        <v>4189</v>
      </c>
      <c r="AB41" s="65" t="s">
        <v>4190</v>
      </c>
      <c r="AC41" s="234" t="s">
        <v>4174</v>
      </c>
      <c r="AD41" s="136" t="s">
        <v>4191</v>
      </c>
      <c r="AE41" s="237" t="s">
        <v>4192</v>
      </c>
      <c r="AF41" s="135" t="s">
        <v>4193</v>
      </c>
      <c r="AG41" s="234" t="s">
        <v>4174</v>
      </c>
      <c r="AH41" s="238" t="s">
        <v>4194</v>
      </c>
      <c r="AI41" s="119" t="s">
        <v>4195</v>
      </c>
      <c r="AJ41" s="120" t="s">
        <v>4196</v>
      </c>
      <c r="AK41" s="234" t="s">
        <v>4174</v>
      </c>
      <c r="AL41" s="125" t="s">
        <v>4197</v>
      </c>
      <c r="AM41" s="113" t="s">
        <v>4198</v>
      </c>
      <c r="AN41" s="75" t="s">
        <v>4199</v>
      </c>
      <c r="AO41" s="234" t="s">
        <v>4174</v>
      </c>
      <c r="AP41" s="112" t="s">
        <v>4200</v>
      </c>
      <c r="AQ41" s="113" t="s">
        <v>4201</v>
      </c>
      <c r="AR41" s="75" t="s">
        <v>4202</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1839</v>
      </c>
      <c r="B43" s="228" t="s">
        <v>4203</v>
      </c>
      <c r="E43" s="228" t="s">
        <v>1839</v>
      </c>
      <c r="F43" s="229"/>
      <c r="I43" s="228" t="s">
        <v>1839</v>
      </c>
      <c r="J43" s="230" t="s">
        <v>4204</v>
      </c>
      <c r="M43" s="228" t="s">
        <v>1839</v>
      </c>
      <c r="N43" s="228" t="s">
        <v>4205</v>
      </c>
      <c r="Q43" s="228" t="s">
        <v>1839</v>
      </c>
      <c r="R43" s="229"/>
      <c r="U43" s="228" t="s">
        <v>1839</v>
      </c>
      <c r="V43" s="231"/>
      <c r="Y43" s="228" t="s">
        <v>1839</v>
      </c>
      <c r="Z43" s="232" t="s">
        <v>4206</v>
      </c>
      <c r="AC43" s="228" t="s">
        <v>1839</v>
      </c>
      <c r="AD43" s="229"/>
      <c r="AG43" s="228" t="s">
        <v>1839</v>
      </c>
      <c r="AH43" s="229"/>
      <c r="AK43" s="228" t="s">
        <v>1839</v>
      </c>
      <c r="AL43" s="233" t="s">
        <v>4207</v>
      </c>
      <c r="AO43" s="228" t="s">
        <v>1839</v>
      </c>
      <c r="AP43" s="229"/>
      <c r="AS43" s="231"/>
      <c r="AT43" s="231"/>
    </row>
    <row r="44">
      <c r="A44" s="261" t="s">
        <v>4208</v>
      </c>
      <c r="B44" s="121" t="s">
        <v>3780</v>
      </c>
      <c r="C44" s="122" t="s">
        <v>4209</v>
      </c>
      <c r="D44" s="123" t="s">
        <v>4210</v>
      </c>
      <c r="E44" s="261" t="s">
        <v>4208</v>
      </c>
      <c r="F44" s="262" t="s">
        <v>3619</v>
      </c>
      <c r="G44" s="263" t="s">
        <v>4211</v>
      </c>
      <c r="H44" s="264" t="s">
        <v>4212</v>
      </c>
      <c r="I44" s="261" t="s">
        <v>4208</v>
      </c>
      <c r="J44" s="262" t="s">
        <v>4213</v>
      </c>
      <c r="K44" s="111" t="s">
        <v>4214</v>
      </c>
      <c r="L44" s="72" t="s">
        <v>4215</v>
      </c>
      <c r="M44" s="261" t="s">
        <v>4208</v>
      </c>
      <c r="N44" s="121" t="s">
        <v>4216</v>
      </c>
      <c r="O44" s="122" t="s">
        <v>4217</v>
      </c>
      <c r="P44" s="123" t="s">
        <v>4218</v>
      </c>
      <c r="Q44" s="261" t="s">
        <v>4208</v>
      </c>
      <c r="R44" s="265"/>
      <c r="S44" s="266"/>
      <c r="T44" s="267"/>
      <c r="U44" s="261" t="s">
        <v>4208</v>
      </c>
      <c r="V44" s="268"/>
      <c r="W44" s="269"/>
      <c r="X44" s="210"/>
      <c r="Y44" s="261" t="s">
        <v>4208</v>
      </c>
      <c r="Z44" s="270" t="s">
        <v>4219</v>
      </c>
      <c r="AA44" s="115" t="s">
        <v>4220</v>
      </c>
      <c r="AB44" s="271" t="s">
        <v>4221</v>
      </c>
      <c r="AC44" s="261" t="s">
        <v>4208</v>
      </c>
      <c r="AD44" s="265"/>
      <c r="AE44" s="266"/>
      <c r="AF44" s="267"/>
      <c r="AG44" s="261" t="s">
        <v>4208</v>
      </c>
      <c r="AH44" s="265"/>
      <c r="AI44" s="266"/>
      <c r="AJ44" s="267"/>
      <c r="AK44" s="261" t="s">
        <v>4208</v>
      </c>
      <c r="AL44" s="262" t="s">
        <v>4222</v>
      </c>
      <c r="AM44" s="272" t="s">
        <v>4223</v>
      </c>
      <c r="AN44" s="273" t="s">
        <v>4224</v>
      </c>
      <c r="AO44" s="261" t="s">
        <v>4208</v>
      </c>
      <c r="AP44" s="265"/>
      <c r="AQ44" s="266"/>
      <c r="AR44" s="267"/>
      <c r="AS44" s="210"/>
      <c r="AT44" s="210"/>
    </row>
    <row r="45">
      <c r="A45" s="229"/>
      <c r="B45" s="230" t="s">
        <v>4225</v>
      </c>
      <c r="E45" s="229"/>
      <c r="F45" s="229"/>
      <c r="I45" s="229"/>
      <c r="J45" s="230" t="s">
        <v>4226</v>
      </c>
      <c r="M45" s="229"/>
      <c r="N45" s="228" t="s">
        <v>4227</v>
      </c>
      <c r="Q45" s="229"/>
      <c r="R45" s="229"/>
      <c r="U45" s="229"/>
      <c r="V45" s="231"/>
      <c r="Y45" s="229"/>
      <c r="Z45" s="232" t="s">
        <v>4228</v>
      </c>
      <c r="AC45" s="229"/>
      <c r="AD45" s="229"/>
      <c r="AG45" s="229"/>
      <c r="AH45" s="229"/>
      <c r="AK45" s="229"/>
      <c r="AL45" s="233" t="s">
        <v>4229</v>
      </c>
      <c r="AO45" s="229"/>
      <c r="AP45" s="229"/>
      <c r="AS45" s="231"/>
      <c r="AT45" s="231"/>
    </row>
    <row r="46">
      <c r="A46" s="274" t="s">
        <v>4230</v>
      </c>
      <c r="B46" s="112" t="s">
        <v>4231</v>
      </c>
      <c r="C46" s="111" t="s">
        <v>4232</v>
      </c>
      <c r="D46" s="72" t="s">
        <v>4233</v>
      </c>
      <c r="E46" s="274" t="s">
        <v>4230</v>
      </c>
      <c r="F46" s="112" t="s">
        <v>4234</v>
      </c>
      <c r="G46" s="111" t="s">
        <v>4235</v>
      </c>
      <c r="H46" s="72" t="s">
        <v>4236</v>
      </c>
      <c r="I46" s="274" t="s">
        <v>4230</v>
      </c>
      <c r="J46" s="112" t="s">
        <v>4237</v>
      </c>
      <c r="K46" s="111" t="s">
        <v>4238</v>
      </c>
      <c r="L46" s="72" t="s">
        <v>4239</v>
      </c>
      <c r="M46" s="274" t="s">
        <v>4230</v>
      </c>
      <c r="N46" s="112" t="s">
        <v>4240</v>
      </c>
      <c r="O46" s="111" t="s">
        <v>4241</v>
      </c>
      <c r="P46" s="72" t="s">
        <v>4242</v>
      </c>
      <c r="Q46" s="274" t="s">
        <v>4230</v>
      </c>
      <c r="R46" s="125" t="s">
        <v>4243</v>
      </c>
      <c r="S46" s="111" t="s">
        <v>4244</v>
      </c>
      <c r="T46" s="75" t="str">
        <f>IFERROR(__xludf.DUMMYFUNCTION("GOOGLETRANSLATE(D46,""zh-tw"",""es-MX"")"),"Lo que vi: Caí en una cueva.")</f>
        <v>Lo que vi: Caí en una cueva.</v>
      </c>
      <c r="U46" s="274" t="s">
        <v>4230</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4230</v>
      </c>
      <c r="Z46" s="235" t="s">
        <v>4245</v>
      </c>
      <c r="AA46" s="236" t="s">
        <v>4246</v>
      </c>
      <c r="AB46" s="65" t="s">
        <v>4247</v>
      </c>
      <c r="AC46" s="274" t="s">
        <v>4230</v>
      </c>
      <c r="AD46" s="112" t="s">
        <v>4248</v>
      </c>
      <c r="AE46" s="237" t="s">
        <v>4249</v>
      </c>
      <c r="AF46" s="135" t="s">
        <v>4250</v>
      </c>
      <c r="AG46" s="274" t="s">
        <v>4230</v>
      </c>
      <c r="AH46" s="238" t="s">
        <v>4251</v>
      </c>
      <c r="AI46" s="119" t="s">
        <v>4252</v>
      </c>
      <c r="AJ46" s="120" t="s">
        <v>4253</v>
      </c>
      <c r="AK46" s="274" t="s">
        <v>4230</v>
      </c>
      <c r="AL46" s="125" t="s">
        <v>4254</v>
      </c>
      <c r="AM46" s="113" t="s">
        <v>4255</v>
      </c>
      <c r="AN46" s="75" t="s">
        <v>4256</v>
      </c>
      <c r="AO46" s="274" t="s">
        <v>4230</v>
      </c>
      <c r="AP46" s="108" t="s">
        <v>4257</v>
      </c>
      <c r="AQ46" s="113" t="s">
        <v>4258</v>
      </c>
      <c r="AR46" s="75" t="s">
        <v>4259</v>
      </c>
      <c r="AS46" s="75"/>
      <c r="AT46" s="75"/>
    </row>
    <row r="47">
      <c r="A47" s="274" t="s">
        <v>4260</v>
      </c>
      <c r="B47" s="121" t="s">
        <v>3780</v>
      </c>
      <c r="C47" s="111" t="s">
        <v>4261</v>
      </c>
      <c r="D47" s="72" t="s">
        <v>4262</v>
      </c>
      <c r="E47" s="274" t="s">
        <v>4260</v>
      </c>
      <c r="F47" s="112" t="s">
        <v>3783</v>
      </c>
      <c r="G47" s="111" t="s">
        <v>4263</v>
      </c>
      <c r="H47" s="72" t="s">
        <v>4264</v>
      </c>
      <c r="I47" s="274" t="s">
        <v>4260</v>
      </c>
      <c r="J47" s="112" t="s">
        <v>4213</v>
      </c>
      <c r="K47" s="111" t="s">
        <v>4265</v>
      </c>
      <c r="L47" s="72" t="s">
        <v>4266</v>
      </c>
      <c r="M47" s="274" t="s">
        <v>4260</v>
      </c>
      <c r="N47" s="112" t="s">
        <v>4216</v>
      </c>
      <c r="O47" s="111" t="s">
        <v>4267</v>
      </c>
      <c r="P47" s="72" t="s">
        <v>4268</v>
      </c>
      <c r="Q47" s="274" t="s">
        <v>4260</v>
      </c>
      <c r="R47" s="125" t="s">
        <v>3791</v>
      </c>
      <c r="S47" s="111" t="s">
        <v>4269</v>
      </c>
      <c r="T47" s="75" t="str">
        <f>IFERROR(__xludf.DUMMYFUNCTION("GOOGLETRANSLATE(D47,""zh-tw"",""es-MX"")"),"Objeto obtenido: Gel mágico x10 (Refresca en días lluviosos)")</f>
        <v>Objeto obtenido: Gel mágico x10 (Refresca en días lluviosos)</v>
      </c>
      <c r="U47" s="274" t="s">
        <v>4260</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4260</v>
      </c>
      <c r="Z47" s="235" t="s">
        <v>3629</v>
      </c>
      <c r="AA47" s="236" t="s">
        <v>4270</v>
      </c>
      <c r="AB47" s="65" t="s">
        <v>4271</v>
      </c>
      <c r="AC47" s="274" t="s">
        <v>4260</v>
      </c>
      <c r="AD47" s="112" t="s">
        <v>4272</v>
      </c>
      <c r="AE47" s="237" t="s">
        <v>4273</v>
      </c>
      <c r="AF47" s="135" t="s">
        <v>4274</v>
      </c>
      <c r="AG47" s="274" t="s">
        <v>4260</v>
      </c>
      <c r="AH47" s="238" t="s">
        <v>4275</v>
      </c>
      <c r="AI47" s="119" t="s">
        <v>4276</v>
      </c>
      <c r="AJ47" s="120" t="s">
        <v>4277</v>
      </c>
      <c r="AK47" s="274" t="s">
        <v>4260</v>
      </c>
      <c r="AL47" s="125" t="s">
        <v>4278</v>
      </c>
      <c r="AM47" s="113" t="s">
        <v>4279</v>
      </c>
      <c r="AN47" s="75" t="s">
        <v>4280</v>
      </c>
      <c r="AO47" s="274" t="s">
        <v>4260</v>
      </c>
      <c r="AP47" s="108" t="s">
        <v>3804</v>
      </c>
      <c r="AQ47" s="113" t="s">
        <v>4281</v>
      </c>
      <c r="AR47" s="75" t="s">
        <v>4282</v>
      </c>
      <c r="AS47" s="75"/>
      <c r="AT47" s="75"/>
    </row>
    <row r="48">
      <c r="A48" s="274" t="s">
        <v>4283</v>
      </c>
      <c r="B48" s="112" t="s">
        <v>3615</v>
      </c>
      <c r="C48" s="111" t="s">
        <v>4284</v>
      </c>
      <c r="D48" s="72" t="s">
        <v>4285</v>
      </c>
      <c r="E48" s="274" t="s">
        <v>4283</v>
      </c>
      <c r="F48" s="112" t="s">
        <v>3619</v>
      </c>
      <c r="G48" s="111" t="s">
        <v>4286</v>
      </c>
      <c r="H48" s="72" t="s">
        <v>4287</v>
      </c>
      <c r="I48" s="274" t="s">
        <v>4283</v>
      </c>
      <c r="J48" s="112" t="s">
        <v>3622</v>
      </c>
      <c r="K48" s="111" t="s">
        <v>4288</v>
      </c>
      <c r="L48" s="72" t="s">
        <v>4289</v>
      </c>
      <c r="M48" s="274" t="s">
        <v>4283</v>
      </c>
      <c r="N48" s="112" t="s">
        <v>3625</v>
      </c>
      <c r="O48" s="111" t="s">
        <v>4290</v>
      </c>
      <c r="P48" s="72" t="s">
        <v>4291</v>
      </c>
      <c r="Q48" s="274" t="s">
        <v>4283</v>
      </c>
      <c r="R48" s="112" t="s">
        <v>3628</v>
      </c>
      <c r="S48" s="111" t="s">
        <v>4292</v>
      </c>
      <c r="T48" s="75" t="str">
        <f>IFERROR(__xludf.DUMMYFUNCTION("GOOGLETRANSLATE(D48,""zh-tw"",""es-MX"")"),"Obtener equipo - Anillo de hueso del ahorcado")</f>
        <v>Obtener equipo - Anillo de hueso del ahorcado</v>
      </c>
      <c r="U48" s="274" t="s">
        <v>4283</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4283</v>
      </c>
      <c r="Z48" s="235" t="s">
        <v>4219</v>
      </c>
      <c r="AA48" s="236" t="s">
        <v>4293</v>
      </c>
      <c r="AB48" s="65" t="s">
        <v>4294</v>
      </c>
      <c r="AC48" s="274" t="s">
        <v>4283</v>
      </c>
      <c r="AD48" s="112" t="s">
        <v>3632</v>
      </c>
      <c r="AE48" s="237" t="s">
        <v>4295</v>
      </c>
      <c r="AF48" s="135" t="s">
        <v>4296</v>
      </c>
      <c r="AG48" s="274" t="s">
        <v>4283</v>
      </c>
      <c r="AH48" s="239" t="s">
        <v>3635</v>
      </c>
      <c r="AI48" s="119" t="s">
        <v>4297</v>
      </c>
      <c r="AJ48" s="134" t="s">
        <v>4298</v>
      </c>
      <c r="AK48" s="274" t="s">
        <v>4283</v>
      </c>
      <c r="AL48" s="112" t="s">
        <v>3638</v>
      </c>
      <c r="AM48" s="113" t="s">
        <v>4299</v>
      </c>
      <c r="AN48" s="75" t="s">
        <v>4300</v>
      </c>
      <c r="AO48" s="274" t="s">
        <v>4283</v>
      </c>
      <c r="AP48" s="108" t="s">
        <v>4301</v>
      </c>
      <c r="AQ48" s="113" t="s">
        <v>4302</v>
      </c>
      <c r="AR48" s="75" t="s">
        <v>4303</v>
      </c>
      <c r="AS48" s="75"/>
      <c r="AT48" s="75"/>
    </row>
    <row r="49">
      <c r="A49" s="274" t="s">
        <v>4304</v>
      </c>
      <c r="B49" s="125" t="s">
        <v>4305</v>
      </c>
      <c r="C49" s="113" t="s">
        <v>4306</v>
      </c>
      <c r="D49" s="75" t="s">
        <v>4307</v>
      </c>
      <c r="E49" s="274" t="s">
        <v>4304</v>
      </c>
      <c r="F49" s="112" t="s">
        <v>4308</v>
      </c>
      <c r="G49" s="111" t="s">
        <v>4309</v>
      </c>
      <c r="H49" s="75" t="s">
        <v>4310</v>
      </c>
      <c r="I49" s="274" t="s">
        <v>4304</v>
      </c>
      <c r="J49" s="125" t="s">
        <v>4311</v>
      </c>
      <c r="K49" s="113" t="s">
        <v>4312</v>
      </c>
      <c r="L49" s="75" t="s">
        <v>4313</v>
      </c>
      <c r="M49" s="274" t="s">
        <v>4304</v>
      </c>
      <c r="N49" s="112" t="s">
        <v>4314</v>
      </c>
      <c r="O49" s="111" t="s">
        <v>4315</v>
      </c>
      <c r="P49" s="72" t="s">
        <v>4316</v>
      </c>
      <c r="Q49" s="274" t="s">
        <v>4304</v>
      </c>
      <c r="R49" s="125" t="s">
        <v>4317</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4" t="s">
        <v>4304</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4304</v>
      </c>
      <c r="Z49" s="112" t="s">
        <v>4318</v>
      </c>
      <c r="AA49" s="236" t="s">
        <v>4319</v>
      </c>
      <c r="AB49" s="65" t="s">
        <v>4320</v>
      </c>
      <c r="AC49" s="274" t="s">
        <v>4304</v>
      </c>
      <c r="AD49" s="125" t="s">
        <v>4321</v>
      </c>
      <c r="AE49" s="113" t="s">
        <v>4322</v>
      </c>
      <c r="AF49" s="75" t="s">
        <v>4323</v>
      </c>
      <c r="AG49" s="274" t="s">
        <v>4304</v>
      </c>
      <c r="AH49" s="248" t="s">
        <v>4324</v>
      </c>
      <c r="AI49" s="152" t="s">
        <v>4325</v>
      </c>
      <c r="AJ49" s="188" t="s">
        <v>4326</v>
      </c>
      <c r="AK49" s="274" t="s">
        <v>4304</v>
      </c>
      <c r="AL49" s="125" t="s">
        <v>4327</v>
      </c>
      <c r="AM49" s="113" t="s">
        <v>4328</v>
      </c>
      <c r="AN49" s="75" t="s">
        <v>4329</v>
      </c>
      <c r="AO49" s="274" t="s">
        <v>4304</v>
      </c>
      <c r="AP49" s="112" t="s">
        <v>4330</v>
      </c>
      <c r="AQ49" s="113" t="s">
        <v>4331</v>
      </c>
      <c r="AR49" s="75" t="s">
        <v>4332</v>
      </c>
      <c r="AS49" s="75"/>
      <c r="AT49" s="75"/>
    </row>
    <row r="50">
      <c r="A50" s="274" t="s">
        <v>4333</v>
      </c>
      <c r="B50" s="112" t="s">
        <v>3780</v>
      </c>
      <c r="C50" s="111" t="s">
        <v>4334</v>
      </c>
      <c r="D50" s="72" t="s">
        <v>4210</v>
      </c>
      <c r="E50" s="274" t="s">
        <v>4333</v>
      </c>
      <c r="F50" s="112" t="s">
        <v>3783</v>
      </c>
      <c r="G50" s="111" t="s">
        <v>4335</v>
      </c>
      <c r="H50" s="72" t="s">
        <v>4336</v>
      </c>
      <c r="I50" s="274" t="s">
        <v>4333</v>
      </c>
      <c r="J50" s="112" t="s">
        <v>4213</v>
      </c>
      <c r="K50" s="111" t="s">
        <v>4337</v>
      </c>
      <c r="L50" s="72" t="s">
        <v>4215</v>
      </c>
      <c r="M50" s="274" t="s">
        <v>4333</v>
      </c>
      <c r="N50" s="112" t="s">
        <v>4216</v>
      </c>
      <c r="O50" s="113" t="s">
        <v>4338</v>
      </c>
      <c r="P50" s="75" t="s">
        <v>4218</v>
      </c>
      <c r="Q50" s="274" t="s">
        <v>4333</v>
      </c>
      <c r="R50" s="125" t="s">
        <v>3791</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4333</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4333</v>
      </c>
      <c r="Z50" s="235" t="s">
        <v>4219</v>
      </c>
      <c r="AA50" s="236" t="s">
        <v>4339</v>
      </c>
      <c r="AB50" s="275" t="s">
        <v>4221</v>
      </c>
      <c r="AC50" s="274" t="s">
        <v>4333</v>
      </c>
      <c r="AD50" s="112" t="s">
        <v>4272</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4340</v>
      </c>
      <c r="AG50" s="274" t="s">
        <v>4333</v>
      </c>
      <c r="AH50" s="238" t="s">
        <v>4275</v>
      </c>
      <c r="AI50" s="119" t="s">
        <v>4341</v>
      </c>
      <c r="AJ50" s="120" t="s">
        <v>4342</v>
      </c>
      <c r="AK50" s="274" t="s">
        <v>4333</v>
      </c>
      <c r="AL50" s="125" t="s">
        <v>4278</v>
      </c>
      <c r="AM50" s="113" t="s">
        <v>4343</v>
      </c>
      <c r="AN50" s="72" t="s">
        <v>4344</v>
      </c>
      <c r="AO50" s="274" t="s">
        <v>4333</v>
      </c>
      <c r="AP50" s="108" t="s">
        <v>3804</v>
      </c>
      <c r="AQ50" s="113" t="s">
        <v>4345</v>
      </c>
      <c r="AR50" s="75" t="s">
        <v>4346</v>
      </c>
      <c r="AS50" s="75"/>
      <c r="AT50" s="75"/>
    </row>
    <row r="51">
      <c r="A51" s="274" t="s">
        <v>4347</v>
      </c>
      <c r="B51" s="125" t="s">
        <v>3615</v>
      </c>
      <c r="C51" s="113" t="s">
        <v>4348</v>
      </c>
      <c r="D51" s="75" t="s">
        <v>4349</v>
      </c>
      <c r="E51" s="274" t="s">
        <v>4347</v>
      </c>
      <c r="F51" s="125" t="s">
        <v>4350</v>
      </c>
      <c r="G51" s="113" t="s">
        <v>4351</v>
      </c>
      <c r="H51" s="75" t="s">
        <v>4352</v>
      </c>
      <c r="I51" s="274" t="s">
        <v>4347</v>
      </c>
      <c r="J51" s="112" t="s">
        <v>4353</v>
      </c>
      <c r="K51" s="111" t="s">
        <v>4354</v>
      </c>
      <c r="L51" s="75" t="s">
        <v>4355</v>
      </c>
      <c r="M51" s="274" t="s">
        <v>4347</v>
      </c>
      <c r="N51" s="112" t="s">
        <v>3625</v>
      </c>
      <c r="O51" s="111" t="s">
        <v>4356</v>
      </c>
      <c r="P51" s="72" t="s">
        <v>4357</v>
      </c>
      <c r="Q51" s="274" t="s">
        <v>4347</v>
      </c>
      <c r="R51" s="125" t="s">
        <v>4358</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4347</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4347</v>
      </c>
      <c r="Z51" s="235" t="s">
        <v>3654</v>
      </c>
      <c r="AA51" s="236" t="s">
        <v>4359</v>
      </c>
      <c r="AB51" s="65" t="s">
        <v>4360</v>
      </c>
      <c r="AC51" s="274" t="s">
        <v>4347</v>
      </c>
      <c r="AD51" s="125" t="s">
        <v>4361</v>
      </c>
      <c r="AE51" s="113" t="s">
        <v>4362</v>
      </c>
      <c r="AF51" s="75" t="s">
        <v>4363</v>
      </c>
      <c r="AG51" s="274" t="s">
        <v>4347</v>
      </c>
      <c r="AH51" s="239" t="s">
        <v>4364</v>
      </c>
      <c r="AI51" s="152" t="s">
        <v>4365</v>
      </c>
      <c r="AJ51" s="188" t="s">
        <v>4366</v>
      </c>
      <c r="AK51" s="274" t="s">
        <v>4347</v>
      </c>
      <c r="AL51" s="112" t="s">
        <v>4367</v>
      </c>
      <c r="AM51" s="113" t="s">
        <v>4368</v>
      </c>
      <c r="AN51" s="75" t="s">
        <v>4369</v>
      </c>
      <c r="AO51" s="274" t="s">
        <v>4347</v>
      </c>
      <c r="AP51" s="108" t="s">
        <v>4370</v>
      </c>
      <c r="AQ51" s="113" t="s">
        <v>4371</v>
      </c>
      <c r="AR51" s="75" t="s">
        <v>4372</v>
      </c>
      <c r="AS51" s="75"/>
      <c r="AT51" s="75"/>
    </row>
    <row r="52">
      <c r="A52" s="274" t="s">
        <v>4373</v>
      </c>
      <c r="B52" s="125" t="s">
        <v>4374</v>
      </c>
      <c r="C52" s="113" t="s">
        <v>4375</v>
      </c>
      <c r="D52" s="75" t="s">
        <v>4376</v>
      </c>
      <c r="E52" s="274" t="s">
        <v>4373</v>
      </c>
      <c r="F52" s="112" t="s">
        <v>4377</v>
      </c>
      <c r="G52" s="113" t="s">
        <v>4378</v>
      </c>
      <c r="H52" s="75" t="s">
        <v>4379</v>
      </c>
      <c r="I52" s="274" t="s">
        <v>4373</v>
      </c>
      <c r="J52" s="125" t="s">
        <v>4380</v>
      </c>
      <c r="K52" s="113" t="s">
        <v>4381</v>
      </c>
      <c r="L52" s="75" t="s">
        <v>4382</v>
      </c>
      <c r="M52" s="274" t="s">
        <v>4373</v>
      </c>
      <c r="N52" s="112" t="s">
        <v>4383</v>
      </c>
      <c r="O52" s="111" t="s">
        <v>4384</v>
      </c>
      <c r="P52" s="72" t="s">
        <v>4385</v>
      </c>
      <c r="Q52" s="274" t="s">
        <v>4373</v>
      </c>
      <c r="R52" s="125" t="s">
        <v>4386</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4" t="s">
        <v>4373</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4373</v>
      </c>
      <c r="Z52" s="112" t="s">
        <v>4387</v>
      </c>
      <c r="AA52" s="236" t="s">
        <v>4388</v>
      </c>
      <c r="AB52" s="65" t="s">
        <v>4389</v>
      </c>
      <c r="AC52" s="274" t="s">
        <v>4373</v>
      </c>
      <c r="AD52" s="125" t="s">
        <v>4390</v>
      </c>
      <c r="AE52" s="113" t="s">
        <v>4391</v>
      </c>
      <c r="AF52" s="75" t="s">
        <v>4392</v>
      </c>
      <c r="AG52" s="274" t="s">
        <v>4373</v>
      </c>
      <c r="AH52" s="248" t="s">
        <v>4393</v>
      </c>
      <c r="AI52" s="152" t="s">
        <v>4394</v>
      </c>
      <c r="AJ52" s="188" t="s">
        <v>4395</v>
      </c>
      <c r="AK52" s="274" t="s">
        <v>4373</v>
      </c>
      <c r="AL52" s="125" t="s">
        <v>4396</v>
      </c>
      <c r="AM52" s="113" t="s">
        <v>4397</v>
      </c>
      <c r="AN52" s="75" t="s">
        <v>4398</v>
      </c>
      <c r="AO52" s="274" t="s">
        <v>4373</v>
      </c>
      <c r="AP52" s="112" t="s">
        <v>4399</v>
      </c>
      <c r="AQ52" s="113" t="s">
        <v>4400</v>
      </c>
      <c r="AR52" s="75" t="s">
        <v>4401</v>
      </c>
      <c r="AS52" s="75"/>
      <c r="AT52" s="75"/>
    </row>
    <row r="53">
      <c r="A53" s="274" t="s">
        <v>4402</v>
      </c>
      <c r="B53" s="112" t="s">
        <v>3780</v>
      </c>
      <c r="C53" s="111" t="s">
        <v>4403</v>
      </c>
      <c r="D53" s="72" t="s">
        <v>4404</v>
      </c>
      <c r="E53" s="274" t="s">
        <v>4402</v>
      </c>
      <c r="F53" s="112" t="s">
        <v>3783</v>
      </c>
      <c r="G53" s="111" t="s">
        <v>4405</v>
      </c>
      <c r="H53" s="72" t="s">
        <v>4406</v>
      </c>
      <c r="I53" s="274" t="s">
        <v>4402</v>
      </c>
      <c r="J53" s="112" t="s">
        <v>4213</v>
      </c>
      <c r="K53" s="111" t="s">
        <v>4407</v>
      </c>
      <c r="L53" s="72" t="s">
        <v>4408</v>
      </c>
      <c r="M53" s="274" t="s">
        <v>4402</v>
      </c>
      <c r="N53" s="112" t="s">
        <v>4216</v>
      </c>
      <c r="O53" s="113" t="s">
        <v>4409</v>
      </c>
      <c r="P53" s="75" t="s">
        <v>4410</v>
      </c>
      <c r="Q53" s="274" t="s">
        <v>4402</v>
      </c>
      <c r="R53" s="125" t="s">
        <v>3791</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4" t="s">
        <v>4402</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4402</v>
      </c>
      <c r="Z53" s="235" t="s">
        <v>4219</v>
      </c>
      <c r="AA53" s="236" t="s">
        <v>4411</v>
      </c>
      <c r="AB53" s="65" t="s">
        <v>4412</v>
      </c>
      <c r="AC53" s="274" t="s">
        <v>4402</v>
      </c>
      <c r="AD53" s="112" t="s">
        <v>4272</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4413</v>
      </c>
      <c r="AG53" s="274" t="s">
        <v>4402</v>
      </c>
      <c r="AH53" s="238" t="s">
        <v>4275</v>
      </c>
      <c r="AI53" s="119" t="s">
        <v>4414</v>
      </c>
      <c r="AJ53" s="120" t="s">
        <v>4415</v>
      </c>
      <c r="AK53" s="274" t="s">
        <v>4402</v>
      </c>
      <c r="AL53" s="125" t="s">
        <v>4278</v>
      </c>
      <c r="AM53" s="113" t="s">
        <v>4416</v>
      </c>
      <c r="AN53" s="75" t="s">
        <v>4417</v>
      </c>
      <c r="AO53" s="274" t="s">
        <v>4402</v>
      </c>
      <c r="AP53" s="108" t="s">
        <v>3804</v>
      </c>
      <c r="AQ53" s="113" t="s">
        <v>4418</v>
      </c>
      <c r="AR53" s="75" t="s">
        <v>4419</v>
      </c>
      <c r="AS53" s="75"/>
      <c r="AT53" s="75"/>
    </row>
    <row r="54">
      <c r="A54" s="274" t="s">
        <v>4420</v>
      </c>
      <c r="B54" s="112" t="s">
        <v>3780</v>
      </c>
      <c r="C54" s="111" t="s">
        <v>4421</v>
      </c>
      <c r="D54" s="72" t="s">
        <v>4422</v>
      </c>
      <c r="E54" s="274" t="s">
        <v>4420</v>
      </c>
      <c r="F54" s="112" t="s">
        <v>3783</v>
      </c>
      <c r="G54" s="111" t="s">
        <v>4423</v>
      </c>
      <c r="H54" s="72" t="s">
        <v>4424</v>
      </c>
      <c r="I54" s="274" t="s">
        <v>4420</v>
      </c>
      <c r="J54" s="112" t="s">
        <v>4213</v>
      </c>
      <c r="K54" s="111" t="s">
        <v>4425</v>
      </c>
      <c r="L54" s="72" t="s">
        <v>4426</v>
      </c>
      <c r="M54" s="274" t="s">
        <v>4420</v>
      </c>
      <c r="N54" s="112" t="s">
        <v>4216</v>
      </c>
      <c r="O54" s="113" t="s">
        <v>4427</v>
      </c>
      <c r="P54" s="75" t="s">
        <v>4428</v>
      </c>
      <c r="Q54" s="274" t="s">
        <v>4420</v>
      </c>
      <c r="R54" s="125" t="s">
        <v>3791</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4420</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4420</v>
      </c>
      <c r="Z54" s="235" t="s">
        <v>4219</v>
      </c>
      <c r="AA54" s="236" t="s">
        <v>4429</v>
      </c>
      <c r="AB54" s="65" t="s">
        <v>4430</v>
      </c>
      <c r="AC54" s="274" t="s">
        <v>4420</v>
      </c>
      <c r="AD54" s="112" t="s">
        <v>4272</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4431</v>
      </c>
      <c r="AG54" s="274" t="s">
        <v>4420</v>
      </c>
      <c r="AH54" s="238" t="s">
        <v>4275</v>
      </c>
      <c r="AI54" s="119" t="s">
        <v>4432</v>
      </c>
      <c r="AJ54" s="120" t="s">
        <v>4433</v>
      </c>
      <c r="AK54" s="274" t="s">
        <v>4420</v>
      </c>
      <c r="AL54" s="125" t="s">
        <v>4278</v>
      </c>
      <c r="AM54" s="113" t="s">
        <v>4434</v>
      </c>
      <c r="AN54" s="75" t="s">
        <v>4435</v>
      </c>
      <c r="AO54" s="274" t="s">
        <v>4420</v>
      </c>
      <c r="AP54" s="108" t="s">
        <v>3804</v>
      </c>
      <c r="AQ54" s="113" t="s">
        <v>4436</v>
      </c>
      <c r="AR54" s="75" t="s">
        <v>4437</v>
      </c>
      <c r="AS54" s="75"/>
      <c r="AT54" s="75"/>
    </row>
    <row r="55">
      <c r="A55" s="274" t="s">
        <v>4438</v>
      </c>
      <c r="B55" s="125" t="s">
        <v>4439</v>
      </c>
      <c r="C55" s="113" t="s">
        <v>4440</v>
      </c>
      <c r="D55" s="75" t="s">
        <v>4441</v>
      </c>
      <c r="E55" s="274" t="s">
        <v>4438</v>
      </c>
      <c r="F55" s="112" t="s">
        <v>4442</v>
      </c>
      <c r="G55" s="113" t="s">
        <v>4443</v>
      </c>
      <c r="H55" s="75" t="s">
        <v>4444</v>
      </c>
      <c r="I55" s="274" t="s">
        <v>4438</v>
      </c>
      <c r="J55" s="125" t="s">
        <v>4445</v>
      </c>
      <c r="K55" s="113" t="s">
        <v>4446</v>
      </c>
      <c r="L55" s="75" t="s">
        <v>4447</v>
      </c>
      <c r="M55" s="274" t="s">
        <v>4438</v>
      </c>
      <c r="N55" s="112" t="s">
        <v>4448</v>
      </c>
      <c r="O55" s="111" t="s">
        <v>4449</v>
      </c>
      <c r="P55" s="72" t="s">
        <v>4450</v>
      </c>
      <c r="Q55" s="274" t="s">
        <v>4438</v>
      </c>
      <c r="R55" s="125" t="s">
        <v>4451</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4" t="s">
        <v>4438</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4438</v>
      </c>
      <c r="Z55" s="112" t="s">
        <v>4452</v>
      </c>
      <c r="AA55" s="236" t="s">
        <v>4453</v>
      </c>
      <c r="AB55" s="65" t="s">
        <v>4454</v>
      </c>
      <c r="AC55" s="274" t="s">
        <v>4438</v>
      </c>
      <c r="AD55" s="125" t="s">
        <v>4455</v>
      </c>
      <c r="AE55" s="113" t="s">
        <v>4456</v>
      </c>
      <c r="AF55" s="75" t="s">
        <v>4457</v>
      </c>
      <c r="AG55" s="274" t="s">
        <v>4438</v>
      </c>
      <c r="AH55" s="248" t="s">
        <v>4324</v>
      </c>
      <c r="AI55" s="152" t="s">
        <v>4458</v>
      </c>
      <c r="AJ55" s="188" t="s">
        <v>4459</v>
      </c>
      <c r="AK55" s="274" t="s">
        <v>4438</v>
      </c>
      <c r="AL55" s="125" t="s">
        <v>4460</v>
      </c>
      <c r="AM55" s="113" t="s">
        <v>4461</v>
      </c>
      <c r="AN55" s="75" t="s">
        <v>4462</v>
      </c>
      <c r="AO55" s="274" t="s">
        <v>4438</v>
      </c>
      <c r="AP55" s="112" t="s">
        <v>4463</v>
      </c>
      <c r="AQ55" s="113" t="s">
        <v>4464</v>
      </c>
      <c r="AR55" s="75" t="s">
        <v>4465</v>
      </c>
      <c r="AS55" s="75"/>
      <c r="AT55" s="75"/>
    </row>
    <row r="56">
      <c r="A56" s="274" t="s">
        <v>4466</v>
      </c>
      <c r="B56" s="112" t="s">
        <v>3780</v>
      </c>
      <c r="C56" s="111" t="s">
        <v>4467</v>
      </c>
      <c r="D56" s="72" t="s">
        <v>4468</v>
      </c>
      <c r="E56" s="274" t="s">
        <v>4466</v>
      </c>
      <c r="F56" s="112" t="s">
        <v>3783</v>
      </c>
      <c r="G56" s="111" t="s">
        <v>4469</v>
      </c>
      <c r="H56" s="72" t="s">
        <v>4470</v>
      </c>
      <c r="I56" s="274" t="s">
        <v>4466</v>
      </c>
      <c r="J56" s="112" t="s">
        <v>4213</v>
      </c>
      <c r="K56" s="111" t="s">
        <v>4471</v>
      </c>
      <c r="L56" s="72" t="s">
        <v>4472</v>
      </c>
      <c r="M56" s="274" t="s">
        <v>4466</v>
      </c>
      <c r="N56" s="112" t="s">
        <v>4216</v>
      </c>
      <c r="O56" s="113" t="s">
        <v>4473</v>
      </c>
      <c r="P56" s="75" t="s">
        <v>4474</v>
      </c>
      <c r="Q56" s="274" t="s">
        <v>4466</v>
      </c>
      <c r="R56" s="125" t="s">
        <v>3791</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4" t="s">
        <v>4466</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4466</v>
      </c>
      <c r="Z56" s="235" t="s">
        <v>4219</v>
      </c>
      <c r="AA56" s="236" t="s">
        <v>4475</v>
      </c>
      <c r="AB56" s="65" t="s">
        <v>4476</v>
      </c>
      <c r="AC56" s="274" t="s">
        <v>4466</v>
      </c>
      <c r="AD56" s="112" t="s">
        <v>4272</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4477</v>
      </c>
      <c r="AG56" s="274" t="s">
        <v>4466</v>
      </c>
      <c r="AH56" s="238" t="s">
        <v>4275</v>
      </c>
      <c r="AI56" s="119" t="s">
        <v>4478</v>
      </c>
      <c r="AJ56" s="120" t="s">
        <v>4479</v>
      </c>
      <c r="AK56" s="274" t="s">
        <v>4466</v>
      </c>
      <c r="AL56" s="125" t="s">
        <v>4278</v>
      </c>
      <c r="AM56" s="113" t="s">
        <v>4480</v>
      </c>
      <c r="AN56" s="75" t="s">
        <v>4481</v>
      </c>
      <c r="AO56" s="274" t="s">
        <v>4466</v>
      </c>
      <c r="AP56" s="108" t="s">
        <v>3804</v>
      </c>
      <c r="AQ56" s="113" t="s">
        <v>4482</v>
      </c>
      <c r="AR56" s="75" t="s">
        <v>4483</v>
      </c>
      <c r="AS56" s="75"/>
      <c r="AT56" s="75"/>
    </row>
    <row r="57">
      <c r="A57" s="274" t="s">
        <v>4484</v>
      </c>
      <c r="B57" s="112" t="s">
        <v>3780</v>
      </c>
      <c r="C57" s="111" t="s">
        <v>4485</v>
      </c>
      <c r="D57" s="72" t="s">
        <v>4486</v>
      </c>
      <c r="E57" s="274" t="s">
        <v>4484</v>
      </c>
      <c r="F57" s="112" t="s">
        <v>3783</v>
      </c>
      <c r="G57" s="111" t="s">
        <v>4487</v>
      </c>
      <c r="H57" s="72" t="s">
        <v>4488</v>
      </c>
      <c r="I57" s="274" t="s">
        <v>4484</v>
      </c>
      <c r="J57" s="112" t="s">
        <v>4213</v>
      </c>
      <c r="K57" s="111" t="s">
        <v>4489</v>
      </c>
      <c r="L57" s="72" t="s">
        <v>4490</v>
      </c>
      <c r="M57" s="274" t="s">
        <v>4484</v>
      </c>
      <c r="N57" s="112" t="s">
        <v>4216</v>
      </c>
      <c r="O57" s="113" t="s">
        <v>4491</v>
      </c>
      <c r="P57" s="75" t="s">
        <v>4492</v>
      </c>
      <c r="Q57" s="274" t="s">
        <v>4484</v>
      </c>
      <c r="R57" s="125" t="s">
        <v>3791</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4484</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4484</v>
      </c>
      <c r="Z57" s="235" t="s">
        <v>4219</v>
      </c>
      <c r="AA57" s="236" t="s">
        <v>4493</v>
      </c>
      <c r="AB57" s="65" t="s">
        <v>4494</v>
      </c>
      <c r="AC57" s="274" t="s">
        <v>4484</v>
      </c>
      <c r="AD57" s="112" t="s">
        <v>4272</v>
      </c>
      <c r="AE57" s="111" t="str">
        <f>IFERROR(__xludf.DUMMYFUNCTION("GOOGLETRANSLATE(C57,""zh-tw"",""de"")"),"Im Erschließungsbereich (Schacht) -4, links nach dem Abstieg über die zentrale Treppe.")</f>
        <v>Im Erschließungsbereich (Schacht) -4, links nach dem Abstieg über die zentrale Treppe.</v>
      </c>
      <c r="AF57" s="72" t="s">
        <v>4495</v>
      </c>
      <c r="AG57" s="274" t="s">
        <v>4484</v>
      </c>
      <c r="AH57" s="238" t="s">
        <v>4275</v>
      </c>
      <c r="AI57" s="119" t="s">
        <v>4496</v>
      </c>
      <c r="AJ57" s="120" t="s">
        <v>4497</v>
      </c>
      <c r="AK57" s="274" t="s">
        <v>4484</v>
      </c>
      <c r="AL57" s="125" t="s">
        <v>4278</v>
      </c>
      <c r="AM57" s="113" t="s">
        <v>4498</v>
      </c>
      <c r="AN57" s="75" t="s">
        <v>4499</v>
      </c>
      <c r="AO57" s="274" t="s">
        <v>4484</v>
      </c>
      <c r="AP57" s="108" t="s">
        <v>3804</v>
      </c>
      <c r="AQ57" s="113" t="s">
        <v>4500</v>
      </c>
      <c r="AR57" s="75" t="s">
        <v>4501</v>
      </c>
      <c r="AS57" s="75"/>
      <c r="AT57" s="75"/>
    </row>
    <row r="58">
      <c r="A58" s="274" t="s">
        <v>4502</v>
      </c>
      <c r="B58" s="112" t="s">
        <v>3780</v>
      </c>
      <c r="C58" s="111" t="s">
        <v>4503</v>
      </c>
      <c r="D58" s="72" t="s">
        <v>4504</v>
      </c>
      <c r="E58" s="274" t="s">
        <v>4502</v>
      </c>
      <c r="F58" s="112" t="s">
        <v>3783</v>
      </c>
      <c r="G58" s="111" t="s">
        <v>4505</v>
      </c>
      <c r="H58" s="72" t="s">
        <v>4506</v>
      </c>
      <c r="I58" s="274" t="s">
        <v>4502</v>
      </c>
      <c r="J58" s="112" t="s">
        <v>4213</v>
      </c>
      <c r="K58" s="111" t="s">
        <v>4507</v>
      </c>
      <c r="L58" s="72" t="s">
        <v>4508</v>
      </c>
      <c r="M58" s="274" t="s">
        <v>4502</v>
      </c>
      <c r="N58" s="112" t="s">
        <v>4216</v>
      </c>
      <c r="O58" s="113" t="s">
        <v>4509</v>
      </c>
      <c r="P58" s="75" t="s">
        <v>4510</v>
      </c>
      <c r="Q58" s="274" t="s">
        <v>4502</v>
      </c>
      <c r="R58" s="125" t="s">
        <v>3791</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4502</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4502</v>
      </c>
      <c r="Z58" s="235" t="s">
        <v>4219</v>
      </c>
      <c r="AA58" s="236" t="s">
        <v>4511</v>
      </c>
      <c r="AB58" s="65" t="s">
        <v>4512</v>
      </c>
      <c r="AC58" s="274" t="s">
        <v>4502</v>
      </c>
      <c r="AD58" s="112" t="s">
        <v>4272</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4513</v>
      </c>
      <c r="AG58" s="274" t="s">
        <v>4502</v>
      </c>
      <c r="AH58" s="238" t="s">
        <v>4275</v>
      </c>
      <c r="AI58" s="119" t="s">
        <v>4514</v>
      </c>
      <c r="AJ58" s="120" t="s">
        <v>4515</v>
      </c>
      <c r="AK58" s="274" t="s">
        <v>4502</v>
      </c>
      <c r="AL58" s="125" t="s">
        <v>4278</v>
      </c>
      <c r="AM58" s="113" t="s">
        <v>4516</v>
      </c>
      <c r="AN58" s="75" t="s">
        <v>4517</v>
      </c>
      <c r="AO58" s="274" t="s">
        <v>4502</v>
      </c>
      <c r="AP58" s="108" t="s">
        <v>3804</v>
      </c>
      <c r="AQ58" s="113" t="s">
        <v>4518</v>
      </c>
      <c r="AR58" s="75" t="s">
        <v>4519</v>
      </c>
      <c r="AS58" s="75"/>
      <c r="AT58" s="75"/>
    </row>
    <row r="59">
      <c r="A59" s="274" t="s">
        <v>4520</v>
      </c>
      <c r="B59" s="125" t="s">
        <v>3615</v>
      </c>
      <c r="C59" s="113" t="s">
        <v>4521</v>
      </c>
      <c r="D59" s="72" t="s">
        <v>4522</v>
      </c>
      <c r="E59" s="274" t="s">
        <v>4520</v>
      </c>
      <c r="F59" s="125" t="s">
        <v>4350</v>
      </c>
      <c r="G59" s="113" t="s">
        <v>4523</v>
      </c>
      <c r="H59" s="72" t="s">
        <v>4524</v>
      </c>
      <c r="I59" s="274" t="s">
        <v>4520</v>
      </c>
      <c r="J59" s="112" t="s">
        <v>4525</v>
      </c>
      <c r="K59" s="113" t="s">
        <v>4526</v>
      </c>
      <c r="L59" s="72" t="s">
        <v>4527</v>
      </c>
      <c r="M59" s="274" t="s">
        <v>4520</v>
      </c>
      <c r="N59" s="112" t="s">
        <v>3625</v>
      </c>
      <c r="O59" s="111" t="s">
        <v>4528</v>
      </c>
      <c r="P59" s="72" t="s">
        <v>4529</v>
      </c>
      <c r="Q59" s="274" t="s">
        <v>4520</v>
      </c>
      <c r="R59" s="125" t="s">
        <v>4358</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4" t="s">
        <v>4520</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4520</v>
      </c>
      <c r="Z59" s="235" t="s">
        <v>3654</v>
      </c>
      <c r="AA59" s="236" t="s">
        <v>4530</v>
      </c>
      <c r="AB59" s="65" t="s">
        <v>4531</v>
      </c>
      <c r="AC59" s="274" t="s">
        <v>4520</v>
      </c>
      <c r="AD59" s="112" t="s">
        <v>4361</v>
      </c>
      <c r="AE59" s="113" t="s">
        <v>4532</v>
      </c>
      <c r="AF59" s="75" t="s">
        <v>4533</v>
      </c>
      <c r="AG59" s="274" t="s">
        <v>4520</v>
      </c>
      <c r="AH59" s="239" t="s">
        <v>4364</v>
      </c>
      <c r="AI59" s="152" t="s">
        <v>4534</v>
      </c>
      <c r="AJ59" s="188" t="s">
        <v>4535</v>
      </c>
      <c r="AK59" s="274" t="s">
        <v>4520</v>
      </c>
      <c r="AL59" s="112" t="s">
        <v>4367</v>
      </c>
      <c r="AM59" s="113" t="s">
        <v>4536</v>
      </c>
      <c r="AN59" s="75" t="s">
        <v>4537</v>
      </c>
      <c r="AO59" s="274" t="s">
        <v>4520</v>
      </c>
      <c r="AP59" s="108" t="s">
        <v>4370</v>
      </c>
      <c r="AQ59" s="113" t="s">
        <v>4538</v>
      </c>
      <c r="AR59" s="75" t="s">
        <v>4539</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2701</v>
      </c>
      <c r="B61" s="276" t="s">
        <v>4540</v>
      </c>
      <c r="E61" s="228" t="s">
        <v>2701</v>
      </c>
      <c r="F61" s="231"/>
      <c r="I61" s="228" t="s">
        <v>2701</v>
      </c>
      <c r="J61" s="230" t="s">
        <v>4541</v>
      </c>
      <c r="M61" s="228" t="s">
        <v>2701</v>
      </c>
      <c r="N61" s="228" t="s">
        <v>4542</v>
      </c>
      <c r="Q61" s="228" t="s">
        <v>2701</v>
      </c>
      <c r="R61" s="231"/>
      <c r="U61" s="228" t="s">
        <v>2701</v>
      </c>
      <c r="V61" s="231"/>
      <c r="Y61" s="228" t="s">
        <v>2701</v>
      </c>
      <c r="Z61" s="232" t="s">
        <v>4543</v>
      </c>
      <c r="AC61" s="228" t="s">
        <v>2701</v>
      </c>
      <c r="AD61" s="231"/>
      <c r="AG61" s="228" t="s">
        <v>2701</v>
      </c>
      <c r="AH61" s="231"/>
      <c r="AK61" s="228" t="s">
        <v>2701</v>
      </c>
      <c r="AL61" s="233" t="s">
        <v>4544</v>
      </c>
      <c r="AO61" s="228" t="s">
        <v>2701</v>
      </c>
      <c r="AP61" s="229"/>
      <c r="AS61" s="231"/>
      <c r="AT61" s="231"/>
    </row>
    <row r="62">
      <c r="A62" s="274" t="s">
        <v>4545</v>
      </c>
      <c r="B62" s="112" t="s">
        <v>3780</v>
      </c>
      <c r="C62" s="111" t="s">
        <v>4546</v>
      </c>
      <c r="D62" s="72" t="s">
        <v>4547</v>
      </c>
      <c r="E62" s="274" t="s">
        <v>4545</v>
      </c>
      <c r="F62" s="112" t="s">
        <v>3783</v>
      </c>
      <c r="G62" s="109" t="s">
        <v>4548</v>
      </c>
      <c r="H62" s="110" t="s">
        <v>4549</v>
      </c>
      <c r="I62" s="274" t="s">
        <v>4545</v>
      </c>
      <c r="J62" s="112" t="s">
        <v>4213</v>
      </c>
      <c r="K62" s="109" t="s">
        <v>4550</v>
      </c>
      <c r="L62" s="72" t="s">
        <v>4551</v>
      </c>
      <c r="M62" s="274" t="s">
        <v>4545</v>
      </c>
      <c r="N62" s="112" t="s">
        <v>4216</v>
      </c>
      <c r="O62" s="111" t="s">
        <v>4552</v>
      </c>
      <c r="P62" s="72" t="s">
        <v>4553</v>
      </c>
      <c r="Q62" s="274" t="s">
        <v>4545</v>
      </c>
      <c r="R62" s="125" t="s">
        <v>3791</v>
      </c>
      <c r="S62" s="109" t="s">
        <v>4554</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4" t="s">
        <v>4545</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4545</v>
      </c>
      <c r="Z62" s="235" t="s">
        <v>4219</v>
      </c>
      <c r="AA62" s="236" t="s">
        <v>4555</v>
      </c>
      <c r="AB62" s="65" t="s">
        <v>4556</v>
      </c>
      <c r="AC62" s="274" t="s">
        <v>4545</v>
      </c>
      <c r="AD62" s="112" t="s">
        <v>4272</v>
      </c>
      <c r="AE62" s="109" t="s">
        <v>4557</v>
      </c>
      <c r="AF62" s="110" t="s">
        <v>4558</v>
      </c>
      <c r="AG62" s="274" t="s">
        <v>4545</v>
      </c>
      <c r="AH62" s="238" t="s">
        <v>4275</v>
      </c>
      <c r="AI62" s="119" t="s">
        <v>4559</v>
      </c>
      <c r="AJ62" s="120" t="s">
        <v>4560</v>
      </c>
      <c r="AK62" s="274" t="s">
        <v>4545</v>
      </c>
      <c r="AL62" s="125" t="s">
        <v>4278</v>
      </c>
      <c r="AM62" s="113" t="s">
        <v>4561</v>
      </c>
      <c r="AN62" s="75" t="s">
        <v>4562</v>
      </c>
      <c r="AO62" s="274" t="s">
        <v>4545</v>
      </c>
      <c r="AP62" s="108" t="s">
        <v>3804</v>
      </c>
      <c r="AQ62" s="113" t="s">
        <v>4563</v>
      </c>
      <c r="AR62" s="75" t="s">
        <v>4564</v>
      </c>
      <c r="AS62" s="75"/>
      <c r="AT62" s="75"/>
    </row>
    <row r="63">
      <c r="A63" s="229"/>
      <c r="B63" s="276" t="s">
        <v>4565</v>
      </c>
      <c r="E63" s="229"/>
      <c r="F63" s="231"/>
      <c r="I63" s="229"/>
      <c r="J63" s="230" t="s">
        <v>4566</v>
      </c>
      <c r="M63" s="229"/>
      <c r="N63" s="228" t="s">
        <v>4567</v>
      </c>
      <c r="Q63" s="229"/>
      <c r="R63" s="231"/>
      <c r="U63" s="229"/>
      <c r="V63" s="231"/>
      <c r="Y63" s="229"/>
      <c r="Z63" s="232" t="s">
        <v>4568</v>
      </c>
      <c r="AC63" s="229"/>
      <c r="AD63" s="231"/>
      <c r="AG63" s="229"/>
      <c r="AH63" s="231"/>
      <c r="AK63" s="229"/>
      <c r="AL63" s="233" t="s">
        <v>4569</v>
      </c>
      <c r="AO63" s="229"/>
      <c r="AP63" s="229"/>
      <c r="AS63" s="231"/>
      <c r="AT63" s="231"/>
    </row>
    <row r="64">
      <c r="A64" s="274" t="s">
        <v>4570</v>
      </c>
      <c r="B64" s="112" t="s">
        <v>3615</v>
      </c>
      <c r="C64" s="111" t="s">
        <v>4571</v>
      </c>
      <c r="D64" s="72" t="s">
        <v>4572</v>
      </c>
      <c r="E64" s="274" t="s">
        <v>4570</v>
      </c>
      <c r="F64" s="112" t="s">
        <v>3619</v>
      </c>
      <c r="G64" s="111" t="s">
        <v>4573</v>
      </c>
      <c r="H64" s="72" t="s">
        <v>4574</v>
      </c>
      <c r="I64" s="274" t="s">
        <v>4570</v>
      </c>
      <c r="J64" s="112" t="s">
        <v>4353</v>
      </c>
      <c r="K64" s="111" t="s">
        <v>4575</v>
      </c>
      <c r="L64" s="72" t="s">
        <v>4576</v>
      </c>
      <c r="M64" s="274" t="s">
        <v>4570</v>
      </c>
      <c r="N64" s="112" t="s">
        <v>3625</v>
      </c>
      <c r="O64" s="111" t="s">
        <v>4577</v>
      </c>
      <c r="P64" s="72" t="s">
        <v>4578</v>
      </c>
      <c r="Q64" s="274" t="s">
        <v>4570</v>
      </c>
      <c r="R64" s="112" t="s">
        <v>3628</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4570</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4570</v>
      </c>
      <c r="Z64" s="235" t="s">
        <v>3654</v>
      </c>
      <c r="AA64" s="236" t="s">
        <v>4579</v>
      </c>
      <c r="AB64" s="65" t="s">
        <v>4580</v>
      </c>
      <c r="AC64" s="274" t="s">
        <v>4570</v>
      </c>
      <c r="AD64" s="112" t="s">
        <v>3632</v>
      </c>
      <c r="AE64" s="237" t="s">
        <v>4581</v>
      </c>
      <c r="AF64" s="135" t="s">
        <v>4582</v>
      </c>
      <c r="AG64" s="274" t="s">
        <v>4570</v>
      </c>
      <c r="AH64" s="239" t="s">
        <v>3635</v>
      </c>
      <c r="AI64" s="119" t="s">
        <v>4583</v>
      </c>
      <c r="AJ64" s="120" t="s">
        <v>4584</v>
      </c>
      <c r="AK64" s="274" t="s">
        <v>4570</v>
      </c>
      <c r="AL64" s="112" t="s">
        <v>3638</v>
      </c>
      <c r="AM64" s="113" t="s">
        <v>4585</v>
      </c>
      <c r="AN64" s="75" t="s">
        <v>4586</v>
      </c>
      <c r="AO64" s="274" t="s">
        <v>4570</v>
      </c>
      <c r="AP64" s="112" t="s">
        <v>3641</v>
      </c>
      <c r="AQ64" s="113" t="s">
        <v>4587</v>
      </c>
      <c r="AR64" s="75" t="s">
        <v>4588</v>
      </c>
      <c r="AS64" s="75"/>
      <c r="AT64" s="75"/>
    </row>
    <row r="65">
      <c r="A65" s="274" t="s">
        <v>4589</v>
      </c>
      <c r="B65" s="112" t="s">
        <v>4590</v>
      </c>
      <c r="C65" s="111" t="s">
        <v>4591</v>
      </c>
      <c r="D65" s="72" t="s">
        <v>4592</v>
      </c>
      <c r="E65" s="274" t="s">
        <v>4589</v>
      </c>
      <c r="F65" s="112" t="s">
        <v>4590</v>
      </c>
      <c r="G65" s="111" t="s">
        <v>4593</v>
      </c>
      <c r="H65" s="72" t="s">
        <v>4594</v>
      </c>
      <c r="I65" s="274" t="s">
        <v>4589</v>
      </c>
      <c r="J65" s="112" t="s">
        <v>4595</v>
      </c>
      <c r="K65" s="111" t="s">
        <v>4596</v>
      </c>
      <c r="L65" s="72" t="s">
        <v>4597</v>
      </c>
      <c r="M65" s="274" t="s">
        <v>4589</v>
      </c>
      <c r="N65" s="112" t="s">
        <v>4598</v>
      </c>
      <c r="O65" s="111" t="s">
        <v>4599</v>
      </c>
      <c r="P65" s="72" t="s">
        <v>4600</v>
      </c>
      <c r="Q65" s="274" t="s">
        <v>4589</v>
      </c>
      <c r="R65" s="112" t="s">
        <v>4601</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4589</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4589</v>
      </c>
      <c r="Z65" s="235" t="s">
        <v>4602</v>
      </c>
      <c r="AA65" s="236" t="s">
        <v>4603</v>
      </c>
      <c r="AB65" s="71" t="s">
        <v>4604</v>
      </c>
      <c r="AC65" s="274" t="s">
        <v>4589</v>
      </c>
      <c r="AD65" s="136" t="s">
        <v>4605</v>
      </c>
      <c r="AE65" s="237" t="s">
        <v>4606</v>
      </c>
      <c r="AF65" s="135" t="s">
        <v>4607</v>
      </c>
      <c r="AG65" s="274" t="s">
        <v>4589</v>
      </c>
      <c r="AH65" s="238" t="s">
        <v>4608</v>
      </c>
      <c r="AI65" s="119" t="s">
        <v>4609</v>
      </c>
      <c r="AJ65" s="120" t="s">
        <v>4610</v>
      </c>
      <c r="AK65" s="274" t="s">
        <v>4589</v>
      </c>
      <c r="AL65" s="125" t="s">
        <v>4595</v>
      </c>
      <c r="AM65" s="113" t="s">
        <v>4611</v>
      </c>
      <c r="AN65" s="75" t="s">
        <v>4612</v>
      </c>
      <c r="AO65" s="274" t="s">
        <v>4589</v>
      </c>
      <c r="AP65" s="108" t="s">
        <v>4613</v>
      </c>
      <c r="AQ65" s="113" t="s">
        <v>4614</v>
      </c>
      <c r="AR65" s="75" t="s">
        <v>4615</v>
      </c>
      <c r="AS65" s="75"/>
      <c r="AT65" s="75"/>
    </row>
    <row r="66">
      <c r="A66" s="274" t="s">
        <v>4616</v>
      </c>
      <c r="B66" s="112" t="s">
        <v>4617</v>
      </c>
      <c r="C66" s="111" t="s">
        <v>4618</v>
      </c>
      <c r="D66" s="72" t="s">
        <v>4619</v>
      </c>
      <c r="E66" s="274" t="s">
        <v>4616</v>
      </c>
      <c r="F66" s="112" t="s">
        <v>4617</v>
      </c>
      <c r="G66" s="111" t="s">
        <v>4620</v>
      </c>
      <c r="H66" s="72" t="s">
        <v>4621</v>
      </c>
      <c r="I66" s="274" t="s">
        <v>4616</v>
      </c>
      <c r="J66" s="112" t="s">
        <v>4622</v>
      </c>
      <c r="K66" s="111" t="s">
        <v>4623</v>
      </c>
      <c r="L66" s="72" t="s">
        <v>4624</v>
      </c>
      <c r="M66" s="274" t="s">
        <v>4616</v>
      </c>
      <c r="N66" s="112" t="s">
        <v>4625</v>
      </c>
      <c r="O66" s="111" t="s">
        <v>4626</v>
      </c>
      <c r="P66" s="72" t="s">
        <v>4627</v>
      </c>
      <c r="Q66" s="274" t="s">
        <v>4616</v>
      </c>
      <c r="R66" s="112" t="s">
        <v>4628</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4616</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4616</v>
      </c>
      <c r="Z66" s="235" t="s">
        <v>4629</v>
      </c>
      <c r="AA66" s="236" t="s">
        <v>4630</v>
      </c>
      <c r="AB66" s="65" t="s">
        <v>4631</v>
      </c>
      <c r="AC66" s="274" t="s">
        <v>4616</v>
      </c>
      <c r="AD66" s="136" t="s">
        <v>4632</v>
      </c>
      <c r="AE66" s="237" t="s">
        <v>4633</v>
      </c>
      <c r="AF66" s="135" t="s">
        <v>4634</v>
      </c>
      <c r="AG66" s="274" t="s">
        <v>4616</v>
      </c>
      <c r="AH66" s="238" t="s">
        <v>4635</v>
      </c>
      <c r="AI66" s="119" t="s">
        <v>4636</v>
      </c>
      <c r="AJ66" s="120" t="s">
        <v>4637</v>
      </c>
      <c r="AK66" s="274" t="s">
        <v>4616</v>
      </c>
      <c r="AL66" s="125" t="s">
        <v>4622</v>
      </c>
      <c r="AM66" s="113" t="s">
        <v>4638</v>
      </c>
      <c r="AN66" s="75" t="s">
        <v>4639</v>
      </c>
      <c r="AO66" s="274" t="s">
        <v>4616</v>
      </c>
      <c r="AP66" s="108" t="s">
        <v>4632</v>
      </c>
      <c r="AQ66" s="113" t="s">
        <v>4640</v>
      </c>
      <c r="AR66" s="75" t="s">
        <v>4641</v>
      </c>
      <c r="AS66" s="75"/>
      <c r="AT66" s="75"/>
    </row>
    <row r="67">
      <c r="A67" s="274" t="s">
        <v>4642</v>
      </c>
      <c r="B67" s="112" t="s">
        <v>3615</v>
      </c>
      <c r="C67" s="111" t="s">
        <v>4643</v>
      </c>
      <c r="D67" s="72" t="s">
        <v>4644</v>
      </c>
      <c r="E67" s="274" t="s">
        <v>4642</v>
      </c>
      <c r="F67" s="112" t="s">
        <v>3783</v>
      </c>
      <c r="G67" s="111" t="s">
        <v>4645</v>
      </c>
      <c r="H67" s="72" t="s">
        <v>4646</v>
      </c>
      <c r="I67" s="274" t="s">
        <v>4642</v>
      </c>
      <c r="J67" s="112" t="s">
        <v>4213</v>
      </c>
      <c r="K67" s="111" t="s">
        <v>4647</v>
      </c>
      <c r="L67" s="72" t="s">
        <v>4648</v>
      </c>
      <c r="M67" s="274" t="s">
        <v>4642</v>
      </c>
      <c r="N67" s="112" t="s">
        <v>3625</v>
      </c>
      <c r="O67" s="111" t="s">
        <v>4649</v>
      </c>
      <c r="P67" s="72" t="s">
        <v>4650</v>
      </c>
      <c r="Q67" s="274" t="s">
        <v>4642</v>
      </c>
      <c r="R67" s="112" t="s">
        <v>3628</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4642</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4642</v>
      </c>
      <c r="Z67" s="235" t="s">
        <v>3654</v>
      </c>
      <c r="AA67" s="236" t="s">
        <v>4651</v>
      </c>
      <c r="AB67" s="65" t="s">
        <v>4652</v>
      </c>
      <c r="AC67" s="274" t="s">
        <v>4642</v>
      </c>
      <c r="AD67" s="112" t="s">
        <v>3632</v>
      </c>
      <c r="AE67" s="237" t="s">
        <v>4653</v>
      </c>
      <c r="AF67" s="135" t="s">
        <v>4654</v>
      </c>
      <c r="AG67" s="274" t="s">
        <v>4642</v>
      </c>
      <c r="AH67" s="239" t="s">
        <v>3635</v>
      </c>
      <c r="AI67" s="119" t="s">
        <v>4655</v>
      </c>
      <c r="AJ67" s="120" t="s">
        <v>4656</v>
      </c>
      <c r="AK67" s="274" t="s">
        <v>4642</v>
      </c>
      <c r="AL67" s="112" t="s">
        <v>3638</v>
      </c>
      <c r="AM67" s="113" t="s">
        <v>4657</v>
      </c>
      <c r="AN67" s="75" t="s">
        <v>4658</v>
      </c>
      <c r="AO67" s="274" t="s">
        <v>4642</v>
      </c>
      <c r="AP67" s="112" t="s">
        <v>3641</v>
      </c>
      <c r="AQ67" s="113" t="s">
        <v>4659</v>
      </c>
      <c r="AR67" s="75" t="s">
        <v>4660</v>
      </c>
      <c r="AS67" s="75"/>
      <c r="AT67" s="75"/>
    </row>
    <row r="68">
      <c r="A68" s="274" t="s">
        <v>4661</v>
      </c>
      <c r="B68" s="112" t="s">
        <v>3780</v>
      </c>
      <c r="C68" s="111" t="s">
        <v>4662</v>
      </c>
      <c r="D68" s="72" t="s">
        <v>4663</v>
      </c>
      <c r="E68" s="274" t="s">
        <v>4661</v>
      </c>
      <c r="F68" s="112" t="s">
        <v>3783</v>
      </c>
      <c r="G68" s="111" t="s">
        <v>4664</v>
      </c>
      <c r="H68" s="72" t="s">
        <v>4159</v>
      </c>
      <c r="I68" s="274" t="s">
        <v>4661</v>
      </c>
      <c r="J68" s="112" t="s">
        <v>4213</v>
      </c>
      <c r="K68" s="111" t="s">
        <v>4665</v>
      </c>
      <c r="L68" s="72" t="s">
        <v>4666</v>
      </c>
      <c r="M68" s="274" t="s">
        <v>4661</v>
      </c>
      <c r="N68" s="112" t="s">
        <v>4216</v>
      </c>
      <c r="O68" s="111" t="s">
        <v>4667</v>
      </c>
      <c r="P68" s="72" t="s">
        <v>4668</v>
      </c>
      <c r="Q68" s="274" t="s">
        <v>4661</v>
      </c>
      <c r="R68" s="125" t="s">
        <v>3791</v>
      </c>
      <c r="S68" s="111" t="s">
        <v>4669</v>
      </c>
      <c r="T68" s="75" t="str">
        <f>IFERROR(__xludf.DUMMYFUNCTION("GOOGLETRANSLATE(D68,""zh-tw"",""es-MX"")"),"Obtener arma - Espina de pescado apestosa")</f>
        <v>Obtener arma - Espina de pescado apestosa</v>
      </c>
      <c r="U68" s="274" t="s">
        <v>4661</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4661</v>
      </c>
      <c r="Z68" s="235" t="s">
        <v>4219</v>
      </c>
      <c r="AA68" s="236" t="s">
        <v>4670</v>
      </c>
      <c r="AB68" s="65" t="s">
        <v>4671</v>
      </c>
      <c r="AC68" s="274" t="s">
        <v>4661</v>
      </c>
      <c r="AD68" s="112" t="s">
        <v>4272</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4672</v>
      </c>
      <c r="AG68" s="274" t="s">
        <v>4661</v>
      </c>
      <c r="AH68" s="238" t="s">
        <v>4275</v>
      </c>
      <c r="AI68" s="119" t="s">
        <v>4673</v>
      </c>
      <c r="AJ68" s="120" t="s">
        <v>4674</v>
      </c>
      <c r="AK68" s="274" t="s">
        <v>4661</v>
      </c>
      <c r="AL68" s="125" t="s">
        <v>4278</v>
      </c>
      <c r="AM68" s="113" t="s">
        <v>4675</v>
      </c>
      <c r="AN68" s="75" t="s">
        <v>4676</v>
      </c>
      <c r="AO68" s="274" t="s">
        <v>4661</v>
      </c>
      <c r="AP68" s="108" t="s">
        <v>3804</v>
      </c>
      <c r="AQ68" s="113" t="s">
        <v>4677</v>
      </c>
      <c r="AR68" s="75" t="s">
        <v>4678</v>
      </c>
      <c r="AS68" s="75"/>
      <c r="AT68" s="75"/>
    </row>
    <row r="69">
      <c r="A69" s="229"/>
      <c r="B69" s="228" t="s">
        <v>4679</v>
      </c>
      <c r="E69" s="229"/>
      <c r="F69" s="229"/>
      <c r="I69" s="229"/>
      <c r="J69" s="230" t="s">
        <v>4680</v>
      </c>
      <c r="M69" s="229"/>
      <c r="N69" s="228" t="s">
        <v>4681</v>
      </c>
      <c r="Q69" s="229"/>
      <c r="R69" s="231"/>
      <c r="U69" s="229"/>
      <c r="V69" s="231"/>
      <c r="Y69" s="229"/>
      <c r="Z69" s="232" t="s">
        <v>4682</v>
      </c>
      <c r="AC69" s="229"/>
      <c r="AD69" s="229"/>
      <c r="AG69" s="229"/>
      <c r="AH69" s="229"/>
      <c r="AK69" s="229"/>
      <c r="AL69" s="233" t="s">
        <v>4683</v>
      </c>
      <c r="AO69" s="229"/>
      <c r="AP69" s="229"/>
      <c r="AS69" s="231"/>
      <c r="AT69" s="231"/>
    </row>
    <row r="70">
      <c r="A70" s="274" t="s">
        <v>4684</v>
      </c>
      <c r="B70" s="112" t="s">
        <v>3780</v>
      </c>
      <c r="C70" s="111" t="s">
        <v>4685</v>
      </c>
      <c r="D70" s="72" t="s">
        <v>4686</v>
      </c>
      <c r="E70" s="274" t="s">
        <v>4684</v>
      </c>
      <c r="F70" s="112" t="s">
        <v>3783</v>
      </c>
      <c r="G70" s="111" t="s">
        <v>4687</v>
      </c>
      <c r="H70" s="72" t="s">
        <v>4159</v>
      </c>
      <c r="I70" s="274" t="s">
        <v>4684</v>
      </c>
      <c r="J70" s="112" t="s">
        <v>4213</v>
      </c>
      <c r="K70" s="111" t="s">
        <v>4688</v>
      </c>
      <c r="L70" s="72" t="s">
        <v>4689</v>
      </c>
      <c r="M70" s="274" t="s">
        <v>4684</v>
      </c>
      <c r="N70" s="112" t="s">
        <v>4216</v>
      </c>
      <c r="O70" s="111" t="s">
        <v>4690</v>
      </c>
      <c r="P70" s="72" t="s">
        <v>4691</v>
      </c>
      <c r="Q70" s="274" t="s">
        <v>4684</v>
      </c>
      <c r="R70" s="125" t="s">
        <v>3791</v>
      </c>
      <c r="S70" s="111" t="s">
        <v>4692</v>
      </c>
      <c r="T70" s="75" t="str">
        <f>IFERROR(__xludf.DUMMYFUNCTION("GOOGLETRANSLATE(D70,""zh-tw"",""es-MX"")"),"Obtener arma - Xuejian")</f>
        <v>Obtener arma - Xuejian</v>
      </c>
      <c r="U70" s="274" t="s">
        <v>4684</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4684</v>
      </c>
      <c r="Z70" s="235" t="s">
        <v>4219</v>
      </c>
      <c r="AA70" s="236" t="s">
        <v>4693</v>
      </c>
      <c r="AB70" s="65" t="s">
        <v>4694</v>
      </c>
      <c r="AC70" s="274" t="s">
        <v>4684</v>
      </c>
      <c r="AD70" s="112" t="s">
        <v>4272</v>
      </c>
      <c r="AE70" s="241" t="str">
        <f>IFERROR(__xludf.DUMMYFUNCTION("GOOGLETRANSLATE(C70,""zh-tw"",""DE"")"),"Vergessenes Grab-1, eine Schatztruhe in der Nähe des Eis in der Mitte.")</f>
        <v>Vergessenes Grab-1, eine Schatztruhe in der Nähe des Eis in der Mitte.</v>
      </c>
      <c r="AF70" s="135" t="s">
        <v>4695</v>
      </c>
      <c r="AG70" s="274" t="s">
        <v>4684</v>
      </c>
      <c r="AH70" s="238" t="s">
        <v>4275</v>
      </c>
      <c r="AI70" s="119" t="s">
        <v>4696</v>
      </c>
      <c r="AJ70" s="120" t="s">
        <v>4697</v>
      </c>
      <c r="AK70" s="274" t="s">
        <v>4684</v>
      </c>
      <c r="AL70" s="125" t="s">
        <v>4278</v>
      </c>
      <c r="AM70" s="113" t="s">
        <v>4698</v>
      </c>
      <c r="AN70" s="75" t="s">
        <v>4699</v>
      </c>
      <c r="AO70" s="274" t="s">
        <v>4684</v>
      </c>
      <c r="AP70" s="108" t="s">
        <v>3804</v>
      </c>
      <c r="AQ70" s="113" t="s">
        <v>4700</v>
      </c>
      <c r="AR70" s="75" t="s">
        <v>4701</v>
      </c>
      <c r="AS70" s="75"/>
      <c r="AT70" s="75"/>
    </row>
    <row r="71">
      <c r="A71" s="229"/>
      <c r="B71" s="228" t="s">
        <v>4702</v>
      </c>
      <c r="E71" s="229"/>
      <c r="F71" s="229"/>
      <c r="I71" s="229"/>
      <c r="J71" s="230" t="s">
        <v>4703</v>
      </c>
      <c r="M71" s="229"/>
      <c r="N71" s="228" t="s">
        <v>4681</v>
      </c>
      <c r="Q71" s="229"/>
      <c r="R71" s="231"/>
      <c r="U71" s="229"/>
      <c r="V71" s="231"/>
      <c r="Y71" s="229"/>
      <c r="Z71" s="232" t="s">
        <v>4704</v>
      </c>
      <c r="AC71" s="229"/>
      <c r="AD71" s="229"/>
      <c r="AG71" s="229"/>
      <c r="AH71" s="229"/>
      <c r="AK71" s="229"/>
      <c r="AL71" s="233" t="s">
        <v>4705</v>
      </c>
      <c r="AO71" s="229"/>
      <c r="AP71" s="229"/>
      <c r="AS71" s="231"/>
      <c r="AT71" s="231"/>
    </row>
    <row r="72">
      <c r="A72" s="234" t="s">
        <v>4706</v>
      </c>
      <c r="B72" s="112" t="s">
        <v>3615</v>
      </c>
      <c r="C72" s="111" t="s">
        <v>4707</v>
      </c>
      <c r="D72" s="72" t="s">
        <v>4708</v>
      </c>
      <c r="E72" s="234" t="s">
        <v>4706</v>
      </c>
      <c r="F72" s="112" t="s">
        <v>3783</v>
      </c>
      <c r="G72" s="111" t="s">
        <v>4709</v>
      </c>
      <c r="H72" s="72" t="s">
        <v>4287</v>
      </c>
      <c r="I72" s="234" t="s">
        <v>4706</v>
      </c>
      <c r="J72" s="112" t="s">
        <v>4213</v>
      </c>
      <c r="K72" s="111" t="s">
        <v>4710</v>
      </c>
      <c r="L72" s="72" t="s">
        <v>4289</v>
      </c>
      <c r="M72" s="234" t="s">
        <v>4706</v>
      </c>
      <c r="N72" s="112" t="s">
        <v>3625</v>
      </c>
      <c r="O72" s="111" t="s">
        <v>4711</v>
      </c>
      <c r="P72" s="72" t="s">
        <v>4712</v>
      </c>
      <c r="Q72" s="234" t="s">
        <v>4706</v>
      </c>
      <c r="R72" s="112" t="s">
        <v>3628</v>
      </c>
      <c r="S72" s="111" t="s">
        <v>4713</v>
      </c>
      <c r="T72" s="75" t="str">
        <f>IFERROR(__xludf.DUMMYFUNCTION("GOOGLETRANSLATE(D72,""zh-tw"",""es-MX"")"),"Consigue el equipo ""Anillo de hueso del ahorcado"".")</f>
        <v>Consigue el equipo "Anillo de hueso del ahorcado".</v>
      </c>
      <c r="U72" s="234" t="s">
        <v>4706</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4706</v>
      </c>
      <c r="Z72" s="235" t="s">
        <v>3654</v>
      </c>
      <c r="AA72" s="236" t="s">
        <v>4714</v>
      </c>
      <c r="AB72" s="65" t="s">
        <v>4294</v>
      </c>
      <c r="AC72" s="234" t="s">
        <v>4706</v>
      </c>
      <c r="AD72" s="112" t="s">
        <v>3632</v>
      </c>
      <c r="AE72" s="237" t="s">
        <v>4715</v>
      </c>
      <c r="AF72" s="135" t="s">
        <v>4716</v>
      </c>
      <c r="AG72" s="234" t="s">
        <v>4706</v>
      </c>
      <c r="AH72" s="239" t="s">
        <v>3635</v>
      </c>
      <c r="AI72" s="119" t="s">
        <v>4717</v>
      </c>
      <c r="AJ72" s="134" t="s">
        <v>4298</v>
      </c>
      <c r="AK72" s="234" t="s">
        <v>4706</v>
      </c>
      <c r="AL72" s="112" t="s">
        <v>3638</v>
      </c>
      <c r="AM72" s="113" t="s">
        <v>4718</v>
      </c>
      <c r="AN72" s="75" t="s">
        <v>4719</v>
      </c>
      <c r="AO72" s="234" t="s">
        <v>4706</v>
      </c>
      <c r="AP72" s="112" t="s">
        <v>3641</v>
      </c>
      <c r="AQ72" s="113" t="s">
        <v>4720</v>
      </c>
      <c r="AR72" s="75" t="s">
        <v>4721</v>
      </c>
      <c r="AS72" s="75"/>
      <c r="AT72" s="75"/>
    </row>
    <row r="73" ht="113.25" customHeight="1">
      <c r="A73" s="234" t="s">
        <v>4722</v>
      </c>
      <c r="B73" s="112" t="s">
        <v>4723</v>
      </c>
      <c r="C73" s="111" t="s">
        <v>4724</v>
      </c>
      <c r="D73" s="72" t="s">
        <v>4725</v>
      </c>
      <c r="E73" s="234" t="s">
        <v>4722</v>
      </c>
      <c r="F73" s="112" t="s">
        <v>4726</v>
      </c>
      <c r="G73" s="111" t="s">
        <v>4727</v>
      </c>
      <c r="H73" s="72" t="s">
        <v>4728</v>
      </c>
      <c r="I73" s="234" t="s">
        <v>4722</v>
      </c>
      <c r="J73" s="112" t="s">
        <v>4729</v>
      </c>
      <c r="K73" s="111" t="s">
        <v>4730</v>
      </c>
      <c r="L73" s="72" t="s">
        <v>4731</v>
      </c>
      <c r="M73" s="234" t="s">
        <v>4722</v>
      </c>
      <c r="N73" s="112" t="s">
        <v>4732</v>
      </c>
      <c r="O73" s="111" t="s">
        <v>4733</v>
      </c>
      <c r="P73" s="72" t="s">
        <v>4734</v>
      </c>
      <c r="Q73" s="234" t="s">
        <v>4722</v>
      </c>
      <c r="R73" s="125" t="s">
        <v>4735</v>
      </c>
      <c r="S73" s="111" t="s">
        <v>4736</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4722</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4722</v>
      </c>
      <c r="Z73" s="235" t="s">
        <v>4737</v>
      </c>
      <c r="AA73" s="236" t="s">
        <v>4738</v>
      </c>
      <c r="AB73" s="65" t="s">
        <v>4739</v>
      </c>
      <c r="AC73" s="234" t="s">
        <v>4722</v>
      </c>
      <c r="AD73" s="112" t="s">
        <v>4740</v>
      </c>
      <c r="AE73" s="237" t="s">
        <v>4741</v>
      </c>
      <c r="AF73" s="135" t="s">
        <v>4742</v>
      </c>
      <c r="AG73" s="234" t="s">
        <v>4722</v>
      </c>
      <c r="AH73" s="238" t="s">
        <v>4743</v>
      </c>
      <c r="AI73" s="119" t="s">
        <v>4744</v>
      </c>
      <c r="AJ73" s="120" t="s">
        <v>4745</v>
      </c>
      <c r="AK73" s="234" t="s">
        <v>4722</v>
      </c>
      <c r="AL73" s="125" t="s">
        <v>4746</v>
      </c>
      <c r="AM73" s="113" t="s">
        <v>4747</v>
      </c>
      <c r="AN73" s="75" t="s">
        <v>4748</v>
      </c>
      <c r="AO73" s="234" t="s">
        <v>4722</v>
      </c>
      <c r="AP73" s="108" t="s">
        <v>4749</v>
      </c>
      <c r="AQ73" s="113" t="s">
        <v>4750</v>
      </c>
      <c r="AR73" s="75" t="s">
        <v>4751</v>
      </c>
      <c r="AS73" s="75"/>
      <c r="AT73" s="75"/>
    </row>
    <row r="74">
      <c r="A74" s="234" t="s">
        <v>4752</v>
      </c>
      <c r="B74" s="112" t="s">
        <v>4753</v>
      </c>
      <c r="C74" s="111" t="s">
        <v>4754</v>
      </c>
      <c r="D74" s="72" t="s">
        <v>4755</v>
      </c>
      <c r="E74" s="234" t="s">
        <v>4752</v>
      </c>
      <c r="F74" s="112" t="s">
        <v>4756</v>
      </c>
      <c r="G74" s="111" t="s">
        <v>4757</v>
      </c>
      <c r="H74" s="72" t="s">
        <v>4758</v>
      </c>
      <c r="I74" s="234" t="s">
        <v>4752</v>
      </c>
      <c r="J74" s="112" t="s">
        <v>4759</v>
      </c>
      <c r="K74" s="111" t="s">
        <v>4760</v>
      </c>
      <c r="L74" s="72" t="s">
        <v>4761</v>
      </c>
      <c r="M74" s="234" t="s">
        <v>4752</v>
      </c>
      <c r="N74" s="112" t="s">
        <v>4762</v>
      </c>
      <c r="O74" s="111" t="s">
        <v>4763</v>
      </c>
      <c r="P74" s="72" t="s">
        <v>4764</v>
      </c>
      <c r="Q74" s="234" t="s">
        <v>4752</v>
      </c>
      <c r="R74" s="112" t="s">
        <v>4765</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4752</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4752</v>
      </c>
      <c r="Z74" s="235" t="s">
        <v>4766</v>
      </c>
      <c r="AA74" s="236" t="s">
        <v>4767</v>
      </c>
      <c r="AB74" s="65" t="s">
        <v>4768</v>
      </c>
      <c r="AC74" s="234" t="s">
        <v>4752</v>
      </c>
      <c r="AD74" s="112" t="s">
        <v>4769</v>
      </c>
      <c r="AE74" s="237" t="s">
        <v>4770</v>
      </c>
      <c r="AF74" s="135" t="s">
        <v>4771</v>
      </c>
      <c r="AG74" s="234" t="s">
        <v>4752</v>
      </c>
      <c r="AH74" s="238" t="s">
        <v>4772</v>
      </c>
      <c r="AI74" s="130" t="s">
        <v>4773</v>
      </c>
      <c r="AJ74" s="120" t="s">
        <v>4774</v>
      </c>
      <c r="AK74" s="234" t="s">
        <v>4752</v>
      </c>
      <c r="AL74" s="125" t="s">
        <v>4775</v>
      </c>
      <c r="AM74" s="111" t="s">
        <v>4776</v>
      </c>
      <c r="AN74" s="75" t="s">
        <v>4777</v>
      </c>
      <c r="AO74" s="234" t="s">
        <v>4752</v>
      </c>
      <c r="AP74" s="108" t="s">
        <v>4778</v>
      </c>
      <c r="AQ74" s="113" t="s">
        <v>4779</v>
      </c>
      <c r="AR74" s="75" t="s">
        <v>4780</v>
      </c>
      <c r="AS74" s="75"/>
      <c r="AT74" s="75"/>
    </row>
    <row r="75">
      <c r="A75" s="234" t="s">
        <v>4781</v>
      </c>
      <c r="B75" s="112" t="s">
        <v>4782</v>
      </c>
      <c r="C75" s="111" t="s">
        <v>4783</v>
      </c>
      <c r="D75" s="72" t="s">
        <v>4784</v>
      </c>
      <c r="E75" s="234" t="s">
        <v>4781</v>
      </c>
      <c r="F75" s="112" t="s">
        <v>4785</v>
      </c>
      <c r="G75" s="111" t="s">
        <v>4786</v>
      </c>
      <c r="H75" s="72" t="s">
        <v>4787</v>
      </c>
      <c r="I75" s="234" t="s">
        <v>4781</v>
      </c>
      <c r="J75" s="112" t="s">
        <v>4788</v>
      </c>
      <c r="K75" s="111" t="s">
        <v>4789</v>
      </c>
      <c r="L75" s="72" t="s">
        <v>4790</v>
      </c>
      <c r="M75" s="234" t="s">
        <v>4781</v>
      </c>
      <c r="N75" s="112" t="s">
        <v>4791</v>
      </c>
      <c r="O75" s="111" t="s">
        <v>4792</v>
      </c>
      <c r="P75" s="72" t="s">
        <v>4793</v>
      </c>
      <c r="Q75" s="234" t="s">
        <v>4781</v>
      </c>
      <c r="R75" s="112" t="s">
        <v>4794</v>
      </c>
      <c r="S75" s="111" t="s">
        <v>4795</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4781</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4781</v>
      </c>
      <c r="Z75" s="235" t="s">
        <v>4796</v>
      </c>
      <c r="AA75" s="236" t="s">
        <v>4797</v>
      </c>
      <c r="AB75" s="65" t="s">
        <v>4798</v>
      </c>
      <c r="AC75" s="234" t="s">
        <v>4781</v>
      </c>
      <c r="AD75" s="136" t="s">
        <v>4799</v>
      </c>
      <c r="AE75" s="237" t="s">
        <v>4800</v>
      </c>
      <c r="AF75" s="135" t="s">
        <v>4801</v>
      </c>
      <c r="AG75" s="234" t="s">
        <v>4781</v>
      </c>
      <c r="AH75" s="238" t="s">
        <v>4802</v>
      </c>
      <c r="AI75" s="119" t="s">
        <v>4803</v>
      </c>
      <c r="AJ75" s="120" t="s">
        <v>4804</v>
      </c>
      <c r="AK75" s="234" t="s">
        <v>4781</v>
      </c>
      <c r="AL75" s="125" t="s">
        <v>4805</v>
      </c>
      <c r="AM75" s="113" t="s">
        <v>4806</v>
      </c>
      <c r="AN75" s="75" t="s">
        <v>4807</v>
      </c>
      <c r="AO75" s="234" t="s">
        <v>4781</v>
      </c>
      <c r="AP75" s="108" t="s">
        <v>4808</v>
      </c>
      <c r="AQ75" s="113" t="s">
        <v>4809</v>
      </c>
      <c r="AR75" s="75" t="s">
        <v>4810</v>
      </c>
      <c r="AS75" s="75"/>
      <c r="AT75" s="75"/>
    </row>
    <row r="76">
      <c r="A76" s="229"/>
      <c r="B76" s="228" t="s">
        <v>4811</v>
      </c>
      <c r="E76" s="229"/>
      <c r="F76" s="229"/>
      <c r="I76" s="229"/>
      <c r="J76" s="230" t="s">
        <v>4812</v>
      </c>
      <c r="M76" s="229"/>
      <c r="N76" s="228" t="s">
        <v>4681</v>
      </c>
      <c r="Q76" s="229"/>
      <c r="R76" s="231"/>
      <c r="U76" s="229"/>
      <c r="V76" s="231"/>
      <c r="Y76" s="229"/>
      <c r="Z76" s="232" t="s">
        <v>4813</v>
      </c>
      <c r="AC76" s="229"/>
      <c r="AD76" s="229"/>
      <c r="AG76" s="229"/>
      <c r="AH76" s="229"/>
      <c r="AK76" s="229"/>
      <c r="AL76" s="233" t="s">
        <v>4814</v>
      </c>
      <c r="AO76" s="229"/>
      <c r="AP76" s="229"/>
      <c r="AS76" s="231"/>
      <c r="AT76" s="231"/>
    </row>
    <row r="77">
      <c r="A77" s="234" t="s">
        <v>4815</v>
      </c>
      <c r="B77" s="112" t="s">
        <v>4816</v>
      </c>
      <c r="C77" s="111" t="s">
        <v>4817</v>
      </c>
      <c r="D77" s="72" t="s">
        <v>4818</v>
      </c>
      <c r="E77" s="234" t="s">
        <v>4815</v>
      </c>
      <c r="F77" s="112" t="s">
        <v>4819</v>
      </c>
      <c r="G77" s="111" t="s">
        <v>4820</v>
      </c>
      <c r="H77" s="72" t="s">
        <v>4821</v>
      </c>
      <c r="I77" s="234" t="s">
        <v>4815</v>
      </c>
      <c r="J77" s="112" t="s">
        <v>4822</v>
      </c>
      <c r="K77" s="111" t="s">
        <v>4823</v>
      </c>
      <c r="L77" s="72" t="s">
        <v>4824</v>
      </c>
      <c r="M77" s="234" t="s">
        <v>4815</v>
      </c>
      <c r="N77" s="112" t="s">
        <v>4825</v>
      </c>
      <c r="O77" s="111" t="s">
        <v>4826</v>
      </c>
      <c r="P77" s="72" t="s">
        <v>4827</v>
      </c>
      <c r="Q77" s="234" t="s">
        <v>4815</v>
      </c>
      <c r="R77" s="125" t="s">
        <v>4828</v>
      </c>
      <c r="S77" s="111" t="s">
        <v>4829</v>
      </c>
      <c r="T77" s="75" t="str">
        <f>IFERROR(__xludf.DUMMYFUNCTION("GOOGLETRANSLATE(D77,""zh-tw"",""es-MX"")"),"Equipo: Misericordia de la Santa Doncella")</f>
        <v>Equipo: Misericordia de la Santa Doncella</v>
      </c>
      <c r="U77" s="234" t="s">
        <v>4815</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4815</v>
      </c>
      <c r="Z77" s="235" t="s">
        <v>3792</v>
      </c>
      <c r="AA77" s="236" t="s">
        <v>4830</v>
      </c>
      <c r="AB77" s="65" t="s">
        <v>4831</v>
      </c>
      <c r="AC77" s="234" t="s">
        <v>4815</v>
      </c>
      <c r="AD77" s="112" t="s">
        <v>4832</v>
      </c>
      <c r="AE77" s="237" t="s">
        <v>4833</v>
      </c>
      <c r="AF77" s="135" t="s">
        <v>4834</v>
      </c>
      <c r="AG77" s="234" t="s">
        <v>4815</v>
      </c>
      <c r="AH77" s="238" t="s">
        <v>4835</v>
      </c>
      <c r="AI77" s="119" t="s">
        <v>4836</v>
      </c>
      <c r="AJ77" s="120" t="s">
        <v>4837</v>
      </c>
      <c r="AK77" s="234" t="s">
        <v>4815</v>
      </c>
      <c r="AL77" s="125" t="s">
        <v>4838</v>
      </c>
      <c r="AM77" s="113" t="s">
        <v>4839</v>
      </c>
      <c r="AN77" s="75" t="s">
        <v>4840</v>
      </c>
      <c r="AO77" s="234" t="s">
        <v>4815</v>
      </c>
      <c r="AP77" s="108" t="s">
        <v>4841</v>
      </c>
      <c r="AQ77" s="113" t="s">
        <v>4842</v>
      </c>
      <c r="AR77" s="75" t="s">
        <v>4843</v>
      </c>
      <c r="AS77" s="75"/>
      <c r="AT77" s="75"/>
    </row>
    <row r="78">
      <c r="A78" s="234" t="s">
        <v>4844</v>
      </c>
      <c r="B78" s="125" t="s">
        <v>4845</v>
      </c>
      <c r="C78" s="111" t="s">
        <v>4846</v>
      </c>
      <c r="D78" s="72" t="s">
        <v>4847</v>
      </c>
      <c r="E78" s="234" t="s">
        <v>4844</v>
      </c>
      <c r="F78" s="125" t="s">
        <v>4848</v>
      </c>
      <c r="G78" s="113" t="s">
        <v>4849</v>
      </c>
      <c r="H78" s="75" t="s">
        <v>4850</v>
      </c>
      <c r="I78" s="234" t="s">
        <v>4844</v>
      </c>
      <c r="J78" s="125" t="s">
        <v>4851</v>
      </c>
      <c r="K78" s="111" t="s">
        <v>4852</v>
      </c>
      <c r="L78" s="72" t="s">
        <v>4853</v>
      </c>
      <c r="M78" s="234" t="s">
        <v>4844</v>
      </c>
      <c r="N78" s="125" t="s">
        <v>4854</v>
      </c>
      <c r="O78" s="113" t="s">
        <v>4855</v>
      </c>
      <c r="P78" s="75" t="s">
        <v>4856</v>
      </c>
      <c r="Q78" s="234" t="s">
        <v>4844</v>
      </c>
      <c r="R78" s="125" t="s">
        <v>4857</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4844</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4844</v>
      </c>
      <c r="Z78" s="243" t="s">
        <v>4858</v>
      </c>
      <c r="AA78" s="236" t="s">
        <v>4859</v>
      </c>
      <c r="AB78" s="65" t="s">
        <v>4860</v>
      </c>
      <c r="AC78" s="234" t="s">
        <v>4844</v>
      </c>
      <c r="AD78" s="112" t="str">
        <f>IFERROR(__xludf.DUMMYFUNCTION("GOOGLETRANSLATE(B78,""zh-tw"",""de"")"),"Bereuen")</f>
        <v>Bereuen</v>
      </c>
      <c r="AE78" s="113" t="s">
        <v>4861</v>
      </c>
      <c r="AF78" s="75" t="s">
        <v>4862</v>
      </c>
      <c r="AG78" s="234" t="s">
        <v>4844</v>
      </c>
      <c r="AH78" s="257" t="s">
        <v>4863</v>
      </c>
      <c r="AI78" s="258" t="s">
        <v>4864</v>
      </c>
      <c r="AJ78" s="246" t="s">
        <v>4865</v>
      </c>
      <c r="AK78" s="234" t="s">
        <v>4844</v>
      </c>
      <c r="AL78" s="125" t="s">
        <v>4866</v>
      </c>
      <c r="AM78" s="111" t="s">
        <v>4867</v>
      </c>
      <c r="AN78" s="72" t="s">
        <v>4868</v>
      </c>
      <c r="AO78" s="234" t="s">
        <v>4844</v>
      </c>
      <c r="AP78" s="108" t="s">
        <v>4869</v>
      </c>
      <c r="AQ78" s="113" t="s">
        <v>4870</v>
      </c>
      <c r="AR78" s="75" t="s">
        <v>4871</v>
      </c>
      <c r="AS78" s="260"/>
      <c r="AT78" s="260"/>
    </row>
    <row r="79">
      <c r="A79" s="234" t="s">
        <v>4872</v>
      </c>
      <c r="B79" s="125" t="s">
        <v>4873</v>
      </c>
      <c r="C79" s="113" t="s">
        <v>4874</v>
      </c>
      <c r="D79" s="75" t="s">
        <v>4875</v>
      </c>
      <c r="E79" s="234" t="s">
        <v>4872</v>
      </c>
      <c r="F79" s="125" t="s">
        <v>4876</v>
      </c>
      <c r="G79" s="113" t="s">
        <v>4877</v>
      </c>
      <c r="H79" s="75" t="s">
        <v>4878</v>
      </c>
      <c r="I79" s="234" t="s">
        <v>4872</v>
      </c>
      <c r="J79" s="125" t="s">
        <v>4879</v>
      </c>
      <c r="K79" s="113" t="s">
        <v>4880</v>
      </c>
      <c r="L79" s="75" t="s">
        <v>4881</v>
      </c>
      <c r="M79" s="234" t="s">
        <v>4872</v>
      </c>
      <c r="N79" s="125" t="s">
        <v>4882</v>
      </c>
      <c r="O79" s="113" t="s">
        <v>4883</v>
      </c>
      <c r="P79" s="75" t="s">
        <v>4884</v>
      </c>
      <c r="Q79" s="234" t="s">
        <v>4872</v>
      </c>
      <c r="R79" s="125" t="s">
        <v>4885</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4872</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4872</v>
      </c>
      <c r="Z79" s="243" t="s">
        <v>4886</v>
      </c>
      <c r="AA79" s="250" t="s">
        <v>4887</v>
      </c>
      <c r="AB79" s="71" t="s">
        <v>4888</v>
      </c>
      <c r="AC79" s="234" t="s">
        <v>4872</v>
      </c>
      <c r="AD79" s="112" t="str">
        <f>IFERROR(__xludf.DUMMYFUNCTION("GOOGLETRANSLATE(B79,""zh-tw"",""de"")"),"Bereue - 1")</f>
        <v>Bereue - 1</v>
      </c>
      <c r="AE79" s="113" t="s">
        <v>4889</v>
      </c>
      <c r="AF79" s="75" t="s">
        <v>4890</v>
      </c>
      <c r="AG79" s="234" t="s">
        <v>4872</v>
      </c>
      <c r="AH79" s="257" t="s">
        <v>4891</v>
      </c>
      <c r="AI79" s="258" t="s">
        <v>4892</v>
      </c>
      <c r="AJ79" s="259" t="s">
        <v>4893</v>
      </c>
      <c r="AK79" s="234" t="s">
        <v>4872</v>
      </c>
      <c r="AL79" s="125" t="s">
        <v>4894</v>
      </c>
      <c r="AM79" s="113" t="s">
        <v>4895</v>
      </c>
      <c r="AN79" s="75" t="s">
        <v>4896</v>
      </c>
      <c r="AO79" s="234" t="s">
        <v>4872</v>
      </c>
      <c r="AP79" s="108" t="s">
        <v>4897</v>
      </c>
      <c r="AQ79" s="113" t="s">
        <v>4898</v>
      </c>
      <c r="AR79" s="75" t="s">
        <v>4899</v>
      </c>
      <c r="AS79" s="260"/>
      <c r="AT79" s="260"/>
    </row>
    <row r="80">
      <c r="A80" s="229"/>
      <c r="B80" s="276" t="s">
        <v>4782</v>
      </c>
      <c r="E80" s="229"/>
      <c r="F80" s="231"/>
      <c r="I80" s="229"/>
      <c r="J80" s="230" t="s">
        <v>4788</v>
      </c>
      <c r="M80" s="229"/>
      <c r="N80" s="276" t="s">
        <v>4791</v>
      </c>
      <c r="Q80" s="229"/>
      <c r="R80" s="231"/>
      <c r="U80" s="229"/>
      <c r="V80" s="231"/>
      <c r="Y80" s="229"/>
      <c r="Z80" s="232" t="s">
        <v>4796</v>
      </c>
      <c r="AC80" s="229"/>
      <c r="AD80" s="229"/>
      <c r="AG80" s="229"/>
      <c r="AH80" s="231"/>
      <c r="AK80" s="229"/>
      <c r="AL80" s="233" t="s">
        <v>4900</v>
      </c>
      <c r="AO80" s="229"/>
      <c r="AP80" s="229"/>
      <c r="AS80" s="231"/>
      <c r="AT80" s="231"/>
    </row>
    <row r="81">
      <c r="A81" s="234" t="s">
        <v>4901</v>
      </c>
      <c r="B81" s="112" t="s">
        <v>3615</v>
      </c>
      <c r="C81" s="111" t="s">
        <v>4902</v>
      </c>
      <c r="D81" s="72" t="s">
        <v>4903</v>
      </c>
      <c r="E81" s="234" t="s">
        <v>4901</v>
      </c>
      <c r="F81" s="112" t="s">
        <v>3783</v>
      </c>
      <c r="G81" s="111" t="s">
        <v>4904</v>
      </c>
      <c r="H81" s="72" t="s">
        <v>4905</v>
      </c>
      <c r="I81" s="234" t="s">
        <v>4901</v>
      </c>
      <c r="J81" s="112" t="s">
        <v>4213</v>
      </c>
      <c r="K81" s="111" t="s">
        <v>4906</v>
      </c>
      <c r="L81" s="72" t="s">
        <v>4907</v>
      </c>
      <c r="M81" s="234" t="s">
        <v>4901</v>
      </c>
      <c r="N81" s="112" t="s">
        <v>3625</v>
      </c>
      <c r="O81" s="111" t="s">
        <v>4908</v>
      </c>
      <c r="P81" s="72" t="s">
        <v>4909</v>
      </c>
      <c r="Q81" s="234" t="s">
        <v>4901</v>
      </c>
      <c r="R81" s="112" t="s">
        <v>3628</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4901</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4901</v>
      </c>
      <c r="Z81" s="235" t="s">
        <v>3654</v>
      </c>
      <c r="AA81" s="236" t="s">
        <v>4910</v>
      </c>
      <c r="AB81" s="65" t="s">
        <v>4911</v>
      </c>
      <c r="AC81" s="234" t="s">
        <v>4901</v>
      </c>
      <c r="AD81" s="112" t="s">
        <v>3632</v>
      </c>
      <c r="AE81" s="237" t="s">
        <v>4912</v>
      </c>
      <c r="AF81" s="135" t="s">
        <v>4913</v>
      </c>
      <c r="AG81" s="234" t="s">
        <v>4901</v>
      </c>
      <c r="AH81" s="239" t="s">
        <v>3635</v>
      </c>
      <c r="AI81" s="119" t="s">
        <v>4914</v>
      </c>
      <c r="AJ81" s="134" t="s">
        <v>4915</v>
      </c>
      <c r="AK81" s="234" t="s">
        <v>4901</v>
      </c>
      <c r="AL81" s="112" t="s">
        <v>3638</v>
      </c>
      <c r="AM81" s="113" t="s">
        <v>4916</v>
      </c>
      <c r="AN81" s="75" t="s">
        <v>4917</v>
      </c>
      <c r="AO81" s="234" t="s">
        <v>4901</v>
      </c>
      <c r="AP81" s="112" t="s">
        <v>3641</v>
      </c>
      <c r="AQ81" s="113" t="s">
        <v>4918</v>
      </c>
      <c r="AR81" s="75" t="s">
        <v>4919</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4920</v>
      </c>
      <c r="B83" s="276" t="s">
        <v>4921</v>
      </c>
      <c r="E83" s="228" t="s">
        <v>4920</v>
      </c>
      <c r="F83" s="231"/>
      <c r="I83" s="228" t="s">
        <v>4920</v>
      </c>
      <c r="J83" s="230" t="s">
        <v>4922</v>
      </c>
      <c r="M83" s="228" t="s">
        <v>4920</v>
      </c>
      <c r="N83" s="276" t="s">
        <v>4921</v>
      </c>
      <c r="Q83" s="228" t="s">
        <v>4920</v>
      </c>
      <c r="R83" s="231"/>
      <c r="U83" s="228" t="s">
        <v>4920</v>
      </c>
      <c r="V83" s="231"/>
      <c r="Y83" s="228" t="s">
        <v>4920</v>
      </c>
      <c r="Z83" s="232" t="s">
        <v>4923</v>
      </c>
      <c r="AC83" s="228" t="s">
        <v>4920</v>
      </c>
      <c r="AD83" s="229"/>
      <c r="AG83" s="228" t="s">
        <v>4920</v>
      </c>
      <c r="AH83" s="231"/>
      <c r="AK83" s="228" t="s">
        <v>4920</v>
      </c>
      <c r="AL83" s="233" t="s">
        <v>4924</v>
      </c>
      <c r="AO83" s="228" t="s">
        <v>4920</v>
      </c>
      <c r="AP83" s="229"/>
      <c r="AS83" s="231"/>
      <c r="AT83" s="231"/>
    </row>
    <row r="84">
      <c r="A84" s="234" t="s">
        <v>4925</v>
      </c>
      <c r="B84" s="112" t="s">
        <v>4926</v>
      </c>
      <c r="C84" s="111" t="s">
        <v>4927</v>
      </c>
      <c r="D84" s="72" t="s">
        <v>4928</v>
      </c>
      <c r="E84" s="234" t="s">
        <v>4925</v>
      </c>
      <c r="F84" s="112" t="s">
        <v>4929</v>
      </c>
      <c r="G84" s="111" t="s">
        <v>4930</v>
      </c>
      <c r="H84" s="72" t="s">
        <v>4931</v>
      </c>
      <c r="I84" s="234" t="s">
        <v>4925</v>
      </c>
      <c r="J84" s="112" t="s">
        <v>4932</v>
      </c>
      <c r="K84" s="111" t="s">
        <v>4933</v>
      </c>
      <c r="L84" s="72" t="s">
        <v>4934</v>
      </c>
      <c r="M84" s="234" t="s">
        <v>4925</v>
      </c>
      <c r="N84" s="112" t="s">
        <v>4935</v>
      </c>
      <c r="O84" s="111" t="s">
        <v>4936</v>
      </c>
      <c r="P84" s="72" t="s">
        <v>4937</v>
      </c>
      <c r="Q84" s="234" t="s">
        <v>4925</v>
      </c>
      <c r="R84" s="125" t="s">
        <v>4938</v>
      </c>
      <c r="S84" s="113" t="str">
        <f>IFERROR(__xludf.DUMMYFUNCTION("GOOGLETRANSLATE(C84,""zh-tw"",""es-MX"")"),"Tras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4925</v>
      </c>
      <c r="V84" s="125" t="str">
        <f>IFERROR(__xludf.DUMMYFUNCTION("GOOGLETRANSLATE(B84,""zh-tw"",""KO"")"),"검술 훈련")</f>
        <v>검술 훈련</v>
      </c>
      <c r="W84" s="113" t="str">
        <f>IFERROR(__xludf.DUMMYFUNCTION("GOOGLETRANSLATE(C84,""zh-tw"",""KO"")"),"""플래시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4925</v>
      </c>
      <c r="Z84" s="235" t="s">
        <v>4939</v>
      </c>
      <c r="AA84" s="236" t="s">
        <v>4940</v>
      </c>
      <c r="AB84" s="65" t="s">
        <v>4941</v>
      </c>
      <c r="AC84" s="234" t="s">
        <v>4925</v>
      </c>
      <c r="AD84" s="112" t="s">
        <v>4942</v>
      </c>
      <c r="AE84" s="237" t="s">
        <v>4943</v>
      </c>
      <c r="AF84" s="135" t="s">
        <v>4944</v>
      </c>
      <c r="AG84" s="234" t="s">
        <v>4925</v>
      </c>
      <c r="AH84" s="238" t="s">
        <v>4945</v>
      </c>
      <c r="AI84" s="130" t="s">
        <v>4946</v>
      </c>
      <c r="AJ84" s="134" t="s">
        <v>4947</v>
      </c>
      <c r="AK84" s="234" t="s">
        <v>4925</v>
      </c>
      <c r="AL84" s="125" t="s">
        <v>4948</v>
      </c>
      <c r="AM84" s="111" t="s">
        <v>4949</v>
      </c>
      <c r="AN84" s="72" t="s">
        <v>4950</v>
      </c>
      <c r="AO84" s="234" t="s">
        <v>4925</v>
      </c>
      <c r="AP84" s="112" t="s">
        <v>4951</v>
      </c>
      <c r="AQ84" s="111" t="s">
        <v>4952</v>
      </c>
      <c r="AR84" s="72" t="s">
        <v>4953</v>
      </c>
      <c r="AS84" s="75"/>
      <c r="AT84" s="75"/>
    </row>
    <row r="85">
      <c r="A85" s="234" t="s">
        <v>4954</v>
      </c>
      <c r="B85" s="112" t="s">
        <v>4955</v>
      </c>
      <c r="C85" s="111" t="s">
        <v>4956</v>
      </c>
      <c r="D85" s="72" t="s">
        <v>4957</v>
      </c>
      <c r="E85" s="234" t="s">
        <v>4954</v>
      </c>
      <c r="F85" s="112" t="s">
        <v>4958</v>
      </c>
      <c r="G85" s="111" t="s">
        <v>4959</v>
      </c>
      <c r="H85" s="72" t="s">
        <v>4960</v>
      </c>
      <c r="I85" s="234" t="s">
        <v>4954</v>
      </c>
      <c r="J85" s="112" t="s">
        <v>4961</v>
      </c>
      <c r="K85" s="111" t="s">
        <v>4962</v>
      </c>
      <c r="L85" s="72" t="s">
        <v>4963</v>
      </c>
      <c r="M85" s="234" t="s">
        <v>4954</v>
      </c>
      <c r="N85" s="112" t="s">
        <v>4964</v>
      </c>
      <c r="O85" s="111" t="s">
        <v>4965</v>
      </c>
      <c r="P85" s="72" t="s">
        <v>4966</v>
      </c>
      <c r="Q85" s="234" t="s">
        <v>4954</v>
      </c>
      <c r="R85" s="112" t="s">
        <v>4967</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4954</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4954</v>
      </c>
      <c r="Z85" s="235" t="s">
        <v>4968</v>
      </c>
      <c r="AA85" s="236" t="s">
        <v>4969</v>
      </c>
      <c r="AB85" s="65" t="s">
        <v>4970</v>
      </c>
      <c r="AC85" s="234" t="s">
        <v>4954</v>
      </c>
      <c r="AD85" s="112" t="s">
        <v>4971</v>
      </c>
      <c r="AE85" s="237" t="s">
        <v>4972</v>
      </c>
      <c r="AF85" s="135" t="s">
        <v>4973</v>
      </c>
      <c r="AG85" s="234" t="s">
        <v>4954</v>
      </c>
      <c r="AH85" s="238" t="s">
        <v>4974</v>
      </c>
      <c r="AI85" s="119" t="s">
        <v>4975</v>
      </c>
      <c r="AJ85" s="120" t="s">
        <v>4976</v>
      </c>
      <c r="AK85" s="234" t="s">
        <v>4954</v>
      </c>
      <c r="AL85" s="125" t="s">
        <v>4977</v>
      </c>
      <c r="AM85" s="113" t="s">
        <v>4978</v>
      </c>
      <c r="AN85" s="75" t="s">
        <v>4979</v>
      </c>
      <c r="AO85" s="234" t="s">
        <v>4954</v>
      </c>
      <c r="AP85" s="108" t="s">
        <v>4980</v>
      </c>
      <c r="AQ85" s="113" t="s">
        <v>4981</v>
      </c>
      <c r="AR85" s="75" t="s">
        <v>4982</v>
      </c>
      <c r="AS85" s="75"/>
      <c r="AT85" s="75"/>
    </row>
    <row r="86">
      <c r="A86" s="234" t="s">
        <v>4983</v>
      </c>
      <c r="B86" s="112" t="s">
        <v>4984</v>
      </c>
      <c r="C86" s="111" t="s">
        <v>4985</v>
      </c>
      <c r="D86" s="72" t="s">
        <v>4986</v>
      </c>
      <c r="E86" s="234" t="s">
        <v>4983</v>
      </c>
      <c r="F86" s="112" t="s">
        <v>4987</v>
      </c>
      <c r="G86" s="111" t="s">
        <v>4988</v>
      </c>
      <c r="H86" s="72" t="s">
        <v>4989</v>
      </c>
      <c r="I86" s="234" t="s">
        <v>4983</v>
      </c>
      <c r="J86" s="112" t="s">
        <v>4990</v>
      </c>
      <c r="K86" s="111" t="s">
        <v>4991</v>
      </c>
      <c r="L86" s="72" t="s">
        <v>4992</v>
      </c>
      <c r="M86" s="234" t="s">
        <v>4983</v>
      </c>
      <c r="N86" s="112" t="s">
        <v>4993</v>
      </c>
      <c r="O86" s="111" t="s">
        <v>4994</v>
      </c>
      <c r="P86" s="72" t="s">
        <v>4995</v>
      </c>
      <c r="Q86" s="234" t="s">
        <v>4983</v>
      </c>
      <c r="R86" s="112" t="s">
        <v>4996</v>
      </c>
      <c r="S86" s="111" t="s">
        <v>4997</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4983</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4983</v>
      </c>
      <c r="Z86" s="235" t="s">
        <v>4998</v>
      </c>
      <c r="AA86" s="236" t="s">
        <v>4999</v>
      </c>
      <c r="AB86" s="65" t="s">
        <v>5000</v>
      </c>
      <c r="AC86" s="234" t="s">
        <v>4983</v>
      </c>
      <c r="AD86" s="112" t="s">
        <v>5001</v>
      </c>
      <c r="AE86" s="237" t="s">
        <v>5002</v>
      </c>
      <c r="AF86" s="135" t="s">
        <v>5003</v>
      </c>
      <c r="AG86" s="234" t="s">
        <v>4983</v>
      </c>
      <c r="AH86" s="238" t="s">
        <v>5004</v>
      </c>
      <c r="AI86" s="119" t="s">
        <v>5005</v>
      </c>
      <c r="AJ86" s="120" t="s">
        <v>5006</v>
      </c>
      <c r="AK86" s="234" t="s">
        <v>4983</v>
      </c>
      <c r="AL86" s="125" t="s">
        <v>5007</v>
      </c>
      <c r="AM86" s="113" t="s">
        <v>5008</v>
      </c>
      <c r="AN86" s="75" t="s">
        <v>5009</v>
      </c>
      <c r="AO86" s="234" t="s">
        <v>4983</v>
      </c>
      <c r="AP86" s="108" t="s">
        <v>5010</v>
      </c>
      <c r="AQ86" s="113" t="s">
        <v>5011</v>
      </c>
      <c r="AR86" s="75" t="s">
        <v>5012</v>
      </c>
      <c r="AS86" s="75"/>
      <c r="AT86" s="75"/>
    </row>
    <row r="87">
      <c r="A87" s="234" t="s">
        <v>5013</v>
      </c>
      <c r="B87" s="112" t="s">
        <v>5014</v>
      </c>
      <c r="C87" s="111" t="s">
        <v>5015</v>
      </c>
      <c r="D87" s="72" t="s">
        <v>5016</v>
      </c>
      <c r="E87" s="234" t="s">
        <v>5013</v>
      </c>
      <c r="F87" s="112" t="s">
        <v>5017</v>
      </c>
      <c r="G87" s="111" t="s">
        <v>5018</v>
      </c>
      <c r="H87" s="72" t="s">
        <v>5019</v>
      </c>
      <c r="I87" s="234" t="s">
        <v>5013</v>
      </c>
      <c r="J87" s="112" t="s">
        <v>5020</v>
      </c>
      <c r="K87" s="111" t="s">
        <v>5021</v>
      </c>
      <c r="L87" s="72" t="s">
        <v>5022</v>
      </c>
      <c r="M87" s="234" t="s">
        <v>5013</v>
      </c>
      <c r="N87" s="112" t="s">
        <v>5023</v>
      </c>
      <c r="O87" s="111" t="s">
        <v>5024</v>
      </c>
      <c r="P87" s="72" t="s">
        <v>5025</v>
      </c>
      <c r="Q87" s="234" t="s">
        <v>5013</v>
      </c>
      <c r="R87" s="112" t="s">
        <v>5026</v>
      </c>
      <c r="S87" s="111" t="s">
        <v>5027</v>
      </c>
      <c r="T87" s="75" t="str">
        <f>IFERROR(__xludf.DUMMYFUNCTION("GOOGLETRANSLATE(D87,""zh-tw"",""es-MX"")"),"Consigue un ventilador eléctrico. Historia paralela del calor.")</f>
        <v>Consigue un ventilador eléctrico. Historia paralela del calor.</v>
      </c>
      <c r="U87" s="234" t="s">
        <v>5013</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5013</v>
      </c>
      <c r="Z87" s="235" t="s">
        <v>5028</v>
      </c>
      <c r="AA87" s="236" t="s">
        <v>5029</v>
      </c>
      <c r="AB87" s="65" t="s">
        <v>5030</v>
      </c>
      <c r="AC87" s="234" t="s">
        <v>5013</v>
      </c>
      <c r="AD87" s="112" t="s">
        <v>5031</v>
      </c>
      <c r="AE87" s="237" t="s">
        <v>5032</v>
      </c>
      <c r="AF87" s="135" t="s">
        <v>5033</v>
      </c>
      <c r="AG87" s="234" t="s">
        <v>5013</v>
      </c>
      <c r="AH87" s="238" t="s">
        <v>5034</v>
      </c>
      <c r="AI87" s="119" t="s">
        <v>5035</v>
      </c>
      <c r="AJ87" s="120" t="s">
        <v>5036</v>
      </c>
      <c r="AK87" s="234" t="s">
        <v>5013</v>
      </c>
      <c r="AL87" s="125" t="s">
        <v>5037</v>
      </c>
      <c r="AM87" s="113" t="s">
        <v>5038</v>
      </c>
      <c r="AN87" s="75" t="s">
        <v>5039</v>
      </c>
      <c r="AO87" s="234" t="s">
        <v>5013</v>
      </c>
      <c r="AP87" s="108" t="s">
        <v>5040</v>
      </c>
      <c r="AQ87" s="113" t="s">
        <v>5041</v>
      </c>
      <c r="AR87" s="75" t="s">
        <v>5042</v>
      </c>
      <c r="AS87" s="75"/>
      <c r="AT87" s="75"/>
    </row>
    <row r="88">
      <c r="A88" s="234" t="s">
        <v>5043</v>
      </c>
      <c r="B88" s="112" t="s">
        <v>5044</v>
      </c>
      <c r="C88" s="111" t="s">
        <v>5045</v>
      </c>
      <c r="D88" s="72" t="s">
        <v>5046</v>
      </c>
      <c r="E88" s="234" t="s">
        <v>5043</v>
      </c>
      <c r="F88" s="112" t="s">
        <v>5047</v>
      </c>
      <c r="G88" s="111" t="s">
        <v>5048</v>
      </c>
      <c r="H88" s="72" t="s">
        <v>5049</v>
      </c>
      <c r="I88" s="234" t="s">
        <v>5043</v>
      </c>
      <c r="J88" s="112" t="s">
        <v>5050</v>
      </c>
      <c r="K88" s="111" t="s">
        <v>5051</v>
      </c>
      <c r="L88" s="72" t="s">
        <v>5052</v>
      </c>
      <c r="M88" s="234" t="s">
        <v>5043</v>
      </c>
      <c r="N88" s="112" t="s">
        <v>5044</v>
      </c>
      <c r="O88" s="111" t="s">
        <v>5053</v>
      </c>
      <c r="P88" s="72" t="s">
        <v>5054</v>
      </c>
      <c r="Q88" s="234" t="s">
        <v>5043</v>
      </c>
      <c r="R88" s="112" t="s">
        <v>5055</v>
      </c>
      <c r="S88" s="111" t="s">
        <v>5056</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5043</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5043</v>
      </c>
      <c r="Z88" s="235" t="s">
        <v>5057</v>
      </c>
      <c r="AA88" s="236" t="s">
        <v>5058</v>
      </c>
      <c r="AB88" s="65" t="s">
        <v>5059</v>
      </c>
      <c r="AC88" s="234" t="s">
        <v>5043</v>
      </c>
      <c r="AD88" s="112" t="s">
        <v>5060</v>
      </c>
      <c r="AE88" s="237" t="s">
        <v>5061</v>
      </c>
      <c r="AF88" s="135" t="s">
        <v>5062</v>
      </c>
      <c r="AG88" s="234" t="s">
        <v>5043</v>
      </c>
      <c r="AH88" s="238" t="s">
        <v>5063</v>
      </c>
      <c r="AI88" s="119" t="s">
        <v>5064</v>
      </c>
      <c r="AJ88" s="134" t="s">
        <v>5065</v>
      </c>
      <c r="AK88" s="234" t="s">
        <v>5043</v>
      </c>
      <c r="AL88" s="125" t="s">
        <v>5066</v>
      </c>
      <c r="AM88" s="113" t="s">
        <v>5067</v>
      </c>
      <c r="AN88" s="72" t="s">
        <v>5068</v>
      </c>
      <c r="AO88" s="234" t="s">
        <v>5043</v>
      </c>
      <c r="AP88" s="108" t="s">
        <v>5069</v>
      </c>
      <c r="AQ88" s="113" t="s">
        <v>5070</v>
      </c>
      <c r="AR88" s="75" t="s">
        <v>5071</v>
      </c>
      <c r="AS88" s="75"/>
      <c r="AT88" s="75"/>
    </row>
    <row r="89">
      <c r="A89" s="234" t="s">
        <v>5072</v>
      </c>
      <c r="B89" s="112" t="s">
        <v>5073</v>
      </c>
      <c r="C89" s="111" t="s">
        <v>5074</v>
      </c>
      <c r="D89" s="72" t="s">
        <v>5075</v>
      </c>
      <c r="E89" s="234" t="s">
        <v>5072</v>
      </c>
      <c r="F89" s="112" t="s">
        <v>5076</v>
      </c>
      <c r="G89" s="111" t="s">
        <v>5077</v>
      </c>
      <c r="H89" s="72" t="s">
        <v>5078</v>
      </c>
      <c r="I89" s="234" t="s">
        <v>5072</v>
      </c>
      <c r="J89" s="112" t="s">
        <v>5079</v>
      </c>
      <c r="K89" s="111" t="s">
        <v>5080</v>
      </c>
      <c r="L89" s="72" t="s">
        <v>5081</v>
      </c>
      <c r="M89" s="234" t="s">
        <v>5072</v>
      </c>
      <c r="N89" s="112" t="s">
        <v>5082</v>
      </c>
      <c r="O89" s="111" t="s">
        <v>5083</v>
      </c>
      <c r="P89" s="72" t="s">
        <v>5084</v>
      </c>
      <c r="Q89" s="234" t="s">
        <v>5072</v>
      </c>
      <c r="R89" s="112" t="s">
        <v>5085</v>
      </c>
      <c r="S89" s="111" t="s">
        <v>5086</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5072</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5072</v>
      </c>
      <c r="Z89" s="280" t="s">
        <v>5087</v>
      </c>
      <c r="AA89" s="236" t="s">
        <v>5088</v>
      </c>
      <c r="AB89" s="65" t="s">
        <v>5089</v>
      </c>
      <c r="AC89" s="234" t="s">
        <v>5072</v>
      </c>
      <c r="AD89" s="112" t="s">
        <v>5090</v>
      </c>
      <c r="AE89" s="237" t="s">
        <v>5091</v>
      </c>
      <c r="AF89" s="135" t="s">
        <v>5092</v>
      </c>
      <c r="AG89" s="234" t="s">
        <v>5072</v>
      </c>
      <c r="AH89" s="238" t="s">
        <v>5093</v>
      </c>
      <c r="AI89" s="119" t="s">
        <v>5094</v>
      </c>
      <c r="AJ89" s="120" t="s">
        <v>5095</v>
      </c>
      <c r="AK89" s="234" t="s">
        <v>5072</v>
      </c>
      <c r="AL89" s="125" t="s">
        <v>5096</v>
      </c>
      <c r="AM89" s="113" t="s">
        <v>5097</v>
      </c>
      <c r="AN89" s="75" t="s">
        <v>5098</v>
      </c>
      <c r="AO89" s="234" t="s">
        <v>5072</v>
      </c>
      <c r="AP89" s="108" t="s">
        <v>5099</v>
      </c>
      <c r="AQ89" s="113" t="s">
        <v>5100</v>
      </c>
      <c r="AR89" s="75" t="s">
        <v>5101</v>
      </c>
      <c r="AS89" s="75"/>
      <c r="AT89" s="75"/>
    </row>
    <row r="90">
      <c r="A90" s="234" t="s">
        <v>5102</v>
      </c>
      <c r="B90" s="112" t="s">
        <v>5103</v>
      </c>
      <c r="C90" s="111" t="s">
        <v>5104</v>
      </c>
      <c r="D90" s="72" t="s">
        <v>5105</v>
      </c>
      <c r="E90" s="234" t="s">
        <v>5102</v>
      </c>
      <c r="F90" s="112" t="s">
        <v>5106</v>
      </c>
      <c r="G90" s="111" t="s">
        <v>5107</v>
      </c>
      <c r="H90" s="72" t="s">
        <v>5108</v>
      </c>
      <c r="I90" s="234" t="s">
        <v>5102</v>
      </c>
      <c r="J90" s="112" t="s">
        <v>5109</v>
      </c>
      <c r="K90" s="111" t="s">
        <v>5110</v>
      </c>
      <c r="L90" s="72" t="s">
        <v>5111</v>
      </c>
      <c r="M90" s="234" t="s">
        <v>5102</v>
      </c>
      <c r="N90" s="112" t="s">
        <v>5103</v>
      </c>
      <c r="O90" s="111" t="s">
        <v>5112</v>
      </c>
      <c r="P90" s="72" t="s">
        <v>5113</v>
      </c>
      <c r="Q90" s="234" t="s">
        <v>5102</v>
      </c>
      <c r="R90" s="112" t="s">
        <v>5114</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5102</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5102</v>
      </c>
      <c r="Z90" s="280" t="s">
        <v>5115</v>
      </c>
      <c r="AA90" s="236" t="s">
        <v>5116</v>
      </c>
      <c r="AB90" s="65" t="s">
        <v>5117</v>
      </c>
      <c r="AC90" s="234" t="s">
        <v>5102</v>
      </c>
      <c r="AD90" s="112" t="s">
        <v>5118</v>
      </c>
      <c r="AE90" s="237" t="s">
        <v>5119</v>
      </c>
      <c r="AF90" s="135" t="s">
        <v>5120</v>
      </c>
      <c r="AG90" s="234" t="s">
        <v>5102</v>
      </c>
      <c r="AH90" s="238" t="s">
        <v>5121</v>
      </c>
      <c r="AI90" s="119" t="s">
        <v>5122</v>
      </c>
      <c r="AJ90" s="134" t="s">
        <v>5123</v>
      </c>
      <c r="AK90" s="234" t="s">
        <v>5102</v>
      </c>
      <c r="AL90" s="125" t="s">
        <v>5124</v>
      </c>
      <c r="AM90" s="113" t="s">
        <v>5125</v>
      </c>
      <c r="AN90" s="75" t="s">
        <v>5126</v>
      </c>
      <c r="AO90" s="234" t="s">
        <v>5102</v>
      </c>
      <c r="AP90" s="108" t="s">
        <v>5127</v>
      </c>
      <c r="AQ90" s="113" t="s">
        <v>5128</v>
      </c>
      <c r="AR90" s="75" t="s">
        <v>5129</v>
      </c>
      <c r="AS90" s="75"/>
      <c r="AT90" s="75"/>
    </row>
    <row r="91">
      <c r="A91" s="234" t="s">
        <v>5130</v>
      </c>
      <c r="B91" s="112" t="s">
        <v>5131</v>
      </c>
      <c r="C91" s="111" t="s">
        <v>5132</v>
      </c>
      <c r="D91" s="72" t="s">
        <v>5133</v>
      </c>
      <c r="E91" s="234" t="s">
        <v>5130</v>
      </c>
      <c r="F91" s="112" t="s">
        <v>5134</v>
      </c>
      <c r="G91" s="111" t="s">
        <v>5135</v>
      </c>
      <c r="H91" s="72" t="s">
        <v>5136</v>
      </c>
      <c r="I91" s="234" t="s">
        <v>5130</v>
      </c>
      <c r="J91" s="112" t="s">
        <v>5137</v>
      </c>
      <c r="K91" s="111" t="s">
        <v>5138</v>
      </c>
      <c r="L91" s="72" t="s">
        <v>5139</v>
      </c>
      <c r="M91" s="234" t="s">
        <v>5130</v>
      </c>
      <c r="N91" s="112" t="s">
        <v>5131</v>
      </c>
      <c r="O91" s="111" t="s">
        <v>5140</v>
      </c>
      <c r="P91" s="72" t="s">
        <v>5141</v>
      </c>
      <c r="Q91" s="234" t="s">
        <v>5130</v>
      </c>
      <c r="R91" s="112" t="s">
        <v>5142</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5130</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5130</v>
      </c>
      <c r="Z91" s="280" t="s">
        <v>5143</v>
      </c>
      <c r="AA91" s="236" t="s">
        <v>5144</v>
      </c>
      <c r="AB91" s="65" t="s">
        <v>5145</v>
      </c>
      <c r="AC91" s="234" t="s">
        <v>5130</v>
      </c>
      <c r="AD91" s="112" t="s">
        <v>5146</v>
      </c>
      <c r="AE91" s="237" t="s">
        <v>5147</v>
      </c>
      <c r="AF91" s="135" t="s">
        <v>5148</v>
      </c>
      <c r="AG91" s="234" t="s">
        <v>5130</v>
      </c>
      <c r="AH91" s="238" t="s">
        <v>5149</v>
      </c>
      <c r="AI91" s="119" t="s">
        <v>5150</v>
      </c>
      <c r="AJ91" s="120" t="s">
        <v>5151</v>
      </c>
      <c r="AK91" s="234" t="s">
        <v>5130</v>
      </c>
      <c r="AL91" s="125" t="s">
        <v>5152</v>
      </c>
      <c r="AM91" s="113" t="s">
        <v>5153</v>
      </c>
      <c r="AN91" s="75" t="s">
        <v>5154</v>
      </c>
      <c r="AO91" s="234" t="s">
        <v>5130</v>
      </c>
      <c r="AP91" s="108" t="s">
        <v>5155</v>
      </c>
      <c r="AQ91" s="113" t="s">
        <v>5156</v>
      </c>
      <c r="AR91" s="75" t="s">
        <v>5157</v>
      </c>
      <c r="AS91" s="75"/>
      <c r="AT91" s="75"/>
    </row>
    <row r="92">
      <c r="A92" s="234" t="s">
        <v>5158</v>
      </c>
      <c r="B92" s="112" t="s">
        <v>5159</v>
      </c>
      <c r="C92" s="111" t="s">
        <v>5160</v>
      </c>
      <c r="D92" s="72" t="s">
        <v>5161</v>
      </c>
      <c r="E92" s="234" t="s">
        <v>5158</v>
      </c>
      <c r="F92" s="112" t="s">
        <v>5162</v>
      </c>
      <c r="G92" s="111" t="s">
        <v>5163</v>
      </c>
      <c r="H92" s="72" t="s">
        <v>5164</v>
      </c>
      <c r="I92" s="234" t="s">
        <v>5158</v>
      </c>
      <c r="J92" s="112" t="s">
        <v>5165</v>
      </c>
      <c r="K92" s="111" t="s">
        <v>5166</v>
      </c>
      <c r="L92" s="72" t="s">
        <v>5167</v>
      </c>
      <c r="M92" s="234" t="s">
        <v>5158</v>
      </c>
      <c r="N92" s="112" t="s">
        <v>5159</v>
      </c>
      <c r="O92" s="111" t="s">
        <v>5168</v>
      </c>
      <c r="P92" s="72" t="s">
        <v>5169</v>
      </c>
      <c r="Q92" s="234" t="s">
        <v>5158</v>
      </c>
      <c r="R92" s="112" t="s">
        <v>5170</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5158</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5158</v>
      </c>
      <c r="Z92" s="280" t="s">
        <v>5171</v>
      </c>
      <c r="AA92" s="236" t="s">
        <v>5172</v>
      </c>
      <c r="AB92" s="65" t="s">
        <v>5173</v>
      </c>
      <c r="AC92" s="234" t="s">
        <v>5158</v>
      </c>
      <c r="AD92" s="112" t="s">
        <v>5174</v>
      </c>
      <c r="AE92" s="237" t="s">
        <v>5175</v>
      </c>
      <c r="AF92" s="135" t="s">
        <v>5176</v>
      </c>
      <c r="AG92" s="234" t="s">
        <v>5158</v>
      </c>
      <c r="AH92" s="238" t="s">
        <v>5177</v>
      </c>
      <c r="AI92" s="119" t="s">
        <v>5178</v>
      </c>
      <c r="AJ92" s="120" t="s">
        <v>5179</v>
      </c>
      <c r="AK92" s="234" t="s">
        <v>5158</v>
      </c>
      <c r="AL92" s="125" t="s">
        <v>5180</v>
      </c>
      <c r="AM92" s="113" t="s">
        <v>5166</v>
      </c>
      <c r="AN92" s="75" t="s">
        <v>5167</v>
      </c>
      <c r="AO92" s="234" t="s">
        <v>5158</v>
      </c>
      <c r="AP92" s="108" t="s">
        <v>5181</v>
      </c>
      <c r="AQ92" s="113" t="s">
        <v>5182</v>
      </c>
      <c r="AR92" s="75" t="s">
        <v>5183</v>
      </c>
      <c r="AS92" s="75"/>
      <c r="AT92" s="75"/>
    </row>
    <row r="93">
      <c r="A93" s="234" t="s">
        <v>5184</v>
      </c>
      <c r="B93" s="112" t="s">
        <v>5185</v>
      </c>
      <c r="C93" s="111" t="s">
        <v>5186</v>
      </c>
      <c r="D93" s="72" t="s">
        <v>5187</v>
      </c>
      <c r="E93" s="234" t="s">
        <v>5184</v>
      </c>
      <c r="F93" s="112" t="s">
        <v>5188</v>
      </c>
      <c r="G93" s="111" t="s">
        <v>5189</v>
      </c>
      <c r="H93" s="72" t="s">
        <v>5190</v>
      </c>
      <c r="I93" s="234" t="s">
        <v>5184</v>
      </c>
      <c r="J93" s="112" t="s">
        <v>5191</v>
      </c>
      <c r="K93" s="111" t="s">
        <v>5192</v>
      </c>
      <c r="L93" s="72" t="s">
        <v>5193</v>
      </c>
      <c r="M93" s="234" t="s">
        <v>5184</v>
      </c>
      <c r="N93" s="112" t="s">
        <v>5185</v>
      </c>
      <c r="O93" s="111" t="s">
        <v>5194</v>
      </c>
      <c r="P93" s="72" t="s">
        <v>5195</v>
      </c>
      <c r="Q93" s="234" t="s">
        <v>5184</v>
      </c>
      <c r="R93" s="112" t="s">
        <v>5196</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5184</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5184</v>
      </c>
      <c r="Z93" s="280" t="s">
        <v>5197</v>
      </c>
      <c r="AA93" s="236" t="s">
        <v>5198</v>
      </c>
      <c r="AB93" s="65" t="s">
        <v>5199</v>
      </c>
      <c r="AC93" s="234" t="s">
        <v>5184</v>
      </c>
      <c r="AD93" s="112" t="s">
        <v>5200</v>
      </c>
      <c r="AE93" s="237" t="s">
        <v>5201</v>
      </c>
      <c r="AF93" s="135" t="s">
        <v>5202</v>
      </c>
      <c r="AG93" s="234" t="s">
        <v>5184</v>
      </c>
      <c r="AH93" s="238" t="s">
        <v>5203</v>
      </c>
      <c r="AI93" s="119" t="s">
        <v>5204</v>
      </c>
      <c r="AJ93" s="120" t="s">
        <v>5205</v>
      </c>
      <c r="AK93" s="234" t="s">
        <v>5184</v>
      </c>
      <c r="AL93" s="125" t="s">
        <v>5206</v>
      </c>
      <c r="AM93" s="113" t="s">
        <v>5207</v>
      </c>
      <c r="AN93" s="75" t="s">
        <v>5208</v>
      </c>
      <c r="AO93" s="234" t="s">
        <v>5184</v>
      </c>
      <c r="AP93" s="108" t="s">
        <v>5209</v>
      </c>
      <c r="AQ93" s="113" t="s">
        <v>5210</v>
      </c>
      <c r="AR93" s="75" t="s">
        <v>5211</v>
      </c>
      <c r="AS93" s="75"/>
      <c r="AT93" s="75"/>
    </row>
    <row r="94">
      <c r="A94" s="234" t="s">
        <v>5212</v>
      </c>
      <c r="B94" s="112" t="s">
        <v>5213</v>
      </c>
      <c r="C94" s="111" t="s">
        <v>5214</v>
      </c>
      <c r="D94" s="72" t="s">
        <v>5215</v>
      </c>
      <c r="E94" s="234" t="s">
        <v>5212</v>
      </c>
      <c r="F94" s="112" t="s">
        <v>5216</v>
      </c>
      <c r="G94" s="111" t="s">
        <v>5217</v>
      </c>
      <c r="H94" s="72" t="s">
        <v>5218</v>
      </c>
      <c r="I94" s="234" t="s">
        <v>5212</v>
      </c>
      <c r="J94" s="112" t="s">
        <v>5219</v>
      </c>
      <c r="K94" s="111" t="s">
        <v>5220</v>
      </c>
      <c r="L94" s="72" t="s">
        <v>5221</v>
      </c>
      <c r="M94" s="234" t="s">
        <v>5212</v>
      </c>
      <c r="N94" s="112" t="s">
        <v>5222</v>
      </c>
      <c r="O94" s="111" t="s">
        <v>5223</v>
      </c>
      <c r="P94" s="72" t="s">
        <v>5224</v>
      </c>
      <c r="Q94" s="234" t="s">
        <v>5212</v>
      </c>
      <c r="R94" s="125" t="s">
        <v>5225</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al vapor suave y masticable súper sensible"".")</f>
        <v>Compra para recibir el artículo "Bollo al vapor suave y masticable súper sensible".</v>
      </c>
      <c r="U94" s="234" t="s">
        <v>5212</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5212</v>
      </c>
      <c r="Z94" s="280" t="s">
        <v>5226</v>
      </c>
      <c r="AA94" s="236" t="s">
        <v>5227</v>
      </c>
      <c r="AB94" s="65" t="s">
        <v>5228</v>
      </c>
      <c r="AC94" s="234" t="s">
        <v>5212</v>
      </c>
      <c r="AD94" s="112" t="s">
        <v>5229</v>
      </c>
      <c r="AE94" s="237" t="s">
        <v>5230</v>
      </c>
      <c r="AF94" s="135" t="s">
        <v>5231</v>
      </c>
      <c r="AG94" s="234" t="s">
        <v>5212</v>
      </c>
      <c r="AH94" s="238" t="s">
        <v>5232</v>
      </c>
      <c r="AI94" s="119" t="s">
        <v>5233</v>
      </c>
      <c r="AJ94" s="120" t="s">
        <v>5234</v>
      </c>
      <c r="AK94" s="234" t="s">
        <v>5212</v>
      </c>
      <c r="AL94" s="125" t="s">
        <v>5235</v>
      </c>
      <c r="AM94" s="113" t="s">
        <v>5236</v>
      </c>
      <c r="AN94" s="75" t="s">
        <v>5237</v>
      </c>
      <c r="AO94" s="234" t="s">
        <v>5212</v>
      </c>
      <c r="AP94" s="108" t="s">
        <v>5238</v>
      </c>
      <c r="AQ94" s="113" t="s">
        <v>5239</v>
      </c>
      <c r="AR94" s="75" t="s">
        <v>5240</v>
      </c>
      <c r="AS94" s="75"/>
      <c r="AT94" s="75"/>
    </row>
    <row r="95">
      <c r="A95" s="234" t="s">
        <v>5241</v>
      </c>
      <c r="B95" s="112" t="s">
        <v>5242</v>
      </c>
      <c r="C95" s="111" t="s">
        <v>5243</v>
      </c>
      <c r="D95" s="72" t="s">
        <v>5244</v>
      </c>
      <c r="E95" s="234" t="s">
        <v>5241</v>
      </c>
      <c r="F95" s="112" t="s">
        <v>5245</v>
      </c>
      <c r="G95" s="111" t="s">
        <v>5246</v>
      </c>
      <c r="H95" s="72" t="s">
        <v>5247</v>
      </c>
      <c r="I95" s="234" t="s">
        <v>5241</v>
      </c>
      <c r="J95" s="112" t="s">
        <v>5248</v>
      </c>
      <c r="K95" s="111" t="s">
        <v>5249</v>
      </c>
      <c r="L95" s="72" t="s">
        <v>5250</v>
      </c>
      <c r="M95" s="234" t="s">
        <v>5241</v>
      </c>
      <c r="N95" s="112" t="s">
        <v>5242</v>
      </c>
      <c r="O95" s="111" t="s">
        <v>5251</v>
      </c>
      <c r="P95" s="72" t="s">
        <v>5252</v>
      </c>
      <c r="Q95" s="234" t="s">
        <v>5241</v>
      </c>
      <c r="R95" s="125" t="s">
        <v>5253</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5241</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5241</v>
      </c>
      <c r="Z95" s="136" t="s">
        <v>5254</v>
      </c>
      <c r="AA95" s="236" t="s">
        <v>5255</v>
      </c>
      <c r="AB95" s="65" t="s">
        <v>5256</v>
      </c>
      <c r="AC95" s="234" t="s">
        <v>5241</v>
      </c>
      <c r="AD95" s="112" t="s">
        <v>5257</v>
      </c>
      <c r="AE95" s="237" t="s">
        <v>5258</v>
      </c>
      <c r="AF95" s="135" t="s">
        <v>5259</v>
      </c>
      <c r="AG95" s="234" t="s">
        <v>5241</v>
      </c>
      <c r="AH95" s="238" t="s">
        <v>5260</v>
      </c>
      <c r="AI95" s="119" t="s">
        <v>5261</v>
      </c>
      <c r="AJ95" s="120" t="s">
        <v>5262</v>
      </c>
      <c r="AK95" s="234" t="s">
        <v>5241</v>
      </c>
      <c r="AL95" s="125" t="s">
        <v>5263</v>
      </c>
      <c r="AM95" s="113" t="s">
        <v>5264</v>
      </c>
      <c r="AN95" s="75" t="s">
        <v>5265</v>
      </c>
      <c r="AO95" s="234" t="s">
        <v>5241</v>
      </c>
      <c r="AP95" s="108" t="s">
        <v>5266</v>
      </c>
      <c r="AQ95" s="113" t="s">
        <v>5267</v>
      </c>
      <c r="AR95" s="75" t="s">
        <v>5268</v>
      </c>
      <c r="AS95" s="75"/>
      <c r="AT95" s="75"/>
    </row>
    <row r="96">
      <c r="A96" s="234" t="s">
        <v>5269</v>
      </c>
      <c r="B96" s="112" t="s">
        <v>5270</v>
      </c>
      <c r="C96" s="111" t="s">
        <v>5271</v>
      </c>
      <c r="D96" s="72" t="s">
        <v>5272</v>
      </c>
      <c r="E96" s="234" t="s">
        <v>5269</v>
      </c>
      <c r="F96" s="112" t="s">
        <v>5273</v>
      </c>
      <c r="G96" s="111" t="s">
        <v>5274</v>
      </c>
      <c r="H96" s="72" t="s">
        <v>5275</v>
      </c>
      <c r="I96" s="234" t="s">
        <v>5269</v>
      </c>
      <c r="J96" s="112" t="s">
        <v>5276</v>
      </c>
      <c r="K96" s="111" t="s">
        <v>5277</v>
      </c>
      <c r="L96" s="72" t="s">
        <v>5278</v>
      </c>
      <c r="M96" s="234" t="s">
        <v>5269</v>
      </c>
      <c r="N96" s="112" t="s">
        <v>5270</v>
      </c>
      <c r="O96" s="111" t="s">
        <v>5279</v>
      </c>
      <c r="P96" s="72" t="s">
        <v>5280</v>
      </c>
      <c r="Q96" s="234" t="s">
        <v>5269</v>
      </c>
      <c r="R96" s="125" t="s">
        <v>5281</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desarrollan diferentes historias según si la bebida se administra antes o después de curar a la hermana.")</f>
        <v>Ganancia de estado
*Se desarrollan diferentes historias según si la bebida se administra antes o después de curar a la hermana.</v>
      </c>
      <c r="U96" s="234" t="s">
        <v>5269</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5269</v>
      </c>
      <c r="Z96" s="136" t="s">
        <v>5282</v>
      </c>
      <c r="AA96" s="236" t="s">
        <v>5283</v>
      </c>
      <c r="AB96" s="65" t="s">
        <v>5284</v>
      </c>
      <c r="AC96" s="234" t="s">
        <v>5269</v>
      </c>
      <c r="AD96" s="112" t="s">
        <v>5285</v>
      </c>
      <c r="AE96" s="237" t="s">
        <v>5286</v>
      </c>
      <c r="AF96" s="135" t="s">
        <v>5287</v>
      </c>
      <c r="AG96" s="234" t="s">
        <v>5269</v>
      </c>
      <c r="AH96" s="238" t="s">
        <v>5288</v>
      </c>
      <c r="AI96" s="119" t="s">
        <v>5289</v>
      </c>
      <c r="AJ96" s="120" t="s">
        <v>5290</v>
      </c>
      <c r="AK96" s="234" t="s">
        <v>5269</v>
      </c>
      <c r="AL96" s="125" t="s">
        <v>5291</v>
      </c>
      <c r="AM96" s="113" t="s">
        <v>5292</v>
      </c>
      <c r="AN96" s="75" t="s">
        <v>5293</v>
      </c>
      <c r="AO96" s="234" t="s">
        <v>5269</v>
      </c>
      <c r="AP96" s="108" t="s">
        <v>5294</v>
      </c>
      <c r="AQ96" s="113" t="s">
        <v>5295</v>
      </c>
      <c r="AR96" s="75" t="s">
        <v>5296</v>
      </c>
      <c r="AS96" s="75"/>
      <c r="AT96" s="75"/>
    </row>
    <row r="97">
      <c r="A97" s="234" t="s">
        <v>5297</v>
      </c>
      <c r="B97" s="108" t="s">
        <v>5298</v>
      </c>
      <c r="C97" s="109" t="s">
        <v>5299</v>
      </c>
      <c r="D97" s="110" t="s">
        <v>5300</v>
      </c>
      <c r="E97" s="234" t="s">
        <v>5297</v>
      </c>
      <c r="F97" s="108" t="s">
        <v>5301</v>
      </c>
      <c r="G97" s="109" t="s">
        <v>5302</v>
      </c>
      <c r="H97" s="110" t="s">
        <v>5303</v>
      </c>
      <c r="I97" s="234" t="s">
        <v>5297</v>
      </c>
      <c r="J97" s="108" t="s">
        <v>5304</v>
      </c>
      <c r="K97" s="109" t="s">
        <v>5305</v>
      </c>
      <c r="L97" s="110" t="s">
        <v>5306</v>
      </c>
      <c r="M97" s="234" t="s">
        <v>5297</v>
      </c>
      <c r="N97" s="108" t="s">
        <v>5307</v>
      </c>
      <c r="O97" s="111" t="s">
        <v>5308</v>
      </c>
      <c r="P97" s="75" t="s">
        <v>5309</v>
      </c>
      <c r="Q97" s="234" t="s">
        <v>5297</v>
      </c>
      <c r="R97" s="125" t="s">
        <v>5310</v>
      </c>
      <c r="S97" s="111" t="s">
        <v>4829</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5297</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5297</v>
      </c>
      <c r="Z97" s="235" t="s">
        <v>5311</v>
      </c>
      <c r="AA97" s="236" t="s">
        <v>5312</v>
      </c>
      <c r="AB97" s="65" t="s">
        <v>5313</v>
      </c>
      <c r="AC97" s="234" t="s">
        <v>5297</v>
      </c>
      <c r="AD97" s="108" t="s">
        <v>5314</v>
      </c>
      <c r="AE97" s="109" t="s">
        <v>5315</v>
      </c>
      <c r="AF97" s="110" t="s">
        <v>5316</v>
      </c>
      <c r="AG97" s="234" t="s">
        <v>5297</v>
      </c>
      <c r="AH97" s="281" t="s">
        <v>5317</v>
      </c>
      <c r="AI97" s="145" t="s">
        <v>5318</v>
      </c>
      <c r="AJ97" s="146" t="s">
        <v>5319</v>
      </c>
      <c r="AK97" s="234" t="s">
        <v>5297</v>
      </c>
      <c r="AL97" s="125" t="s">
        <v>5320</v>
      </c>
      <c r="AM97" s="109" t="s">
        <v>5321</v>
      </c>
      <c r="AN97" s="110" t="s">
        <v>5322</v>
      </c>
      <c r="AO97" s="234" t="s">
        <v>5297</v>
      </c>
      <c r="AP97" s="112" t="s">
        <v>5323</v>
      </c>
      <c r="AQ97" s="113" t="s">
        <v>5324</v>
      </c>
      <c r="AR97" s="75" t="s">
        <v>5325</v>
      </c>
      <c r="AS97" s="260"/>
      <c r="AT97" s="260"/>
    </row>
    <row r="98" ht="396.0" customHeight="1">
      <c r="A98" s="234" t="s">
        <v>5326</v>
      </c>
      <c r="B98" s="108" t="s">
        <v>5327</v>
      </c>
      <c r="C98" s="109" t="s">
        <v>5328</v>
      </c>
      <c r="D98" s="110" t="s">
        <v>5329</v>
      </c>
      <c r="E98" s="234" t="s">
        <v>5326</v>
      </c>
      <c r="F98" s="108" t="s">
        <v>5330</v>
      </c>
      <c r="G98" s="109" t="s">
        <v>5331</v>
      </c>
      <c r="H98" s="110" t="s">
        <v>5332</v>
      </c>
      <c r="I98" s="234" t="s">
        <v>5326</v>
      </c>
      <c r="J98" s="108" t="s">
        <v>5333</v>
      </c>
      <c r="K98" s="109" t="s">
        <v>5334</v>
      </c>
      <c r="L98" s="72" t="s">
        <v>5335</v>
      </c>
      <c r="M98" s="234" t="s">
        <v>5326</v>
      </c>
      <c r="N98" s="108" t="s">
        <v>5336</v>
      </c>
      <c r="O98" s="113" t="s">
        <v>5337</v>
      </c>
      <c r="P98" s="72" t="s">
        <v>5338</v>
      </c>
      <c r="Q98" s="234" t="s">
        <v>5326</v>
      </c>
      <c r="R98" s="125" t="s">
        <v>5339</v>
      </c>
      <c r="S98" s="111" t="s">
        <v>4829</v>
      </c>
      <c r="T98" s="75" t="str">
        <f>IFERROR(__xludf.DUMMYFUNCTION("GOOGLETRANSLATE(D98,""zh-tw"",""es-MX"")"),"Advertencia: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8" s="234" t="s">
        <v>5326</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5326</v>
      </c>
      <c r="Z98" s="235" t="s">
        <v>5340</v>
      </c>
      <c r="AA98" s="236" t="s">
        <v>5341</v>
      </c>
      <c r="AB98" s="65" t="s">
        <v>5342</v>
      </c>
      <c r="AC98" s="234" t="s">
        <v>5326</v>
      </c>
      <c r="AD98" s="108" t="s">
        <v>5343</v>
      </c>
      <c r="AE98" s="109" t="s">
        <v>5344</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5326</v>
      </c>
      <c r="AH98" s="281" t="s">
        <v>5345</v>
      </c>
      <c r="AI98" s="145" t="s">
        <v>5346</v>
      </c>
      <c r="AJ98" s="146" t="s">
        <v>5347</v>
      </c>
      <c r="AK98" s="234" t="s">
        <v>5326</v>
      </c>
      <c r="AL98" s="125" t="s">
        <v>5348</v>
      </c>
      <c r="AM98" s="113" t="s">
        <v>5349</v>
      </c>
      <c r="AN98" s="75" t="s">
        <v>5350</v>
      </c>
      <c r="AO98" s="234" t="s">
        <v>5326</v>
      </c>
      <c r="AP98" s="112" t="s">
        <v>5351</v>
      </c>
      <c r="AQ98" s="113" t="s">
        <v>5352</v>
      </c>
      <c r="AR98" s="75" t="s">
        <v>5353</v>
      </c>
      <c r="AS98" s="260"/>
      <c r="AT98" s="260"/>
    </row>
    <row r="99">
      <c r="A99" s="234" t="s">
        <v>5354</v>
      </c>
      <c r="B99" s="112" t="s">
        <v>5355</v>
      </c>
      <c r="C99" s="111" t="s">
        <v>5356</v>
      </c>
      <c r="D99" s="72" t="s">
        <v>5357</v>
      </c>
      <c r="E99" s="234" t="s">
        <v>5354</v>
      </c>
      <c r="F99" s="112" t="s">
        <v>5358</v>
      </c>
      <c r="G99" s="111" t="s">
        <v>5359</v>
      </c>
      <c r="H99" s="72" t="s">
        <v>5360</v>
      </c>
      <c r="I99" s="234" t="s">
        <v>5354</v>
      </c>
      <c r="J99" s="112" t="s">
        <v>5361</v>
      </c>
      <c r="K99" s="111" t="s">
        <v>5362</v>
      </c>
      <c r="L99" s="72" t="s">
        <v>5363</v>
      </c>
      <c r="M99" s="234" t="s">
        <v>5354</v>
      </c>
      <c r="N99" s="112" t="s">
        <v>5364</v>
      </c>
      <c r="O99" s="111" t="s">
        <v>5365</v>
      </c>
      <c r="P99" s="72" t="s">
        <v>5366</v>
      </c>
      <c r="Q99" s="234" t="s">
        <v>5354</v>
      </c>
      <c r="R99" s="125" t="s">
        <v>5367</v>
      </c>
      <c r="S99" s="111" t="s">
        <v>5368</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5354</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5354</v>
      </c>
      <c r="Z99" s="235" t="s">
        <v>5369</v>
      </c>
      <c r="AA99" s="236" t="s">
        <v>5370</v>
      </c>
      <c r="AB99" s="65" t="s">
        <v>5371</v>
      </c>
      <c r="AC99" s="234" t="s">
        <v>5354</v>
      </c>
      <c r="AD99" s="136" t="s">
        <v>5372</v>
      </c>
      <c r="AE99" s="237" t="s">
        <v>5373</v>
      </c>
      <c r="AF99" s="135" t="s">
        <v>5374</v>
      </c>
      <c r="AG99" s="234" t="s">
        <v>5354</v>
      </c>
      <c r="AH99" s="238" t="s">
        <v>5375</v>
      </c>
      <c r="AI99" s="119" t="s">
        <v>5376</v>
      </c>
      <c r="AJ99" s="120" t="s">
        <v>5377</v>
      </c>
      <c r="AK99" s="234" t="s">
        <v>5354</v>
      </c>
      <c r="AL99" s="125" t="s">
        <v>5378</v>
      </c>
      <c r="AM99" s="113" t="s">
        <v>5379</v>
      </c>
      <c r="AN99" s="75" t="s">
        <v>5380</v>
      </c>
      <c r="AO99" s="234" t="s">
        <v>5354</v>
      </c>
      <c r="AP99" s="112" t="s">
        <v>5381</v>
      </c>
      <c r="AQ99" s="113" t="s">
        <v>5382</v>
      </c>
      <c r="AR99" s="75" t="s">
        <v>5383</v>
      </c>
      <c r="AS99" s="75"/>
      <c r="AT99" s="75"/>
    </row>
    <row r="100">
      <c r="A100" s="234" t="s">
        <v>5384</v>
      </c>
      <c r="B100" s="112" t="s">
        <v>5385</v>
      </c>
      <c r="C100" s="111" t="s">
        <v>5356</v>
      </c>
      <c r="D100" s="72" t="s">
        <v>5386</v>
      </c>
      <c r="E100" s="234" t="s">
        <v>5384</v>
      </c>
      <c r="F100" s="112" t="s">
        <v>5387</v>
      </c>
      <c r="G100" s="111" t="s">
        <v>5388</v>
      </c>
      <c r="H100" s="72" t="s">
        <v>5389</v>
      </c>
      <c r="I100" s="234" t="s">
        <v>5384</v>
      </c>
      <c r="J100" s="112" t="s">
        <v>5390</v>
      </c>
      <c r="K100" s="111" t="s">
        <v>5362</v>
      </c>
      <c r="L100" s="72" t="s">
        <v>5391</v>
      </c>
      <c r="M100" s="234" t="s">
        <v>5384</v>
      </c>
      <c r="N100" s="112" t="s">
        <v>5392</v>
      </c>
      <c r="O100" s="111" t="s">
        <v>5365</v>
      </c>
      <c r="P100" s="72" t="s">
        <v>5393</v>
      </c>
      <c r="Q100" s="234" t="s">
        <v>5384</v>
      </c>
      <c r="R100" s="125" t="s">
        <v>5394</v>
      </c>
      <c r="S100" s="111" t="s">
        <v>5368</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5384</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5384</v>
      </c>
      <c r="Z100" s="235" t="s">
        <v>5395</v>
      </c>
      <c r="AA100" s="236" t="s">
        <v>5370</v>
      </c>
      <c r="AB100" s="65" t="s">
        <v>5396</v>
      </c>
      <c r="AC100" s="234" t="s">
        <v>5384</v>
      </c>
      <c r="AD100" s="136" t="s">
        <v>5397</v>
      </c>
      <c r="AE100" s="237" t="s">
        <v>5373</v>
      </c>
      <c r="AF100" s="135" t="s">
        <v>5398</v>
      </c>
      <c r="AG100" s="234" t="s">
        <v>5384</v>
      </c>
      <c r="AH100" s="238" t="s">
        <v>5399</v>
      </c>
      <c r="AI100" s="119" t="s">
        <v>5376</v>
      </c>
      <c r="AJ100" s="120" t="s">
        <v>5400</v>
      </c>
      <c r="AK100" s="234" t="s">
        <v>5384</v>
      </c>
      <c r="AL100" s="125" t="s">
        <v>5401</v>
      </c>
      <c r="AM100" s="113" t="s">
        <v>5379</v>
      </c>
      <c r="AN100" s="75" t="s">
        <v>5402</v>
      </c>
      <c r="AO100" s="234" t="s">
        <v>5384</v>
      </c>
      <c r="AP100" s="112" t="s">
        <v>5403</v>
      </c>
      <c r="AQ100" s="113" t="s">
        <v>5382</v>
      </c>
      <c r="AR100" s="75" t="s">
        <v>5404</v>
      </c>
      <c r="AS100" s="75"/>
      <c r="AT100" s="75"/>
    </row>
    <row r="101">
      <c r="A101" s="234" t="s">
        <v>5405</v>
      </c>
      <c r="B101" s="112" t="s">
        <v>5406</v>
      </c>
      <c r="C101" s="111" t="s">
        <v>5407</v>
      </c>
      <c r="D101" s="72" t="s">
        <v>5408</v>
      </c>
      <c r="E101" s="234" t="s">
        <v>5405</v>
      </c>
      <c r="F101" s="112" t="s">
        <v>5409</v>
      </c>
      <c r="G101" s="111" t="s">
        <v>5410</v>
      </c>
      <c r="H101" s="72" t="s">
        <v>1067</v>
      </c>
      <c r="I101" s="234" t="s">
        <v>5405</v>
      </c>
      <c r="J101" s="112" t="s">
        <v>5411</v>
      </c>
      <c r="K101" s="111" t="s">
        <v>5412</v>
      </c>
      <c r="L101" s="72" t="s">
        <v>1390</v>
      </c>
      <c r="M101" s="234" t="s">
        <v>5405</v>
      </c>
      <c r="N101" s="112" t="s">
        <v>5413</v>
      </c>
      <c r="O101" s="111" t="s">
        <v>5414</v>
      </c>
      <c r="P101" s="72" t="s">
        <v>3102</v>
      </c>
      <c r="Q101" s="234" t="s">
        <v>5405</v>
      </c>
      <c r="R101" s="125" t="s">
        <v>5415</v>
      </c>
      <c r="S101" s="111" t="s">
        <v>5416</v>
      </c>
      <c r="T101" s="75" t="str">
        <f>IFERROR(__xludf.DUMMYFUNCTION("GOOGLETRANSLATE(D101,""zh-tw"",""es-MX"")"),"No implementado")</f>
        <v>No implementado</v>
      </c>
      <c r="U101" s="234" t="s">
        <v>5405</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5405</v>
      </c>
      <c r="Z101" s="235" t="s">
        <v>5417</v>
      </c>
      <c r="AA101" s="236" t="s">
        <v>5418</v>
      </c>
      <c r="AB101" s="71" t="s">
        <v>5419</v>
      </c>
      <c r="AC101" s="234" t="s">
        <v>5405</v>
      </c>
      <c r="AD101" s="136" t="s">
        <v>5420</v>
      </c>
      <c r="AE101" s="237" t="s">
        <v>5421</v>
      </c>
      <c r="AF101" s="135" t="s">
        <v>5422</v>
      </c>
      <c r="AG101" s="234" t="s">
        <v>5405</v>
      </c>
      <c r="AH101" s="238" t="s">
        <v>5423</v>
      </c>
      <c r="AI101" s="119" t="s">
        <v>5424</v>
      </c>
      <c r="AJ101" s="120" t="s">
        <v>5425</v>
      </c>
      <c r="AK101" s="234" t="s">
        <v>5405</v>
      </c>
      <c r="AL101" s="125" t="s">
        <v>5426</v>
      </c>
      <c r="AM101" s="113" t="s">
        <v>5427</v>
      </c>
      <c r="AN101" s="75" t="s">
        <v>1401</v>
      </c>
      <c r="AO101" s="234" t="s">
        <v>5405</v>
      </c>
      <c r="AP101" s="112" t="s">
        <v>5428</v>
      </c>
      <c r="AQ101" s="113" t="s">
        <v>5429</v>
      </c>
      <c r="AR101" s="75" t="s">
        <v>1656</v>
      </c>
      <c r="AS101" s="75"/>
      <c r="AT101" s="75"/>
    </row>
    <row r="102">
      <c r="A102" s="234" t="s">
        <v>5430</v>
      </c>
      <c r="B102" s="112" t="s">
        <v>5431</v>
      </c>
      <c r="C102" s="111" t="s">
        <v>5356</v>
      </c>
      <c r="D102" s="72" t="s">
        <v>5432</v>
      </c>
      <c r="E102" s="234" t="s">
        <v>5430</v>
      </c>
      <c r="F102" s="112" t="s">
        <v>5433</v>
      </c>
      <c r="G102" s="111" t="s">
        <v>5434</v>
      </c>
      <c r="H102" s="72" t="s">
        <v>5435</v>
      </c>
      <c r="I102" s="234" t="s">
        <v>5430</v>
      </c>
      <c r="J102" s="112" t="s">
        <v>5436</v>
      </c>
      <c r="K102" s="111" t="s">
        <v>5437</v>
      </c>
      <c r="L102" s="72" t="s">
        <v>5438</v>
      </c>
      <c r="M102" s="234" t="s">
        <v>5430</v>
      </c>
      <c r="N102" s="112" t="s">
        <v>5439</v>
      </c>
      <c r="O102" s="111" t="s">
        <v>5365</v>
      </c>
      <c r="P102" s="72" t="s">
        <v>5440</v>
      </c>
      <c r="Q102" s="234" t="s">
        <v>5430</v>
      </c>
      <c r="R102" s="125" t="s">
        <v>5441</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5430</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5430</v>
      </c>
      <c r="Z102" s="235" t="s">
        <v>5442</v>
      </c>
      <c r="AA102" s="236" t="s">
        <v>5370</v>
      </c>
      <c r="AB102" s="65" t="s">
        <v>5443</v>
      </c>
      <c r="AC102" s="234" t="s">
        <v>5430</v>
      </c>
      <c r="AD102" s="136" t="s">
        <v>5444</v>
      </c>
      <c r="AE102" s="237" t="s">
        <v>5445</v>
      </c>
      <c r="AF102" s="135" t="s">
        <v>5446</v>
      </c>
      <c r="AG102" s="234" t="s">
        <v>5430</v>
      </c>
      <c r="AH102" s="238" t="s">
        <v>5447</v>
      </c>
      <c r="AI102" s="119" t="s">
        <v>5448</v>
      </c>
      <c r="AJ102" s="120" t="s">
        <v>5449</v>
      </c>
      <c r="AK102" s="234" t="s">
        <v>5430</v>
      </c>
      <c r="AL102" s="125" t="s">
        <v>5450</v>
      </c>
      <c r="AM102" s="113" t="s">
        <v>5451</v>
      </c>
      <c r="AN102" s="75" t="s">
        <v>5452</v>
      </c>
      <c r="AO102" s="234" t="s">
        <v>5430</v>
      </c>
      <c r="AP102" s="108" t="s">
        <v>5453</v>
      </c>
      <c r="AQ102" s="113" t="s">
        <v>5382</v>
      </c>
      <c r="AR102" s="75" t="s">
        <v>5454</v>
      </c>
      <c r="AS102" s="75"/>
      <c r="AT102" s="75"/>
    </row>
    <row r="103">
      <c r="A103" s="234" t="s">
        <v>5455</v>
      </c>
      <c r="B103" s="112" t="s">
        <v>5456</v>
      </c>
      <c r="C103" s="111" t="s">
        <v>5356</v>
      </c>
      <c r="D103" s="72" t="s">
        <v>5457</v>
      </c>
      <c r="E103" s="234" t="s">
        <v>5455</v>
      </c>
      <c r="F103" s="112" t="s">
        <v>5458</v>
      </c>
      <c r="G103" s="111" t="s">
        <v>5434</v>
      </c>
      <c r="H103" s="72" t="s">
        <v>5459</v>
      </c>
      <c r="I103" s="234" t="s">
        <v>5455</v>
      </c>
      <c r="J103" s="112" t="s">
        <v>5460</v>
      </c>
      <c r="K103" s="111" t="s">
        <v>5437</v>
      </c>
      <c r="L103" s="72" t="s">
        <v>5461</v>
      </c>
      <c r="M103" s="234" t="s">
        <v>5455</v>
      </c>
      <c r="N103" s="112" t="s">
        <v>5462</v>
      </c>
      <c r="O103" s="111" t="s">
        <v>5365</v>
      </c>
      <c r="P103" s="72" t="s">
        <v>5463</v>
      </c>
      <c r="Q103" s="234" t="s">
        <v>5455</v>
      </c>
      <c r="R103" s="125" t="s">
        <v>5464</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5455</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5455</v>
      </c>
      <c r="Z103" s="235" t="s">
        <v>5465</v>
      </c>
      <c r="AA103" s="236" t="s">
        <v>5370</v>
      </c>
      <c r="AB103" s="65" t="s">
        <v>5466</v>
      </c>
      <c r="AC103" s="234" t="s">
        <v>5455</v>
      </c>
      <c r="AD103" s="136" t="s">
        <v>5467</v>
      </c>
      <c r="AE103" s="237" t="s">
        <v>5468</v>
      </c>
      <c r="AF103" s="135" t="s">
        <v>5469</v>
      </c>
      <c r="AG103" s="234" t="s">
        <v>5455</v>
      </c>
      <c r="AH103" s="238" t="s">
        <v>5470</v>
      </c>
      <c r="AI103" s="119" t="s">
        <v>5448</v>
      </c>
      <c r="AJ103" s="120" t="s">
        <v>5471</v>
      </c>
      <c r="AK103" s="234" t="s">
        <v>5455</v>
      </c>
      <c r="AL103" s="125" t="s">
        <v>5472</v>
      </c>
      <c r="AM103" s="113" t="s">
        <v>5451</v>
      </c>
      <c r="AN103" s="75" t="s">
        <v>5473</v>
      </c>
      <c r="AO103" s="234" t="s">
        <v>5455</v>
      </c>
      <c r="AP103" s="108" t="s">
        <v>5474</v>
      </c>
      <c r="AQ103" s="113" t="s">
        <v>5382</v>
      </c>
      <c r="AR103" s="75" t="s">
        <v>5475</v>
      </c>
      <c r="AS103" s="75"/>
      <c r="AT103" s="75"/>
    </row>
    <row r="104">
      <c r="A104" s="234" t="s">
        <v>5476</v>
      </c>
      <c r="B104" s="112" t="s">
        <v>5477</v>
      </c>
      <c r="C104" s="111" t="s">
        <v>5478</v>
      </c>
      <c r="D104" s="72" t="s">
        <v>5479</v>
      </c>
      <c r="E104" s="234" t="s">
        <v>5476</v>
      </c>
      <c r="F104" s="112" t="s">
        <v>5480</v>
      </c>
      <c r="G104" s="111" t="s">
        <v>5481</v>
      </c>
      <c r="H104" s="72" t="s">
        <v>5482</v>
      </c>
      <c r="I104" s="234" t="s">
        <v>5476</v>
      </c>
      <c r="J104" s="112" t="s">
        <v>5483</v>
      </c>
      <c r="K104" s="111" t="s">
        <v>5484</v>
      </c>
      <c r="L104" s="72" t="s">
        <v>5485</v>
      </c>
      <c r="M104" s="234" t="s">
        <v>5476</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5476</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5476</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5476</v>
      </c>
      <c r="Z104" s="235" t="s">
        <v>5486</v>
      </c>
      <c r="AA104" s="236" t="s">
        <v>5487</v>
      </c>
      <c r="AB104" s="65" t="s">
        <v>5488</v>
      </c>
      <c r="AC104" s="234" t="s">
        <v>5476</v>
      </c>
      <c r="AD104" s="136" t="s">
        <v>5489</v>
      </c>
      <c r="AE104" s="237" t="s">
        <v>5490</v>
      </c>
      <c r="AF104" s="135" t="s">
        <v>5491</v>
      </c>
      <c r="AG104" s="234" t="s">
        <v>5476</v>
      </c>
      <c r="AH104" s="238" t="s">
        <v>5492</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5493</v>
      </c>
      <c r="AK104" s="234" t="s">
        <v>5476</v>
      </c>
      <c r="AL104" s="125" t="s">
        <v>5494</v>
      </c>
      <c r="AM104" s="113" t="s">
        <v>5495</v>
      </c>
      <c r="AN104" s="75" t="s">
        <v>5496</v>
      </c>
      <c r="AO104" s="234" t="s">
        <v>5476</v>
      </c>
      <c r="AP104" s="108" t="s">
        <v>5497</v>
      </c>
      <c r="AQ104" s="113" t="s">
        <v>5498</v>
      </c>
      <c r="AR104" s="75" t="s">
        <v>5499</v>
      </c>
      <c r="AS104" s="75"/>
      <c r="AT104" s="75"/>
    </row>
    <row r="105">
      <c r="A105" s="234" t="s">
        <v>5500</v>
      </c>
      <c r="B105" s="112" t="s">
        <v>5501</v>
      </c>
      <c r="C105" s="111" t="s">
        <v>5502</v>
      </c>
      <c r="D105" s="72" t="s">
        <v>5503</v>
      </c>
      <c r="E105" s="234" t="s">
        <v>5500</v>
      </c>
      <c r="F105" s="112" t="s">
        <v>5504</v>
      </c>
      <c r="G105" s="111" t="s">
        <v>5505</v>
      </c>
      <c r="H105" s="72" t="s">
        <v>5506</v>
      </c>
      <c r="I105" s="234" t="s">
        <v>5500</v>
      </c>
      <c r="J105" s="112" t="s">
        <v>5507</v>
      </c>
      <c r="K105" s="111" t="s">
        <v>5508</v>
      </c>
      <c r="L105" s="72" t="s">
        <v>5509</v>
      </c>
      <c r="M105" s="234" t="s">
        <v>5500</v>
      </c>
      <c r="N105" s="112" t="s">
        <v>5501</v>
      </c>
      <c r="O105" s="113" t="s">
        <v>5510</v>
      </c>
      <c r="P105" s="75" t="s">
        <v>5511</v>
      </c>
      <c r="Q105" s="234" t="s">
        <v>5500</v>
      </c>
      <c r="R105" s="125" t="s">
        <v>5501</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5500</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5500</v>
      </c>
      <c r="Z105" s="235" t="s">
        <v>5512</v>
      </c>
      <c r="AA105" s="236" t="s">
        <v>5513</v>
      </c>
      <c r="AB105" s="65" t="s">
        <v>5514</v>
      </c>
      <c r="AC105" s="234" t="s">
        <v>5500</v>
      </c>
      <c r="AD105" s="112" t="str">
        <f>IFERROR(__xludf.DUMMYFUNCTION("GOOGLETRANSLATE(B105,""zh-tw"",""de"")"),"ASABA-1")</f>
        <v>ASABA-1</v>
      </c>
      <c r="AE105" s="111" t="str">
        <f>IFERROR(__xludf.DUMMYFUNCTION("GOOGLETRANSLATE(C105,""zh-tw"",""de"")"),"ASABA füttern – „normales Futter“")</f>
        <v>ASABA füttern – „normales Futter“</v>
      </c>
      <c r="AF105" s="72" t="s">
        <v>5515</v>
      </c>
      <c r="AG105" s="234" t="s">
        <v>5500</v>
      </c>
      <c r="AH105" s="238" t="s">
        <v>5507</v>
      </c>
      <c r="AI105" s="119" t="s">
        <v>5516</v>
      </c>
      <c r="AJ105" s="120" t="s">
        <v>5517</v>
      </c>
      <c r="AK105" s="234" t="s">
        <v>5500</v>
      </c>
      <c r="AL105" s="125" t="s">
        <v>5507</v>
      </c>
      <c r="AM105" s="113" t="s">
        <v>5518</v>
      </c>
      <c r="AN105" s="75" t="s">
        <v>5519</v>
      </c>
      <c r="AO105" s="234" t="s">
        <v>5500</v>
      </c>
      <c r="AP105" s="108" t="s">
        <v>5501</v>
      </c>
      <c r="AQ105" s="113" t="s">
        <v>5520</v>
      </c>
      <c r="AR105" s="75" t="s">
        <v>5521</v>
      </c>
      <c r="AS105" s="75"/>
      <c r="AT105" s="75"/>
    </row>
    <row r="106">
      <c r="A106" s="234" t="s">
        <v>5522</v>
      </c>
      <c r="B106" s="112" t="s">
        <v>5523</v>
      </c>
      <c r="C106" s="111" t="s">
        <v>5524</v>
      </c>
      <c r="D106" s="72" t="s">
        <v>5525</v>
      </c>
      <c r="E106" s="234" t="s">
        <v>5522</v>
      </c>
      <c r="F106" s="112" t="s">
        <v>5526</v>
      </c>
      <c r="G106" s="111" t="s">
        <v>5527</v>
      </c>
      <c r="H106" s="72" t="s">
        <v>5528</v>
      </c>
      <c r="I106" s="234" t="s">
        <v>5522</v>
      </c>
      <c r="J106" s="112" t="s">
        <v>5529</v>
      </c>
      <c r="K106" s="111" t="s">
        <v>5530</v>
      </c>
      <c r="L106" s="72" t="s">
        <v>5531</v>
      </c>
      <c r="M106" s="234" t="s">
        <v>5522</v>
      </c>
      <c r="N106" s="112" t="s">
        <v>5523</v>
      </c>
      <c r="O106" s="113" t="s">
        <v>5532</v>
      </c>
      <c r="P106" s="75" t="s">
        <v>5533</v>
      </c>
      <c r="Q106" s="234" t="s">
        <v>5522</v>
      </c>
      <c r="R106" s="125" t="s">
        <v>5523</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5522</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5522</v>
      </c>
      <c r="Z106" s="235" t="s">
        <v>5534</v>
      </c>
      <c r="AA106" s="236" t="s">
        <v>5535</v>
      </c>
      <c r="AB106" s="65" t="s">
        <v>5536</v>
      </c>
      <c r="AC106" s="234" t="s">
        <v>5522</v>
      </c>
      <c r="AD106" s="112" t="str">
        <f>IFERROR(__xludf.DUMMYFUNCTION("GOOGLETRANSLATE(B106,""zh-tw"",""de"")"),"ASABA-2")</f>
        <v>ASABA-2</v>
      </c>
      <c r="AE106" s="111" t="str">
        <f>IFERROR(__xludf.DUMMYFUNCTION("GOOGLETRANSLATE(C106,""zh-tw"",""de"")"),"Fütterung von ASABA – „Schwesters Ahoge“")</f>
        <v>Fütterung von ASABA – „Schwesters Ahoge“</v>
      </c>
      <c r="AF106" s="72" t="s">
        <v>5537</v>
      </c>
      <c r="AG106" s="234" t="s">
        <v>5522</v>
      </c>
      <c r="AH106" s="238" t="s">
        <v>5529</v>
      </c>
      <c r="AI106" s="119" t="s">
        <v>5538</v>
      </c>
      <c r="AJ106" s="120" t="s">
        <v>5539</v>
      </c>
      <c r="AK106" s="234" t="s">
        <v>5522</v>
      </c>
      <c r="AL106" s="125" t="s">
        <v>5529</v>
      </c>
      <c r="AM106" s="113" t="s">
        <v>5540</v>
      </c>
      <c r="AN106" s="75" t="s">
        <v>5541</v>
      </c>
      <c r="AO106" s="234" t="s">
        <v>5522</v>
      </c>
      <c r="AP106" s="108" t="s">
        <v>5523</v>
      </c>
      <c r="AQ106" s="113" t="s">
        <v>5542</v>
      </c>
      <c r="AR106" s="75" t="s">
        <v>5543</v>
      </c>
      <c r="AS106" s="75"/>
      <c r="AT106" s="75"/>
    </row>
    <row r="107">
      <c r="A107" s="234" t="s">
        <v>5544</v>
      </c>
      <c r="B107" s="112" t="s">
        <v>5545</v>
      </c>
      <c r="C107" s="111" t="s">
        <v>5546</v>
      </c>
      <c r="D107" s="72" t="s">
        <v>5547</v>
      </c>
      <c r="E107" s="234" t="s">
        <v>5544</v>
      </c>
      <c r="F107" s="112" t="s">
        <v>5548</v>
      </c>
      <c r="G107" s="111" t="s">
        <v>5549</v>
      </c>
      <c r="H107" s="72" t="s">
        <v>5550</v>
      </c>
      <c r="I107" s="234" t="s">
        <v>5544</v>
      </c>
      <c r="J107" s="112" t="s">
        <v>5551</v>
      </c>
      <c r="K107" s="111" t="s">
        <v>5552</v>
      </c>
      <c r="L107" s="72" t="s">
        <v>5553</v>
      </c>
      <c r="M107" s="234" t="s">
        <v>5544</v>
      </c>
      <c r="N107" s="112" t="s">
        <v>5545</v>
      </c>
      <c r="O107" s="113" t="s">
        <v>5554</v>
      </c>
      <c r="P107" s="75" t="s">
        <v>5555</v>
      </c>
      <c r="Q107" s="234" t="s">
        <v>5544</v>
      </c>
      <c r="R107" s="125" t="s">
        <v>5545</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5544</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5544</v>
      </c>
      <c r="Z107" s="235" t="s">
        <v>5556</v>
      </c>
      <c r="AA107" s="236" t="s">
        <v>5557</v>
      </c>
      <c r="AB107" s="71" t="s">
        <v>5558</v>
      </c>
      <c r="AC107" s="234" t="s">
        <v>5544</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5559</v>
      </c>
      <c r="AG107" s="234" t="s">
        <v>5544</v>
      </c>
      <c r="AH107" s="238" t="s">
        <v>5551</v>
      </c>
      <c r="AI107" s="119" t="s">
        <v>5560</v>
      </c>
      <c r="AJ107" s="120" t="s">
        <v>5561</v>
      </c>
      <c r="AK107" s="234" t="s">
        <v>5544</v>
      </c>
      <c r="AL107" s="125" t="s">
        <v>5551</v>
      </c>
      <c r="AM107" s="113" t="s">
        <v>5562</v>
      </c>
      <c r="AN107" s="75" t="s">
        <v>5563</v>
      </c>
      <c r="AO107" s="234" t="s">
        <v>5544</v>
      </c>
      <c r="AP107" s="108" t="s">
        <v>5545</v>
      </c>
      <c r="AQ107" s="113" t="s">
        <v>5564</v>
      </c>
      <c r="AR107" s="75" t="s">
        <v>5565</v>
      </c>
      <c r="AS107" s="75"/>
      <c r="AT107" s="75"/>
    </row>
    <row r="108">
      <c r="A108" s="234" t="s">
        <v>5566</v>
      </c>
      <c r="B108" s="112" t="s">
        <v>5567</v>
      </c>
      <c r="C108" s="111" t="s">
        <v>5568</v>
      </c>
      <c r="D108" s="72" t="s">
        <v>5569</v>
      </c>
      <c r="E108" s="234" t="s">
        <v>5566</v>
      </c>
      <c r="F108" s="112" t="s">
        <v>5570</v>
      </c>
      <c r="G108" s="111" t="s">
        <v>5571</v>
      </c>
      <c r="H108" s="72" t="s">
        <v>5572</v>
      </c>
      <c r="I108" s="234" t="s">
        <v>5566</v>
      </c>
      <c r="J108" s="112" t="s">
        <v>5573</v>
      </c>
      <c r="K108" s="111" t="s">
        <v>5574</v>
      </c>
      <c r="L108" s="72" t="s">
        <v>5575</v>
      </c>
      <c r="M108" s="234" t="s">
        <v>5566</v>
      </c>
      <c r="N108" s="112" t="s">
        <v>5567</v>
      </c>
      <c r="O108" s="113" t="s">
        <v>5576</v>
      </c>
      <c r="P108" s="75" t="s">
        <v>5577</v>
      </c>
      <c r="Q108" s="234" t="s">
        <v>5566</v>
      </c>
      <c r="R108" s="125" t="s">
        <v>5567</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5566</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5566</v>
      </c>
      <c r="Z108" s="235" t="s">
        <v>5578</v>
      </c>
      <c r="AA108" s="236" t="s">
        <v>5579</v>
      </c>
      <c r="AB108" s="65" t="s">
        <v>5580</v>
      </c>
      <c r="AC108" s="234" t="s">
        <v>5566</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5581</v>
      </c>
      <c r="AG108" s="234" t="s">
        <v>5566</v>
      </c>
      <c r="AH108" s="238" t="s">
        <v>5573</v>
      </c>
      <c r="AI108" s="119" t="s">
        <v>5582</v>
      </c>
      <c r="AJ108" s="120" t="s">
        <v>5583</v>
      </c>
      <c r="AK108" s="234" t="s">
        <v>5566</v>
      </c>
      <c r="AL108" s="125" t="s">
        <v>5573</v>
      </c>
      <c r="AM108" s="113" t="s">
        <v>5584</v>
      </c>
      <c r="AN108" s="75" t="s">
        <v>5585</v>
      </c>
      <c r="AO108" s="234" t="s">
        <v>5566</v>
      </c>
      <c r="AP108" s="108" t="s">
        <v>5567</v>
      </c>
      <c r="AQ108" s="113" t="s">
        <v>5586</v>
      </c>
      <c r="AR108" s="75" t="s">
        <v>5587</v>
      </c>
      <c r="AS108" s="75"/>
      <c r="AT108" s="75"/>
    </row>
    <row r="109">
      <c r="A109" s="234" t="s">
        <v>5588</v>
      </c>
      <c r="B109" s="112" t="s">
        <v>5589</v>
      </c>
      <c r="C109" s="111" t="s">
        <v>5590</v>
      </c>
      <c r="D109" s="72" t="s">
        <v>5591</v>
      </c>
      <c r="E109" s="234" t="s">
        <v>5588</v>
      </c>
      <c r="F109" s="112" t="s">
        <v>5592</v>
      </c>
      <c r="G109" s="111" t="s">
        <v>5593</v>
      </c>
      <c r="H109" s="72" t="s">
        <v>5594</v>
      </c>
      <c r="I109" s="234" t="s">
        <v>5588</v>
      </c>
      <c r="J109" s="112" t="s">
        <v>5595</v>
      </c>
      <c r="K109" s="111" t="s">
        <v>5596</v>
      </c>
      <c r="L109" s="72" t="s">
        <v>5597</v>
      </c>
      <c r="M109" s="234" t="s">
        <v>5588</v>
      </c>
      <c r="N109" s="112" t="s">
        <v>5589</v>
      </c>
      <c r="O109" s="113" t="s">
        <v>5598</v>
      </c>
      <c r="P109" s="75" t="s">
        <v>5599</v>
      </c>
      <c r="Q109" s="234" t="s">
        <v>5588</v>
      </c>
      <c r="R109" s="125" t="s">
        <v>5589</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5588</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5588</v>
      </c>
      <c r="Z109" s="235" t="s">
        <v>5600</v>
      </c>
      <c r="AA109" s="236" t="s">
        <v>5601</v>
      </c>
      <c r="AB109" s="65" t="s">
        <v>5602</v>
      </c>
      <c r="AC109" s="234" t="s">
        <v>5588</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5603</v>
      </c>
      <c r="AG109" s="234" t="s">
        <v>5588</v>
      </c>
      <c r="AH109" s="238" t="s">
        <v>5595</v>
      </c>
      <c r="AI109" s="119" t="s">
        <v>5604</v>
      </c>
      <c r="AJ109" s="120" t="s">
        <v>5605</v>
      </c>
      <c r="AK109" s="234" t="s">
        <v>5588</v>
      </c>
      <c r="AL109" s="125" t="s">
        <v>5595</v>
      </c>
      <c r="AM109" s="113" t="s">
        <v>5606</v>
      </c>
      <c r="AN109" s="75" t="s">
        <v>5607</v>
      </c>
      <c r="AO109" s="234" t="s">
        <v>5588</v>
      </c>
      <c r="AP109" s="108" t="s">
        <v>5589</v>
      </c>
      <c r="AQ109" s="113" t="s">
        <v>5608</v>
      </c>
      <c r="AR109" s="75" t="s">
        <v>5609</v>
      </c>
      <c r="AS109" s="75"/>
      <c r="AT109" s="75"/>
    </row>
    <row r="110">
      <c r="A110" s="234" t="s">
        <v>5610</v>
      </c>
      <c r="B110" s="112" t="s">
        <v>5611</v>
      </c>
      <c r="C110" s="111" t="s">
        <v>5612</v>
      </c>
      <c r="D110" s="72" t="s">
        <v>5613</v>
      </c>
      <c r="E110" s="234" t="s">
        <v>5610</v>
      </c>
      <c r="F110" s="112" t="s">
        <v>5614</v>
      </c>
      <c r="G110" s="111" t="s">
        <v>5615</v>
      </c>
      <c r="H110" s="72" t="s">
        <v>5616</v>
      </c>
      <c r="I110" s="234" t="s">
        <v>5610</v>
      </c>
      <c r="J110" s="112" t="s">
        <v>5617</v>
      </c>
      <c r="K110" s="111" t="s">
        <v>5618</v>
      </c>
      <c r="L110" s="72" t="s">
        <v>5619</v>
      </c>
      <c r="M110" s="234" t="s">
        <v>5610</v>
      </c>
      <c r="N110" s="112" t="s">
        <v>5611</v>
      </c>
      <c r="O110" s="113" t="s">
        <v>5620</v>
      </c>
      <c r="P110" s="75" t="s">
        <v>5621</v>
      </c>
      <c r="Q110" s="234" t="s">
        <v>5610</v>
      </c>
      <c r="R110" s="125" t="s">
        <v>5611</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5610</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5610</v>
      </c>
      <c r="Z110" s="235" t="s">
        <v>5622</v>
      </c>
      <c r="AA110" s="236" t="s">
        <v>5623</v>
      </c>
      <c r="AB110" s="65" t="s">
        <v>5624</v>
      </c>
      <c r="AC110" s="234" t="s">
        <v>5610</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findest du in der Fertigkeitsleiste.)")</f>
        <v>Hol dir die Ausrüstung „Erdbeeren zurückerobern!!“
(Befehle findest du in der Fertigkeitsleiste.)</v>
      </c>
      <c r="AG110" s="234" t="s">
        <v>5610</v>
      </c>
      <c r="AH110" s="238" t="s">
        <v>5617</v>
      </c>
      <c r="AI110" s="119" t="s">
        <v>5625</v>
      </c>
      <c r="AJ110" s="120" t="s">
        <v>5626</v>
      </c>
      <c r="AK110" s="234" t="s">
        <v>5610</v>
      </c>
      <c r="AL110" s="125" t="s">
        <v>5617</v>
      </c>
      <c r="AM110" s="113" t="s">
        <v>5627</v>
      </c>
      <c r="AN110" s="75" t="s">
        <v>5628</v>
      </c>
      <c r="AO110" s="234" t="s">
        <v>5610</v>
      </c>
      <c r="AP110" s="108" t="s">
        <v>5611</v>
      </c>
      <c r="AQ110" s="113" t="s">
        <v>5629</v>
      </c>
      <c r="AR110" s="75" t="s">
        <v>5630</v>
      </c>
      <c r="AS110" s="75"/>
      <c r="AT110" s="75"/>
    </row>
    <row r="111">
      <c r="A111" s="234" t="s">
        <v>5631</v>
      </c>
      <c r="B111" s="112" t="s">
        <v>5632</v>
      </c>
      <c r="C111" s="111" t="s">
        <v>5633</v>
      </c>
      <c r="D111" s="72" t="s">
        <v>5634</v>
      </c>
      <c r="E111" s="234" t="s">
        <v>5631</v>
      </c>
      <c r="F111" s="112" t="s">
        <v>5632</v>
      </c>
      <c r="G111" s="111" t="s">
        <v>5635</v>
      </c>
      <c r="H111" s="72" t="s">
        <v>5636</v>
      </c>
      <c r="I111" s="234" t="s">
        <v>5631</v>
      </c>
      <c r="J111" s="112" t="s">
        <v>5632</v>
      </c>
      <c r="K111" s="111" t="s">
        <v>5637</v>
      </c>
      <c r="L111" s="72" t="s">
        <v>5638</v>
      </c>
      <c r="M111" s="234" t="s">
        <v>5631</v>
      </c>
      <c r="N111" s="112" t="s">
        <v>5632</v>
      </c>
      <c r="O111" s="113" t="s">
        <v>5639</v>
      </c>
      <c r="P111" s="75" t="s">
        <v>5640</v>
      </c>
      <c r="Q111" s="234" t="s">
        <v>5631</v>
      </c>
      <c r="R111" s="125" t="s">
        <v>5632</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5631</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5631</v>
      </c>
      <c r="Z111" s="235" t="s">
        <v>5632</v>
      </c>
      <c r="AA111" s="236" t="s">
        <v>5641</v>
      </c>
      <c r="AB111" s="65" t="s">
        <v>5642</v>
      </c>
      <c r="AC111" s="234" t="s">
        <v>5631</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5631</v>
      </c>
      <c r="AH111" s="238" t="s">
        <v>5632</v>
      </c>
      <c r="AI111" s="119" t="s">
        <v>5643</v>
      </c>
      <c r="AJ111" s="120" t="s">
        <v>5644</v>
      </c>
      <c r="AK111" s="234" t="s">
        <v>5631</v>
      </c>
      <c r="AL111" s="125" t="s">
        <v>5632</v>
      </c>
      <c r="AM111" s="113" t="s">
        <v>5645</v>
      </c>
      <c r="AN111" s="75" t="s">
        <v>5646</v>
      </c>
      <c r="AO111" s="234" t="s">
        <v>5631</v>
      </c>
      <c r="AP111" s="108" t="s">
        <v>5632</v>
      </c>
      <c r="AQ111" s="113" t="s">
        <v>5647</v>
      </c>
      <c r="AR111" s="75" t="s">
        <v>5648</v>
      </c>
      <c r="AS111" s="75"/>
      <c r="AT111" s="75"/>
    </row>
    <row r="112">
      <c r="A112" s="234" t="s">
        <v>5649</v>
      </c>
      <c r="B112" s="112" t="s">
        <v>5650</v>
      </c>
      <c r="C112" s="111" t="s">
        <v>5651</v>
      </c>
      <c r="D112" s="72" t="s">
        <v>5652</v>
      </c>
      <c r="E112" s="234" t="s">
        <v>5649</v>
      </c>
      <c r="F112" s="112" t="s">
        <v>5650</v>
      </c>
      <c r="G112" s="111" t="s">
        <v>5653</v>
      </c>
      <c r="H112" s="72" t="s">
        <v>5654</v>
      </c>
      <c r="I112" s="234" t="s">
        <v>5649</v>
      </c>
      <c r="J112" s="112" t="s">
        <v>5650</v>
      </c>
      <c r="K112" s="111" t="s">
        <v>5655</v>
      </c>
      <c r="L112" s="72" t="s">
        <v>5656</v>
      </c>
      <c r="M112" s="234" t="s">
        <v>5649</v>
      </c>
      <c r="N112" s="112" t="s">
        <v>5650</v>
      </c>
      <c r="O112" s="113" t="s">
        <v>5657</v>
      </c>
      <c r="P112" s="75" t="s">
        <v>5658</v>
      </c>
      <c r="Q112" s="234" t="s">
        <v>5649</v>
      </c>
      <c r="R112" s="125" t="s">
        <v>5650</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5649</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5649</v>
      </c>
      <c r="Z112" s="235" t="s">
        <v>5659</v>
      </c>
      <c r="AA112" s="236" t="s">
        <v>5660</v>
      </c>
      <c r="AB112" s="65" t="s">
        <v>5661</v>
      </c>
      <c r="AC112" s="234" t="s">
        <v>5649</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5649</v>
      </c>
      <c r="AH112" s="238" t="s">
        <v>5650</v>
      </c>
      <c r="AI112" s="119" t="s">
        <v>5662</v>
      </c>
      <c r="AJ112" s="120" t="s">
        <v>5663</v>
      </c>
      <c r="AK112" s="234" t="s">
        <v>5649</v>
      </c>
      <c r="AL112" s="125" t="s">
        <v>5650</v>
      </c>
      <c r="AM112" s="113" t="s">
        <v>5664</v>
      </c>
      <c r="AN112" s="75" t="s">
        <v>5665</v>
      </c>
      <c r="AO112" s="234" t="s">
        <v>5649</v>
      </c>
      <c r="AP112" s="108" t="s">
        <v>5650</v>
      </c>
      <c r="AQ112" s="113" t="s">
        <v>5666</v>
      </c>
      <c r="AR112" s="75" t="s">
        <v>5667</v>
      </c>
      <c r="AS112" s="75"/>
      <c r="AT112" s="75"/>
    </row>
    <row r="113">
      <c r="A113" s="234" t="s">
        <v>5668</v>
      </c>
      <c r="B113" s="112" t="s">
        <v>5669</v>
      </c>
      <c r="C113" s="111" t="s">
        <v>5670</v>
      </c>
      <c r="D113" s="72" t="s">
        <v>5671</v>
      </c>
      <c r="E113" s="234" t="s">
        <v>5668</v>
      </c>
      <c r="F113" s="112" t="s">
        <v>5669</v>
      </c>
      <c r="G113" s="111" t="s">
        <v>5672</v>
      </c>
      <c r="H113" s="72" t="s">
        <v>5673</v>
      </c>
      <c r="I113" s="234" t="s">
        <v>5668</v>
      </c>
      <c r="J113" s="112" t="s">
        <v>5669</v>
      </c>
      <c r="K113" s="111" t="s">
        <v>5674</v>
      </c>
      <c r="L113" s="72" t="s">
        <v>5675</v>
      </c>
      <c r="M113" s="234" t="s">
        <v>5668</v>
      </c>
      <c r="N113" s="112" t="s">
        <v>5669</v>
      </c>
      <c r="O113" s="113" t="s">
        <v>5676</v>
      </c>
      <c r="P113" s="75" t="s">
        <v>5677</v>
      </c>
      <c r="Q113" s="234" t="s">
        <v>5668</v>
      </c>
      <c r="R113" s="125" t="s">
        <v>5678</v>
      </c>
      <c r="S113" s="113" t="str">
        <f>IFERROR(__xludf.DUMMYFUNCTION("GOOGLETRANSLATE(C113,""zh-tw"",""es-MX"")"),"Cuando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5668</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5668</v>
      </c>
      <c r="Z113" s="235" t="s">
        <v>5678</v>
      </c>
      <c r="AA113" s="236" t="s">
        <v>5679</v>
      </c>
      <c r="AB113" s="65" t="s">
        <v>5680</v>
      </c>
      <c r="AC113" s="234" t="s">
        <v>5668</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5668</v>
      </c>
      <c r="AH113" s="238" t="s">
        <v>5669</v>
      </c>
      <c r="AI113" s="119" t="s">
        <v>5681</v>
      </c>
      <c r="AJ113" s="134" t="s">
        <v>5682</v>
      </c>
      <c r="AK113" s="234" t="s">
        <v>5668</v>
      </c>
      <c r="AL113" s="125" t="s">
        <v>5669</v>
      </c>
      <c r="AM113" s="113" t="s">
        <v>5683</v>
      </c>
      <c r="AN113" s="72" t="s">
        <v>5684</v>
      </c>
      <c r="AO113" s="234" t="s">
        <v>5668</v>
      </c>
      <c r="AP113" s="108" t="s">
        <v>5678</v>
      </c>
      <c r="AQ113" s="113" t="s">
        <v>5685</v>
      </c>
      <c r="AR113" s="75" t="s">
        <v>5686</v>
      </c>
      <c r="AS113" s="75"/>
      <c r="AT113" s="75"/>
    </row>
    <row r="114">
      <c r="A114" s="234" t="s">
        <v>5687</v>
      </c>
      <c r="B114" s="112" t="s">
        <v>5688</v>
      </c>
      <c r="C114" s="111" t="s">
        <v>5689</v>
      </c>
      <c r="D114" s="72" t="s">
        <v>5690</v>
      </c>
      <c r="E114" s="234" t="s">
        <v>5687</v>
      </c>
      <c r="F114" s="112" t="s">
        <v>5691</v>
      </c>
      <c r="G114" s="111" t="s">
        <v>5692</v>
      </c>
      <c r="H114" s="72" t="s">
        <v>5693</v>
      </c>
      <c r="I114" s="234" t="s">
        <v>5687</v>
      </c>
      <c r="J114" s="112" t="s">
        <v>5694</v>
      </c>
      <c r="K114" s="111" t="s">
        <v>5695</v>
      </c>
      <c r="L114" s="72" t="s">
        <v>5696</v>
      </c>
      <c r="M114" s="234" t="s">
        <v>5687</v>
      </c>
      <c r="N114" s="112" t="s">
        <v>5697</v>
      </c>
      <c r="O114" s="113" t="s">
        <v>5698</v>
      </c>
      <c r="P114" s="75" t="s">
        <v>5699</v>
      </c>
      <c r="Q114" s="234" t="s">
        <v>5687</v>
      </c>
      <c r="R114" s="125" t="s">
        <v>5700</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5687</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5687</v>
      </c>
      <c r="Z114" s="114" t="s">
        <v>5701</v>
      </c>
      <c r="AA114" s="150" t="s">
        <v>5702</v>
      </c>
      <c r="AB114" s="132" t="s">
        <v>5703</v>
      </c>
      <c r="AC114" s="234" t="s">
        <v>5687</v>
      </c>
      <c r="AD114" s="112" t="s">
        <v>5704</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5705</v>
      </c>
      <c r="AG114" s="234" t="s">
        <v>5687</v>
      </c>
      <c r="AH114" s="238" t="s">
        <v>5706</v>
      </c>
      <c r="AI114" s="119" t="s">
        <v>5707</v>
      </c>
      <c r="AJ114" s="120" t="s">
        <v>5708</v>
      </c>
      <c r="AK114" s="234" t="s">
        <v>5687</v>
      </c>
      <c r="AL114" s="125" t="s">
        <v>5709</v>
      </c>
      <c r="AM114" s="111" t="s">
        <v>5710</v>
      </c>
      <c r="AN114" s="75" t="s">
        <v>5711</v>
      </c>
      <c r="AO114" s="234" t="s">
        <v>5687</v>
      </c>
      <c r="AP114" s="108" t="s">
        <v>5712</v>
      </c>
      <c r="AQ114" s="113" t="s">
        <v>5713</v>
      </c>
      <c r="AR114" s="75" t="s">
        <v>5714</v>
      </c>
      <c r="AS114" s="75"/>
      <c r="AT114" s="75"/>
    </row>
    <row r="115">
      <c r="A115" s="234" t="s">
        <v>5715</v>
      </c>
      <c r="B115" s="112" t="s">
        <v>5716</v>
      </c>
      <c r="C115" s="111" t="s">
        <v>5717</v>
      </c>
      <c r="D115" s="72" t="s">
        <v>1064</v>
      </c>
      <c r="E115" s="234" t="s">
        <v>5715</v>
      </c>
      <c r="F115" s="112" t="s">
        <v>5718</v>
      </c>
      <c r="G115" s="111" t="s">
        <v>5719</v>
      </c>
      <c r="H115" s="72" t="s">
        <v>1067</v>
      </c>
      <c r="I115" s="234" t="s">
        <v>5715</v>
      </c>
      <c r="J115" s="112" t="s">
        <v>5720</v>
      </c>
      <c r="K115" s="111" t="s">
        <v>5721</v>
      </c>
      <c r="L115" s="72" t="s">
        <v>1390</v>
      </c>
      <c r="M115" s="234" t="s">
        <v>5715</v>
      </c>
      <c r="N115" s="112" t="s">
        <v>5722</v>
      </c>
      <c r="O115" s="113" t="s">
        <v>5723</v>
      </c>
      <c r="P115" s="75" t="s">
        <v>3102</v>
      </c>
      <c r="Q115" s="234" t="s">
        <v>5715</v>
      </c>
      <c r="R115" s="125" t="s">
        <v>5724</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5715</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5715</v>
      </c>
      <c r="Z115" s="114" t="s">
        <v>5725</v>
      </c>
      <c r="AA115" s="150" t="s">
        <v>5726</v>
      </c>
      <c r="AB115" s="132" t="s">
        <v>5419</v>
      </c>
      <c r="AC115" s="234" t="s">
        <v>5715</v>
      </c>
      <c r="AD115" s="112" t="s">
        <v>5727</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1082</v>
      </c>
      <c r="AG115" s="234" t="s">
        <v>5715</v>
      </c>
      <c r="AH115" s="238" t="s">
        <v>5728</v>
      </c>
      <c r="AI115" s="130" t="s">
        <v>5729</v>
      </c>
      <c r="AJ115" s="120" t="s">
        <v>1250</v>
      </c>
      <c r="AK115" s="234" t="s">
        <v>5715</v>
      </c>
      <c r="AL115" s="125" t="s">
        <v>5730</v>
      </c>
      <c r="AM115" s="113" t="s">
        <v>5731</v>
      </c>
      <c r="AN115" s="75" t="s">
        <v>1401</v>
      </c>
      <c r="AO115" s="234" t="s">
        <v>5715</v>
      </c>
      <c r="AP115" s="108" t="s">
        <v>5732</v>
      </c>
      <c r="AQ115" s="113" t="s">
        <v>5733</v>
      </c>
      <c r="AR115" s="75" t="s">
        <v>1656</v>
      </c>
      <c r="AS115" s="75"/>
      <c r="AT115" s="75"/>
    </row>
    <row r="116">
      <c r="A116" s="234" t="s">
        <v>5734</v>
      </c>
      <c r="B116" s="112" t="s">
        <v>5735</v>
      </c>
      <c r="C116" s="111" t="s">
        <v>5736</v>
      </c>
      <c r="D116" s="72" t="s">
        <v>1064</v>
      </c>
      <c r="E116" s="234" t="s">
        <v>5734</v>
      </c>
      <c r="F116" s="112" t="s">
        <v>5737</v>
      </c>
      <c r="G116" s="111" t="s">
        <v>5738</v>
      </c>
      <c r="H116" s="72" t="s">
        <v>1067</v>
      </c>
      <c r="I116" s="234" t="s">
        <v>5734</v>
      </c>
      <c r="J116" s="112" t="s">
        <v>5739</v>
      </c>
      <c r="K116" s="111" t="s">
        <v>5740</v>
      </c>
      <c r="L116" s="72" t="s">
        <v>1390</v>
      </c>
      <c r="M116" s="234" t="s">
        <v>5734</v>
      </c>
      <c r="N116" s="112" t="s">
        <v>5741</v>
      </c>
      <c r="O116" s="113" t="s">
        <v>5742</v>
      </c>
      <c r="P116" s="75" t="s">
        <v>3102</v>
      </c>
      <c r="Q116" s="234" t="s">
        <v>5734</v>
      </c>
      <c r="R116" s="125" t="s">
        <v>5743</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5734</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5734</v>
      </c>
      <c r="Z116" s="114" t="s">
        <v>5744</v>
      </c>
      <c r="AA116" s="150" t="s">
        <v>5745</v>
      </c>
      <c r="AB116" s="132" t="s">
        <v>5419</v>
      </c>
      <c r="AC116" s="234" t="s">
        <v>5734</v>
      </c>
      <c r="AD116" s="112" t="s">
        <v>5746</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1082</v>
      </c>
      <c r="AG116" s="234" t="s">
        <v>5734</v>
      </c>
      <c r="AH116" s="238" t="s">
        <v>5747</v>
      </c>
      <c r="AI116" s="119" t="s">
        <v>5748</v>
      </c>
      <c r="AJ116" s="120" t="s">
        <v>1250</v>
      </c>
      <c r="AK116" s="234" t="s">
        <v>5734</v>
      </c>
      <c r="AL116" s="125" t="s">
        <v>5749</v>
      </c>
      <c r="AM116" s="113" t="s">
        <v>5750</v>
      </c>
      <c r="AN116" s="75" t="s">
        <v>1401</v>
      </c>
      <c r="AO116" s="234" t="s">
        <v>5734</v>
      </c>
      <c r="AP116" s="108" t="s">
        <v>5751</v>
      </c>
      <c r="AQ116" s="113" t="s">
        <v>5752</v>
      </c>
      <c r="AR116" s="75" t="s">
        <v>1656</v>
      </c>
      <c r="AS116" s="75"/>
      <c r="AT116" s="75"/>
    </row>
    <row r="117">
      <c r="A117" s="234" t="s">
        <v>5753</v>
      </c>
      <c r="B117" s="112" t="s">
        <v>5754</v>
      </c>
      <c r="C117" s="111" t="s">
        <v>5755</v>
      </c>
      <c r="D117" s="72" t="s">
        <v>5756</v>
      </c>
      <c r="E117" s="234" t="s">
        <v>5753</v>
      </c>
      <c r="F117" s="112" t="s">
        <v>5757</v>
      </c>
      <c r="G117" s="111" t="s">
        <v>5758</v>
      </c>
      <c r="H117" s="72" t="s">
        <v>5759</v>
      </c>
      <c r="I117" s="234" t="s">
        <v>5753</v>
      </c>
      <c r="J117" s="112" t="s">
        <v>5760</v>
      </c>
      <c r="K117" s="111" t="s">
        <v>5761</v>
      </c>
      <c r="L117" s="72" t="s">
        <v>5762</v>
      </c>
      <c r="M117" s="234" t="s">
        <v>5753</v>
      </c>
      <c r="N117" s="112" t="str">
        <f>IFERROR(__xludf.DUMMYFUNCTION("GOOGLETRANSLATE(B117,""zh-tw"",""zh"")"),"封印之柱")</f>
        <v>封印之柱</v>
      </c>
      <c r="O117" s="113" t="s">
        <v>5763</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5753</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5753</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5753</v>
      </c>
      <c r="Z117" s="114" t="s">
        <v>5764</v>
      </c>
      <c r="AA117" s="150" t="s">
        <v>5765</v>
      </c>
      <c r="AB117" s="132" t="s">
        <v>5766</v>
      </c>
      <c r="AC117" s="234" t="s">
        <v>5753</v>
      </c>
      <c r="AD117" s="112" t="s">
        <v>5767</v>
      </c>
      <c r="AE117" s="111" t="s">
        <v>5768</v>
      </c>
      <c r="AF117" s="72" t="s">
        <v>5769</v>
      </c>
      <c r="AG117" s="234" t="s">
        <v>5753</v>
      </c>
      <c r="AH117" s="238" t="s">
        <v>5770</v>
      </c>
      <c r="AI117" s="119" t="s">
        <v>5771</v>
      </c>
      <c r="AJ117" s="120" t="s">
        <v>5772</v>
      </c>
      <c r="AK117" s="234" t="s">
        <v>5753</v>
      </c>
      <c r="AL117" s="125" t="s">
        <v>5773</v>
      </c>
      <c r="AM117" s="113" t="s">
        <v>5774</v>
      </c>
      <c r="AN117" s="75" t="s">
        <v>5775</v>
      </c>
      <c r="AO117" s="234" t="s">
        <v>5753</v>
      </c>
      <c r="AP117" s="108" t="s">
        <v>5776</v>
      </c>
      <c r="AQ117" s="113" t="s">
        <v>5777</v>
      </c>
      <c r="AR117" s="75" t="s">
        <v>5778</v>
      </c>
      <c r="AS117" s="75"/>
      <c r="AT117" s="75"/>
    </row>
    <row r="118">
      <c r="A118" s="234" t="s">
        <v>5779</v>
      </c>
      <c r="B118" s="112" t="s">
        <v>5780</v>
      </c>
      <c r="C118" s="111" t="s">
        <v>5781</v>
      </c>
      <c r="D118" s="72" t="s">
        <v>5782</v>
      </c>
      <c r="E118" s="282"/>
      <c r="F118" s="112" t="s">
        <v>5783</v>
      </c>
      <c r="G118" s="111" t="s">
        <v>5784</v>
      </c>
      <c r="H118" s="72" t="s">
        <v>5785</v>
      </c>
      <c r="I118" s="234" t="s">
        <v>5779</v>
      </c>
      <c r="J118" s="112" t="s">
        <v>5786</v>
      </c>
      <c r="K118" s="111" t="s">
        <v>5787</v>
      </c>
      <c r="L118" s="72" t="s">
        <v>5788</v>
      </c>
      <c r="M118" s="282"/>
      <c r="N118" s="125"/>
      <c r="O118" s="113"/>
      <c r="P118" s="75"/>
      <c r="Q118" s="282"/>
      <c r="R118" s="125"/>
      <c r="S118" s="113"/>
      <c r="T118" s="75"/>
      <c r="U118" s="282"/>
      <c r="V118" s="125"/>
      <c r="W118" s="113"/>
      <c r="X118" s="75"/>
      <c r="Y118" s="234" t="s">
        <v>5779</v>
      </c>
      <c r="Z118" s="179" t="s">
        <v>5789</v>
      </c>
      <c r="AA118" s="283" t="s">
        <v>5790</v>
      </c>
      <c r="AB118" s="181" t="s">
        <v>5791</v>
      </c>
      <c r="AC118" s="282"/>
      <c r="AD118" s="125"/>
      <c r="AE118" s="241"/>
      <c r="AF118" s="284"/>
      <c r="AG118" s="282"/>
      <c r="AH118" s="285"/>
      <c r="AI118" s="286"/>
      <c r="AJ118" s="188"/>
      <c r="AK118" s="234" t="s">
        <v>5779</v>
      </c>
      <c r="AL118" s="287" t="s">
        <v>5792</v>
      </c>
      <c r="AM118" s="111" t="s">
        <v>5793</v>
      </c>
      <c r="AN118" s="72" t="s">
        <v>5794</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5795</v>
      </c>
      <c r="I1" s="296"/>
      <c r="J1" s="295" t="s">
        <v>5796</v>
      </c>
      <c r="M1" s="296"/>
      <c r="N1" s="295" t="s">
        <v>5797</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5798</v>
      </c>
      <c r="B3" s="298"/>
      <c r="C3" s="298"/>
      <c r="D3" s="298"/>
      <c r="E3" s="299"/>
      <c r="F3" s="30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8"/>
      <c r="H3" s="298"/>
      <c r="I3" s="299"/>
      <c r="J3" s="303" t="s">
        <v>5799</v>
      </c>
      <c r="K3" s="298"/>
      <c r="L3" s="298"/>
      <c r="M3" s="299"/>
      <c r="N3" s="303" t="s">
        <v>5800</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5801</v>
      </c>
      <c r="B5" s="307"/>
      <c r="C5" s="307"/>
      <c r="D5" s="307"/>
      <c r="E5" s="308"/>
      <c r="F5" s="306" t="str">
        <f>IFERROR(__xludf.DUMMYFUNCTION("GOOGLETRANSLATE(A5,""zh-tw"",""ja"")"),"荒野地域")</f>
        <v>荒野地域</v>
      </c>
      <c r="G5" s="307"/>
      <c r="H5" s="307"/>
      <c r="I5" s="308"/>
      <c r="J5" s="306" t="s">
        <v>5802</v>
      </c>
      <c r="K5" s="307"/>
      <c r="L5" s="307"/>
      <c r="M5" s="308"/>
      <c r="N5" s="309" t="s">
        <v>5803</v>
      </c>
      <c r="O5" s="307"/>
      <c r="P5" s="307"/>
      <c r="Q5" s="307"/>
      <c r="R5" s="308"/>
      <c r="S5" s="310"/>
      <c r="T5" s="307"/>
      <c r="U5" s="307"/>
      <c r="V5" s="308"/>
      <c r="W5" s="311"/>
      <c r="X5" s="311"/>
      <c r="Y5" s="311"/>
      <c r="Z5" s="311"/>
      <c r="AA5" s="311"/>
      <c r="AB5" s="311"/>
    </row>
    <row r="6" ht="53.25" customHeight="1">
      <c r="A6" s="312" t="s">
        <v>1240</v>
      </c>
      <c r="B6" s="312" t="s">
        <v>1240</v>
      </c>
      <c r="C6" s="312" t="s">
        <v>1240</v>
      </c>
      <c r="D6" s="312" t="s">
        <v>1240</v>
      </c>
      <c r="E6" s="312" t="s">
        <v>5804</v>
      </c>
      <c r="F6" s="313" t="s">
        <v>1240</v>
      </c>
      <c r="G6" s="313" t="s">
        <v>1240</v>
      </c>
      <c r="H6" s="313" t="s">
        <v>5805</v>
      </c>
      <c r="I6" s="313" t="s">
        <v>1240</v>
      </c>
      <c r="J6" s="314" t="s">
        <v>1240</v>
      </c>
      <c r="K6" s="314" t="s">
        <v>1240</v>
      </c>
      <c r="L6" s="314" t="s">
        <v>1240</v>
      </c>
      <c r="M6" s="314" t="s">
        <v>5806</v>
      </c>
      <c r="N6" s="315" t="s">
        <v>1240</v>
      </c>
      <c r="O6" s="315" t="s">
        <v>1240</v>
      </c>
      <c r="P6" s="315" t="s">
        <v>1240</v>
      </c>
      <c r="Q6" s="315" t="s">
        <v>1240</v>
      </c>
      <c r="R6" s="315" t="s">
        <v>5807</v>
      </c>
      <c r="S6" s="316"/>
      <c r="T6" s="317"/>
      <c r="U6" s="317"/>
      <c r="V6" s="318"/>
      <c r="W6" s="319"/>
      <c r="X6" s="319"/>
      <c r="Y6" s="319"/>
      <c r="Z6" s="319"/>
      <c r="AA6" s="319"/>
      <c r="AB6" s="320"/>
    </row>
    <row r="7" ht="75.0" customHeight="1">
      <c r="A7" s="312" t="s">
        <v>1240</v>
      </c>
      <c r="B7" s="312" t="s">
        <v>1240</v>
      </c>
      <c r="C7" s="312" t="s">
        <v>5808</v>
      </c>
      <c r="D7" s="312" t="s">
        <v>5809</v>
      </c>
      <c r="E7" s="321" t="s">
        <v>5810</v>
      </c>
      <c r="F7" s="313" t="str">
        <f>IFERROR(__xludf.DUMMYFUNCTION("GOOGLETRANSLATE(B7,""zh-tw"",""ja"")"),"-")</f>
        <v>-</v>
      </c>
      <c r="G7" s="313" t="s">
        <v>5811</v>
      </c>
      <c r="H7" s="322" t="s">
        <v>5812</v>
      </c>
      <c r="I7" s="313" t="str">
        <f>IFERROR(__xludf.DUMMYFUNCTION("GOOGLETRANSLATE(#REF!,""zh-tw"",""ja"")"),"#REF!")</f>
        <v>#REF!</v>
      </c>
      <c r="J7" s="314" t="str">
        <f>IFERROR(__xludf.DUMMYFUNCTION("GOOGLETRANSLATE(B7,""zh-tw"",""en"")"),"-")</f>
        <v>-</v>
      </c>
      <c r="K7" s="314" t="s">
        <v>5813</v>
      </c>
      <c r="L7" s="314" t="s">
        <v>5814</v>
      </c>
      <c r="M7" s="323" t="s">
        <v>5815</v>
      </c>
      <c r="N7" s="315" t="s">
        <v>1240</v>
      </c>
      <c r="O7" s="315" t="str">
        <f>IFERROR(__xludf.DUMMYFUNCTION("GOOGLETRANSLATE(B7,""zh-tw"",""zh"")"),"-")</f>
        <v>-</v>
      </c>
      <c r="P7" s="315" t="s">
        <v>5816</v>
      </c>
      <c r="Q7" s="324" t="s">
        <v>1240</v>
      </c>
      <c r="R7" s="324" t="s">
        <v>5817</v>
      </c>
      <c r="S7" s="316"/>
      <c r="T7" s="317"/>
      <c r="U7" s="317"/>
      <c r="V7" s="325"/>
      <c r="W7" s="319"/>
      <c r="X7" s="319"/>
      <c r="Y7" s="319"/>
      <c r="Z7" s="319"/>
      <c r="AA7" s="319"/>
      <c r="AB7" s="320"/>
    </row>
    <row r="8">
      <c r="A8" s="312" t="s">
        <v>1240</v>
      </c>
      <c r="B8" s="312" t="s">
        <v>5818</v>
      </c>
      <c r="C8" s="312" t="s">
        <v>5819</v>
      </c>
      <c r="D8" s="312" t="s">
        <v>5820</v>
      </c>
      <c r="E8" s="312" t="s">
        <v>5821</v>
      </c>
      <c r="F8" s="313" t="s">
        <v>5822</v>
      </c>
      <c r="G8" s="313" t="s">
        <v>5823</v>
      </c>
      <c r="H8" s="313" t="s">
        <v>5824</v>
      </c>
      <c r="I8" s="313" t="str">
        <f>IFERROR(__xludf.DUMMYFUNCTION("GOOGLETRANSLATE(#REF!,""zh-tw"",""ja"")"),"#REF!")</f>
        <v>#REF!</v>
      </c>
      <c r="J8" s="314" t="s">
        <v>5825</v>
      </c>
      <c r="K8" s="314" t="s">
        <v>5826</v>
      </c>
      <c r="L8" s="314" t="s">
        <v>5827</v>
      </c>
      <c r="M8" s="314" t="s">
        <v>5827</v>
      </c>
      <c r="N8" s="315" t="s">
        <v>1240</v>
      </c>
      <c r="O8" s="315" t="s">
        <v>5828</v>
      </c>
      <c r="P8" s="315" t="s">
        <v>5829</v>
      </c>
      <c r="Q8" s="315" t="s">
        <v>5830</v>
      </c>
      <c r="R8" s="315" t="s">
        <v>5831</v>
      </c>
      <c r="S8" s="326"/>
      <c r="T8" s="317"/>
      <c r="U8" s="317"/>
      <c r="V8" s="317"/>
      <c r="W8" s="319"/>
      <c r="X8" s="319"/>
      <c r="Y8" s="319"/>
      <c r="Z8" s="319"/>
      <c r="AA8" s="319"/>
      <c r="AB8" s="320"/>
    </row>
    <row r="9">
      <c r="A9" s="312" t="s">
        <v>1240</v>
      </c>
      <c r="B9" s="312" t="s">
        <v>5832</v>
      </c>
      <c r="C9" s="312" t="s">
        <v>5833</v>
      </c>
      <c r="D9" s="312" t="s">
        <v>1240</v>
      </c>
      <c r="E9" s="327" t="s">
        <v>5834</v>
      </c>
      <c r="F9" s="313" t="s">
        <v>5835</v>
      </c>
      <c r="G9" s="313" t="s">
        <v>5836</v>
      </c>
      <c r="H9" s="313" t="s">
        <v>5837</v>
      </c>
      <c r="I9" s="313" t="s">
        <v>1240</v>
      </c>
      <c r="J9" s="314" t="s">
        <v>5838</v>
      </c>
      <c r="K9" s="314" t="s">
        <v>5839</v>
      </c>
      <c r="L9" s="314" t="s">
        <v>1240</v>
      </c>
      <c r="M9" s="314" t="s">
        <v>5840</v>
      </c>
      <c r="N9" s="315" t="s">
        <v>1240</v>
      </c>
      <c r="O9" s="315" t="s">
        <v>5841</v>
      </c>
      <c r="P9" s="315" t="s">
        <v>5842</v>
      </c>
      <c r="Q9" s="315" t="s">
        <v>1240</v>
      </c>
      <c r="R9" s="315" t="s">
        <v>5843</v>
      </c>
      <c r="S9" s="316"/>
      <c r="T9" s="317"/>
      <c r="U9" s="317"/>
      <c r="V9" s="317"/>
      <c r="W9" s="319"/>
      <c r="X9" s="319"/>
      <c r="Y9" s="319"/>
      <c r="Z9" s="319"/>
      <c r="AA9" s="319"/>
      <c r="AB9" s="320"/>
    </row>
    <row r="10" ht="60.0" customHeight="1">
      <c r="A10" s="312" t="s">
        <v>1240</v>
      </c>
      <c r="B10" s="312" t="s">
        <v>5844</v>
      </c>
      <c r="C10" s="328" t="s">
        <v>5845</v>
      </c>
      <c r="D10" s="312" t="s">
        <v>5846</v>
      </c>
      <c r="E10" s="312" t="s">
        <v>5847</v>
      </c>
      <c r="F10" s="313" t="s">
        <v>5848</v>
      </c>
      <c r="G10" s="329" t="s">
        <v>5849</v>
      </c>
      <c r="H10" s="313" t="s">
        <v>5850</v>
      </c>
      <c r="I10" s="313" t="s">
        <v>1240</v>
      </c>
      <c r="J10" s="314" t="s">
        <v>5851</v>
      </c>
      <c r="K10" s="330" t="s">
        <v>5852</v>
      </c>
      <c r="L10" s="314" t="s">
        <v>5853</v>
      </c>
      <c r="M10" s="314" t="s">
        <v>5854</v>
      </c>
      <c r="N10" s="315" t="s">
        <v>1240</v>
      </c>
      <c r="O10" s="315" t="s">
        <v>5855</v>
      </c>
      <c r="P10" s="331" t="s">
        <v>5856</v>
      </c>
      <c r="Q10" s="315" t="s">
        <v>5857</v>
      </c>
      <c r="R10" s="332" t="s">
        <v>5858</v>
      </c>
      <c r="S10" s="316"/>
      <c r="T10" s="317"/>
      <c r="U10" s="317"/>
      <c r="V10" s="317"/>
      <c r="W10" s="333"/>
      <c r="X10" s="333"/>
      <c r="Y10" s="333"/>
      <c r="Z10" s="333"/>
      <c r="AA10" s="333"/>
      <c r="AB10" s="320"/>
    </row>
    <row r="11" ht="65.25" customHeight="1">
      <c r="A11" s="312" t="s">
        <v>1240</v>
      </c>
      <c r="B11" s="312" t="s">
        <v>5859</v>
      </c>
      <c r="C11" s="334"/>
      <c r="D11" s="321" t="s">
        <v>5860</v>
      </c>
      <c r="E11" s="321" t="s">
        <v>5861</v>
      </c>
      <c r="F11" s="313" t="s">
        <v>5862</v>
      </c>
      <c r="G11" s="334"/>
      <c r="H11" s="313" t="s">
        <v>5863</v>
      </c>
      <c r="I11" s="313" t="s">
        <v>5864</v>
      </c>
      <c r="J11" s="314" t="s">
        <v>5865</v>
      </c>
      <c r="K11" s="334"/>
      <c r="L11" s="314" t="s">
        <v>5866</v>
      </c>
      <c r="M11" s="314" t="s">
        <v>5867</v>
      </c>
      <c r="N11" s="315" t="s">
        <v>1240</v>
      </c>
      <c r="O11" s="315" t="s">
        <v>5868</v>
      </c>
      <c r="P11" s="334"/>
      <c r="Q11" s="315" t="s">
        <v>5869</v>
      </c>
      <c r="R11" s="315" t="s">
        <v>5870</v>
      </c>
      <c r="S11" s="316"/>
      <c r="T11" s="317"/>
      <c r="U11" s="317"/>
      <c r="V11" s="317"/>
      <c r="W11" s="335"/>
      <c r="X11" s="335"/>
      <c r="Y11" s="335"/>
      <c r="Z11" s="335"/>
      <c r="AA11" s="335"/>
      <c r="AB11" s="320"/>
    </row>
    <row r="12">
      <c r="A12" s="312" t="s">
        <v>1240</v>
      </c>
      <c r="B12" s="312" t="s">
        <v>5871</v>
      </c>
      <c r="C12" s="312" t="s">
        <v>5872</v>
      </c>
      <c r="D12" s="312" t="s">
        <v>5873</v>
      </c>
      <c r="E12" s="321" t="s">
        <v>5874</v>
      </c>
      <c r="F12" s="313" t="s">
        <v>5875</v>
      </c>
      <c r="G12" s="313" t="s">
        <v>5876</v>
      </c>
      <c r="H12" s="313" t="str">
        <f>IFERROR(__xludf.DUMMYFUNCTION("GOOGLETRANSLATE(D12,""zh-tw"",""ja"")"),"▲ ハンターズロッジ R69
▼")</f>
        <v>▲ ハンターズロッジ R69
▼</v>
      </c>
      <c r="I12" s="313" t="str">
        <f>IFERROR(__xludf.DUMMYFUNCTION("GOOGLETRANSLATE(E12,""zh-tw"",""ja"")"),"▲ 冒険者の道：モニュメント
R9.R14")</f>
        <v>▲ 冒険者の道：モニュメント
R9.R14</v>
      </c>
      <c r="J12" s="314" t="s">
        <v>5877</v>
      </c>
      <c r="K12" s="314" t="s">
        <v>5878</v>
      </c>
      <c r="L12" s="314" t="s">
        <v>5879</v>
      </c>
      <c r="M12" s="314" t="s">
        <v>5880</v>
      </c>
      <c r="N12" s="315" t="s">
        <v>1240</v>
      </c>
      <c r="O12" s="315" t="s">
        <v>5881</v>
      </c>
      <c r="P12" s="315" t="str">
        <f>IFERROR(__xludf.DUMMYFUNCTION("GOOGLETRANSLATE(C12,""zh-tw"",""zh"")"),"提前回家
R1")</f>
        <v>提前回家
R1</v>
      </c>
      <c r="Q12" s="315" t="s">
        <v>5882</v>
      </c>
      <c r="R12" s="315" t="s">
        <v>5883</v>
      </c>
      <c r="S12" s="316"/>
      <c r="T12" s="317"/>
      <c r="U12" s="317"/>
      <c r="V12" s="317"/>
      <c r="W12" s="319"/>
      <c r="X12" s="319"/>
      <c r="Y12" s="319"/>
      <c r="Z12" s="319"/>
      <c r="AA12" s="319"/>
      <c r="AB12" s="320"/>
    </row>
    <row r="13">
      <c r="A13" s="312" t="s">
        <v>1240</v>
      </c>
      <c r="B13" s="312" t="s">
        <v>5884</v>
      </c>
      <c r="C13" s="312" t="s">
        <v>5885</v>
      </c>
      <c r="D13" s="312" t="s">
        <v>5886</v>
      </c>
      <c r="E13" s="312" t="s">
        <v>1240</v>
      </c>
      <c r="F13" s="313"/>
      <c r="G13" s="313"/>
      <c r="H13" s="313"/>
      <c r="I13" s="313"/>
      <c r="J13" s="314" t="s">
        <v>5887</v>
      </c>
      <c r="K13" s="314" t="s">
        <v>5888</v>
      </c>
      <c r="L13" s="314" t="s">
        <v>5889</v>
      </c>
      <c r="M13" s="314"/>
      <c r="N13" s="315" t="s">
        <v>1240</v>
      </c>
      <c r="O13" s="315" t="s">
        <v>5890</v>
      </c>
      <c r="P13" s="315" t="s">
        <v>3894</v>
      </c>
      <c r="Q13" s="315" t="s">
        <v>5891</v>
      </c>
      <c r="R13" s="315" t="s">
        <v>1240</v>
      </c>
      <c r="S13" s="316"/>
      <c r="T13" s="317"/>
      <c r="U13" s="317"/>
      <c r="V13" s="336"/>
      <c r="W13" s="319"/>
      <c r="X13" s="319"/>
      <c r="Y13" s="319"/>
      <c r="Z13" s="319"/>
      <c r="AA13" s="319"/>
      <c r="AB13" s="320"/>
    </row>
    <row r="14">
      <c r="A14" s="312" t="s">
        <v>1240</v>
      </c>
      <c r="B14" s="312" t="s">
        <v>5892</v>
      </c>
      <c r="C14" s="312" t="s">
        <v>4782</v>
      </c>
      <c r="D14" s="312" t="s">
        <v>1240</v>
      </c>
      <c r="E14" s="312" t="s">
        <v>1240</v>
      </c>
      <c r="F14" s="313"/>
      <c r="G14" s="313"/>
      <c r="H14" s="313"/>
      <c r="I14" s="313"/>
      <c r="J14" s="314" t="s">
        <v>5893</v>
      </c>
      <c r="K14" s="314" t="s">
        <v>4788</v>
      </c>
      <c r="L14" s="314"/>
      <c r="M14" s="314"/>
      <c r="N14" s="315" t="s">
        <v>1240</v>
      </c>
      <c r="O14" s="315" t="s">
        <v>5894</v>
      </c>
      <c r="P14" s="315" t="s">
        <v>5895</v>
      </c>
      <c r="Q14" s="315" t="s">
        <v>1240</v>
      </c>
      <c r="R14" s="315" t="s">
        <v>1240</v>
      </c>
      <c r="S14" s="337"/>
      <c r="T14" s="317"/>
      <c r="U14" s="336"/>
      <c r="V14" s="336"/>
      <c r="W14" s="319"/>
      <c r="X14" s="319"/>
      <c r="Y14" s="319"/>
      <c r="Z14" s="319"/>
      <c r="AA14" s="319"/>
      <c r="AB14" s="320"/>
    </row>
    <row r="15">
      <c r="A15" s="312" t="s">
        <v>5896</v>
      </c>
      <c r="B15" s="312" t="s">
        <v>5897</v>
      </c>
      <c r="C15" s="312" t="s">
        <v>5898</v>
      </c>
      <c r="D15" s="312" t="s">
        <v>1240</v>
      </c>
      <c r="E15" s="312" t="s">
        <v>1240</v>
      </c>
      <c r="F15" s="313"/>
      <c r="G15" s="313"/>
      <c r="H15" s="313"/>
      <c r="I15" s="313"/>
      <c r="J15" s="314" t="s">
        <v>5899</v>
      </c>
      <c r="K15" s="314" t="s">
        <v>5900</v>
      </c>
      <c r="L15" s="314"/>
      <c r="M15" s="314"/>
      <c r="N15" s="315" t="s">
        <v>5901</v>
      </c>
      <c r="O15" s="315" t="s">
        <v>5902</v>
      </c>
      <c r="P15" s="315" t="s">
        <v>5901</v>
      </c>
      <c r="Q15" s="315" t="s">
        <v>1240</v>
      </c>
      <c r="R15" s="315" t="s">
        <v>1240</v>
      </c>
      <c r="S15" s="316"/>
      <c r="T15" s="317"/>
      <c r="U15" s="336"/>
      <c r="V15" s="336"/>
      <c r="W15" s="319"/>
      <c r="X15" s="319"/>
      <c r="Y15" s="319"/>
      <c r="Z15" s="319"/>
      <c r="AA15" s="319"/>
      <c r="AB15" s="320"/>
    </row>
    <row r="16">
      <c r="A16" s="338" t="s">
        <v>5808</v>
      </c>
      <c r="B16" s="307"/>
      <c r="C16" s="307"/>
      <c r="D16" s="307"/>
      <c r="E16" s="308"/>
      <c r="F16" s="338" t="str">
        <f>IFERROR(__xludf.DUMMYFUNCTION("GOOGLETRANSLATE(A16,""zh-tw"",""ja"")"),"遺跡エリア")</f>
        <v>遺跡エリア</v>
      </c>
      <c r="G16" s="307"/>
      <c r="H16" s="307"/>
      <c r="I16" s="308"/>
      <c r="J16" s="338" t="s">
        <v>5903</v>
      </c>
      <c r="K16" s="307"/>
      <c r="L16" s="307"/>
      <c r="M16" s="308"/>
      <c r="N16" s="338" t="s">
        <v>5816</v>
      </c>
      <c r="O16" s="307"/>
      <c r="P16" s="307"/>
      <c r="Q16" s="307"/>
      <c r="R16" s="308"/>
      <c r="S16" s="339"/>
      <c r="T16" s="300"/>
      <c r="U16" s="300"/>
      <c r="V16" s="301"/>
      <c r="W16" s="340"/>
      <c r="X16" s="340"/>
      <c r="Y16" s="340"/>
      <c r="Z16" s="340"/>
      <c r="AA16" s="340"/>
      <c r="AB16" s="340"/>
    </row>
    <row r="17">
      <c r="A17" s="312" t="s">
        <v>1240</v>
      </c>
      <c r="B17" s="312" t="s">
        <v>1240</v>
      </c>
      <c r="C17" s="312" t="s">
        <v>5904</v>
      </c>
      <c r="D17" s="312" t="s">
        <v>1240</v>
      </c>
      <c r="E17" s="312" t="s">
        <v>1240</v>
      </c>
      <c r="F17" s="313"/>
      <c r="G17" s="341" t="s">
        <v>5905</v>
      </c>
      <c r="H17" s="342"/>
      <c r="I17" s="342"/>
      <c r="J17" s="343"/>
      <c r="K17" s="344" t="s">
        <v>5906</v>
      </c>
      <c r="L17" s="343"/>
      <c r="M17" s="343"/>
      <c r="N17" s="345" t="s">
        <v>1240</v>
      </c>
      <c r="O17" s="345" t="s">
        <v>1240</v>
      </c>
      <c r="P17" s="346" t="s">
        <v>5907</v>
      </c>
      <c r="Q17" s="345" t="s">
        <v>1240</v>
      </c>
      <c r="R17" s="345" t="s">
        <v>1240</v>
      </c>
      <c r="S17" s="347"/>
      <c r="T17" s="348"/>
      <c r="U17" s="336"/>
      <c r="V17" s="336"/>
      <c r="W17" s="349"/>
      <c r="X17" s="349"/>
      <c r="Y17" s="349"/>
      <c r="Z17" s="349"/>
      <c r="AA17" s="349"/>
      <c r="AB17" s="349"/>
    </row>
    <row r="18">
      <c r="A18" s="312" t="s">
        <v>1240</v>
      </c>
      <c r="B18" s="312" t="s">
        <v>5908</v>
      </c>
      <c r="C18" s="312" t="s">
        <v>5909</v>
      </c>
      <c r="D18" s="312" t="s">
        <v>1240</v>
      </c>
      <c r="E18" s="312" t="s">
        <v>1240</v>
      </c>
      <c r="F18" s="313" t="s">
        <v>5910</v>
      </c>
      <c r="G18" s="313" t="s">
        <v>5911</v>
      </c>
      <c r="H18" s="342"/>
      <c r="I18" s="342"/>
      <c r="J18" s="343" t="s">
        <v>5912</v>
      </c>
      <c r="K18" s="350" t="s">
        <v>5913</v>
      </c>
      <c r="L18" s="343"/>
      <c r="M18" s="343"/>
      <c r="N18" s="345" t="s">
        <v>1240</v>
      </c>
      <c r="O18" s="345" t="s">
        <v>5914</v>
      </c>
      <c r="P18" s="345" t="s">
        <v>5915</v>
      </c>
      <c r="Q18" s="345" t="s">
        <v>1240</v>
      </c>
      <c r="R18" s="345" t="s">
        <v>1240</v>
      </c>
      <c r="S18" s="326"/>
      <c r="T18" s="317"/>
      <c r="U18" s="336"/>
      <c r="V18" s="336"/>
      <c r="W18" s="349"/>
      <c r="X18" s="349"/>
      <c r="Y18" s="349"/>
      <c r="Z18" s="349"/>
      <c r="AA18" s="349"/>
      <c r="AB18" s="349"/>
    </row>
    <row r="19">
      <c r="A19" s="312" t="s">
        <v>1240</v>
      </c>
      <c r="B19" s="312" t="s">
        <v>1240</v>
      </c>
      <c r="C19" s="312" t="s">
        <v>5916</v>
      </c>
      <c r="D19" s="312" t="s">
        <v>5917</v>
      </c>
      <c r="E19" s="312" t="s">
        <v>1240</v>
      </c>
      <c r="F19" s="313"/>
      <c r="G19" s="313" t="s">
        <v>5918</v>
      </c>
      <c r="H19" s="342"/>
      <c r="I19" s="342"/>
      <c r="J19" s="343"/>
      <c r="K19" s="351" t="s">
        <v>5919</v>
      </c>
      <c r="L19" s="343"/>
      <c r="M19" s="343"/>
      <c r="N19" s="345" t="s">
        <v>1240</v>
      </c>
      <c r="O19" s="345" t="s">
        <v>1240</v>
      </c>
      <c r="P19" s="352" t="s">
        <v>5920</v>
      </c>
      <c r="Q19" s="345" t="s">
        <v>4448</v>
      </c>
      <c r="R19" s="345" t="s">
        <v>1240</v>
      </c>
      <c r="S19" s="347"/>
      <c r="T19" s="325"/>
      <c r="U19" s="336"/>
      <c r="V19" s="336"/>
      <c r="W19" s="349"/>
      <c r="X19" s="349"/>
      <c r="Y19" s="349"/>
      <c r="Z19" s="349"/>
      <c r="AA19" s="349"/>
      <c r="AB19" s="349"/>
    </row>
    <row r="20">
      <c r="A20" s="312" t="s">
        <v>1240</v>
      </c>
      <c r="B20" s="312" t="s">
        <v>1240</v>
      </c>
      <c r="C20" s="312" t="s">
        <v>5921</v>
      </c>
      <c r="D20" s="312" t="s">
        <v>5922</v>
      </c>
      <c r="E20" s="312" t="s">
        <v>1240</v>
      </c>
      <c r="F20" s="313"/>
      <c r="G20" s="313" t="s">
        <v>5923</v>
      </c>
      <c r="H20" s="313" t="s">
        <v>5924</v>
      </c>
      <c r="I20" s="342"/>
      <c r="J20" s="343"/>
      <c r="K20" s="350" t="s">
        <v>5925</v>
      </c>
      <c r="L20" s="314" t="s">
        <v>5926</v>
      </c>
      <c r="M20" s="343"/>
      <c r="N20" s="345" t="s">
        <v>1240</v>
      </c>
      <c r="O20" s="345" t="s">
        <v>1240</v>
      </c>
      <c r="P20" s="345" t="s">
        <v>5927</v>
      </c>
      <c r="Q20" s="345" t="s">
        <v>5928</v>
      </c>
      <c r="R20" s="345" t="s">
        <v>1240</v>
      </c>
      <c r="S20" s="347"/>
      <c r="T20" s="317"/>
      <c r="U20" s="318"/>
      <c r="V20" s="336"/>
      <c r="W20" s="349"/>
      <c r="X20" s="349"/>
      <c r="Y20" s="349"/>
      <c r="Z20" s="349"/>
      <c r="AA20" s="349"/>
      <c r="AB20" s="349"/>
    </row>
    <row r="21">
      <c r="A21" s="353" t="s">
        <v>1240</v>
      </c>
      <c r="B21" s="353" t="s">
        <v>1240</v>
      </c>
      <c r="C21" s="312" t="s">
        <v>5929</v>
      </c>
      <c r="D21" s="312" t="s">
        <v>1240</v>
      </c>
      <c r="E21" s="312" t="s">
        <v>1240</v>
      </c>
      <c r="F21" s="313"/>
      <c r="G21" s="313" t="s">
        <v>5930</v>
      </c>
      <c r="H21" s="342"/>
      <c r="I21" s="342"/>
      <c r="J21" s="343"/>
      <c r="K21" s="350" t="s">
        <v>5931</v>
      </c>
      <c r="L21" s="343"/>
      <c r="M21" s="343"/>
      <c r="N21" s="345" t="s">
        <v>1240</v>
      </c>
      <c r="O21" s="345" t="s">
        <v>1240</v>
      </c>
      <c r="P21" s="345" t="s">
        <v>5932</v>
      </c>
      <c r="Q21" s="345" t="s">
        <v>1240</v>
      </c>
      <c r="R21" s="345" t="s">
        <v>1240</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5933</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5934</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5935</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5936</v>
      </c>
      <c r="AK1" s="360" t="s">
        <v>5937</v>
      </c>
      <c r="AO1" s="360" t="s">
        <v>5938</v>
      </c>
      <c r="AS1" s="360"/>
      <c r="AT1" s="360"/>
    </row>
    <row r="2" ht="69.75" customHeight="1">
      <c r="A2" s="79" t="s">
        <v>5939</v>
      </c>
      <c r="B2" s="84" t="s">
        <v>5940</v>
      </c>
      <c r="C2" s="81" t="s">
        <v>5941</v>
      </c>
      <c r="D2" s="364" t="s">
        <v>5942</v>
      </c>
      <c r="E2" s="86" t="str">
        <f>IFERROR(__xludf.DUMMYFUNCTION("GOOGLETRANSLATE(A2,""zh-tw"",""ja"")"),"プロジェクト")</f>
        <v>プロジェクト</v>
      </c>
      <c r="F2" s="88" t="str">
        <f>IFERROR(__xludf.DUMMYFUNCTION("GOOGLETRANSLATE(B2,""zh-tw"",""ja"")"),"スペシャルドロップ")</f>
        <v>スペシャルドロップ</v>
      </c>
      <c r="G2" s="81" t="s">
        <v>5941</v>
      </c>
      <c r="H2" s="365" t="str">
        <f>IFERROR(__xludf.DUMMYFUNCTION("GOOGLETRANSLATE(D2,""zh-tw"",""ja"")"),"述べる")</f>
        <v>述べる</v>
      </c>
      <c r="I2" s="86" t="s">
        <v>5943</v>
      </c>
      <c r="J2" s="84" t="s">
        <v>5944</v>
      </c>
      <c r="K2" s="88" t="s">
        <v>5945</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5946</v>
      </c>
      <c r="R2" s="84" t="s">
        <v>5947</v>
      </c>
      <c r="S2" s="84" t="s">
        <v>5948</v>
      </c>
      <c r="T2" s="366" t="s">
        <v>5949</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5950</v>
      </c>
      <c r="Z2" s="81" t="s">
        <v>5951</v>
      </c>
      <c r="AA2" s="81" t="s">
        <v>5952</v>
      </c>
      <c r="AB2" s="364" t="s">
        <v>5953</v>
      </c>
      <c r="AC2" s="367" t="s">
        <v>5954</v>
      </c>
      <c r="AD2" s="84" t="s">
        <v>5955</v>
      </c>
      <c r="AE2" s="368" t="str">
        <f>IFERROR(__xludf.DUMMYFUNCTION("GOOGLETRANSLATE(C2,""zh-tw"",""DE"")"),"Wahrscheinlichkeit (%)")</f>
        <v>Wahrscheinlichkeit (%)</v>
      </c>
      <c r="AF2" s="364" t="s">
        <v>5956</v>
      </c>
      <c r="AG2" s="369" t="s">
        <v>5957</v>
      </c>
      <c r="AH2" s="370" t="s">
        <v>5958</v>
      </c>
      <c r="AI2" s="371" t="s">
        <v>5959</v>
      </c>
      <c r="AJ2" s="364" t="s">
        <v>5960</v>
      </c>
      <c r="AK2" s="86" t="s">
        <v>5961</v>
      </c>
      <c r="AL2" s="84" t="s">
        <v>5962</v>
      </c>
      <c r="AM2" s="84" t="s">
        <v>5963</v>
      </c>
      <c r="AN2" s="364" t="s">
        <v>5964</v>
      </c>
      <c r="AO2" s="372" t="s">
        <v>5965</v>
      </c>
      <c r="AP2" s="373" t="s">
        <v>5966</v>
      </c>
      <c r="AQ2" s="373" t="s">
        <v>5967</v>
      </c>
      <c r="AR2" s="374" t="s">
        <v>5968</v>
      </c>
      <c r="AS2" s="374"/>
      <c r="AT2" s="374"/>
    </row>
    <row r="3">
      <c r="A3" s="375" t="s">
        <v>5969</v>
      </c>
      <c r="E3" s="376" t="str">
        <f>IFERROR(__xludf.DUMMYFUNCTION("GOOGLETRANSLATE(A3,""zh-tw"",""ja"")"),"小さなモンスター")</f>
        <v>小さなモンスター</v>
      </c>
      <c r="I3" s="376" t="s">
        <v>5970</v>
      </c>
      <c r="M3" s="376" t="str">
        <f>IFERROR(__xludf.DUMMYFUNCTION("GOOGLETRANSLATE(A3,""zh-tw"",""zh"")"),"一般小型怪物")</f>
        <v>一般小型怪物</v>
      </c>
      <c r="Q3" s="377" t="s">
        <v>5971</v>
      </c>
      <c r="U3" s="376" t="str">
        <f>IFERROR(__xludf.DUMMYFUNCTION("GOOGLETRANSLATE(A3,""zh-tw"",""KO"")"),"작은 괴물들")</f>
        <v>작은 괴물들</v>
      </c>
      <c r="Y3" s="375" t="s">
        <v>5972</v>
      </c>
      <c r="AC3" s="376" t="str">
        <f>IFERROR(__xludf.DUMMYFUNCTION("GOOGLETRANSLATE(A2,""zh-tw"",""DE"")"),"Projekt")</f>
        <v>Projekt</v>
      </c>
      <c r="AG3" s="378" t="s">
        <v>5973</v>
      </c>
      <c r="AK3" s="376" t="s">
        <v>5974</v>
      </c>
      <c r="AO3" s="376" t="s">
        <v>5975</v>
      </c>
      <c r="AS3" s="376"/>
      <c r="AT3" s="376"/>
    </row>
    <row r="4">
      <c r="A4" s="153" t="s">
        <v>5976</v>
      </c>
      <c r="B4" s="155" t="s">
        <v>5977</v>
      </c>
      <c r="C4" s="155" t="s">
        <v>5978</v>
      </c>
      <c r="D4" s="379" t="s">
        <v>1240</v>
      </c>
      <c r="E4" s="165" t="s">
        <v>5979</v>
      </c>
      <c r="F4" s="198" t="s">
        <v>5980</v>
      </c>
      <c r="G4" s="155" t="s">
        <v>5978</v>
      </c>
      <c r="H4" s="379" t="s">
        <v>1240</v>
      </c>
      <c r="I4" s="197" t="s">
        <v>5981</v>
      </c>
      <c r="J4" s="198" t="s">
        <v>5982</v>
      </c>
      <c r="K4" s="198" t="s">
        <v>5978</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5978</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5978</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5978</v>
      </c>
      <c r="X4" s="380" t="str">
        <f>IFERROR(__xludf.DUMMYFUNCTION("GOOGLETRANSLATE(D4,""zh-tw"",""KO"")"),"-")</f>
        <v>-</v>
      </c>
      <c r="Y4" s="153" t="s">
        <v>5983</v>
      </c>
      <c r="Z4" s="155" t="s">
        <v>5984</v>
      </c>
      <c r="AA4" s="155" t="s">
        <v>5978</v>
      </c>
      <c r="AB4" s="379" t="s">
        <v>1240</v>
      </c>
      <c r="AC4" s="197" t="s">
        <v>5985</v>
      </c>
      <c r="AD4" s="198" t="s">
        <v>5986</v>
      </c>
      <c r="AE4" s="198" t="s">
        <v>5978</v>
      </c>
      <c r="AF4" s="379" t="s">
        <v>1240</v>
      </c>
      <c r="AG4" s="187" t="s">
        <v>5987</v>
      </c>
      <c r="AH4" s="381" t="s">
        <v>5988</v>
      </c>
      <c r="AI4" s="381" t="s">
        <v>5978</v>
      </c>
      <c r="AJ4" s="379" t="s">
        <v>1240</v>
      </c>
      <c r="AK4" s="197" t="s">
        <v>5989</v>
      </c>
      <c r="AL4" s="198" t="s">
        <v>5990</v>
      </c>
      <c r="AM4" s="198" t="s">
        <v>5978</v>
      </c>
      <c r="AN4" s="379" t="s">
        <v>1240</v>
      </c>
      <c r="AO4" s="382" t="s">
        <v>5991</v>
      </c>
      <c r="AP4" s="202" t="s">
        <v>5992</v>
      </c>
      <c r="AQ4" s="202" t="s">
        <v>5978</v>
      </c>
      <c r="AR4" s="383" t="s">
        <v>1240</v>
      </c>
      <c r="AS4" s="383"/>
      <c r="AT4" s="383"/>
    </row>
    <row r="5">
      <c r="A5" s="153" t="s">
        <v>5993</v>
      </c>
      <c r="B5" s="155" t="s">
        <v>5994</v>
      </c>
      <c r="C5" s="155" t="s">
        <v>5995</v>
      </c>
      <c r="D5" s="379" t="s">
        <v>1240</v>
      </c>
      <c r="E5" s="165" t="s">
        <v>5996</v>
      </c>
      <c r="F5" s="167" t="s">
        <v>5997</v>
      </c>
      <c r="G5" s="155" t="s">
        <v>5995</v>
      </c>
      <c r="H5" s="380" t="s">
        <v>1240</v>
      </c>
      <c r="I5" s="197" t="s">
        <v>5998</v>
      </c>
      <c r="J5" s="198" t="s">
        <v>5999</v>
      </c>
      <c r="K5" s="198" t="s">
        <v>5995</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5995</v>
      </c>
      <c r="P5" s="379"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5995</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5995</v>
      </c>
      <c r="X5" s="380" t="str">
        <f>IFERROR(__xludf.DUMMYFUNCTION("GOOGLETRANSLATE(D5,""zh-tw"",""KO"")"),"-")</f>
        <v>-</v>
      </c>
      <c r="Y5" s="153" t="s">
        <v>6000</v>
      </c>
      <c r="Z5" s="155" t="s">
        <v>6001</v>
      </c>
      <c r="AA5" s="155" t="s">
        <v>5995</v>
      </c>
      <c r="AB5" s="379" t="s">
        <v>1240</v>
      </c>
      <c r="AC5" s="197" t="s">
        <v>6002</v>
      </c>
      <c r="AD5" s="198" t="s">
        <v>6003</v>
      </c>
      <c r="AE5" s="198" t="s">
        <v>5995</v>
      </c>
      <c r="AF5" s="379" t="s">
        <v>1240</v>
      </c>
      <c r="AG5" s="187" t="s">
        <v>6004</v>
      </c>
      <c r="AH5" s="381" t="s">
        <v>6005</v>
      </c>
      <c r="AI5" s="381" t="s">
        <v>5995</v>
      </c>
      <c r="AJ5" s="379" t="s">
        <v>1240</v>
      </c>
      <c r="AK5" s="197" t="s">
        <v>6006</v>
      </c>
      <c r="AL5" s="198" t="s">
        <v>6007</v>
      </c>
      <c r="AM5" s="198" t="s">
        <v>5995</v>
      </c>
      <c r="AN5" s="379" t="s">
        <v>1240</v>
      </c>
      <c r="AO5" s="382" t="s">
        <v>6008</v>
      </c>
      <c r="AP5" s="202" t="s">
        <v>6009</v>
      </c>
      <c r="AQ5" s="202" t="s">
        <v>6010</v>
      </c>
      <c r="AR5" s="383" t="s">
        <v>1240</v>
      </c>
      <c r="AS5" s="383"/>
      <c r="AT5" s="383"/>
    </row>
    <row r="6">
      <c r="A6" s="153" t="s">
        <v>6011</v>
      </c>
      <c r="B6" s="155" t="s">
        <v>6012</v>
      </c>
      <c r="C6" s="155" t="s">
        <v>6013</v>
      </c>
      <c r="D6" s="379" t="s">
        <v>1240</v>
      </c>
      <c r="E6" s="165" t="s">
        <v>6014</v>
      </c>
      <c r="F6" s="198" t="s">
        <v>6015</v>
      </c>
      <c r="G6" s="155" t="s">
        <v>6013</v>
      </c>
      <c r="H6" s="380" t="s">
        <v>1240</v>
      </c>
      <c r="I6" s="197" t="s">
        <v>6016</v>
      </c>
      <c r="J6" s="198" t="s">
        <v>6017</v>
      </c>
      <c r="K6" s="198" t="s">
        <v>6013</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6013</v>
      </c>
      <c r="P6" s="380"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6013</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6013</v>
      </c>
      <c r="X6" s="380" t="str">
        <f>IFERROR(__xludf.DUMMYFUNCTION("GOOGLETRANSLATE(D6,""zh-tw"",""KO"")"),"-")</f>
        <v>-</v>
      </c>
      <c r="Y6" s="153" t="s">
        <v>6018</v>
      </c>
      <c r="Z6" s="155" t="s">
        <v>6019</v>
      </c>
      <c r="AA6" s="155" t="s">
        <v>6013</v>
      </c>
      <c r="AB6" s="379" t="s">
        <v>1240</v>
      </c>
      <c r="AC6" s="197" t="s">
        <v>6020</v>
      </c>
      <c r="AD6" s="198" t="s">
        <v>6021</v>
      </c>
      <c r="AE6" s="198" t="s">
        <v>6013</v>
      </c>
      <c r="AF6" s="379" t="s">
        <v>1240</v>
      </c>
      <c r="AG6" s="187" t="s">
        <v>6022</v>
      </c>
      <c r="AH6" s="381" t="s">
        <v>6023</v>
      </c>
      <c r="AI6" s="381" t="s">
        <v>6013</v>
      </c>
      <c r="AJ6" s="379" t="s">
        <v>1240</v>
      </c>
      <c r="AK6" s="197" t="s">
        <v>6024</v>
      </c>
      <c r="AL6" s="198" t="s">
        <v>6025</v>
      </c>
      <c r="AM6" s="198" t="s">
        <v>6013</v>
      </c>
      <c r="AN6" s="379" t="s">
        <v>1240</v>
      </c>
      <c r="AO6" s="382" t="s">
        <v>6026</v>
      </c>
      <c r="AP6" s="202" t="s">
        <v>6027</v>
      </c>
      <c r="AQ6" s="202" t="s">
        <v>6013</v>
      </c>
      <c r="AR6" s="383" t="s">
        <v>1240</v>
      </c>
      <c r="AS6" s="383"/>
      <c r="AT6" s="383"/>
    </row>
    <row r="7">
      <c r="A7" s="153" t="s">
        <v>6028</v>
      </c>
      <c r="B7" s="155" t="s">
        <v>6029</v>
      </c>
      <c r="C7" s="155" t="s">
        <v>6030</v>
      </c>
      <c r="D7" s="380" t="s">
        <v>1240</v>
      </c>
      <c r="E7" s="165" t="s">
        <v>6031</v>
      </c>
      <c r="F7" s="198" t="s">
        <v>6032</v>
      </c>
      <c r="G7" s="155" t="s">
        <v>6030</v>
      </c>
      <c r="H7" s="380" t="s">
        <v>1240</v>
      </c>
      <c r="I7" s="197" t="s">
        <v>6033</v>
      </c>
      <c r="J7" s="198" t="s">
        <v>6034</v>
      </c>
      <c r="K7" s="198" t="s">
        <v>6035</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6030</v>
      </c>
      <c r="P7" s="380"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6030</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6030</v>
      </c>
      <c r="X7" s="380" t="str">
        <f>IFERROR(__xludf.DUMMYFUNCTION("GOOGLETRANSLATE(D7,""zh-tw"",""KO"")"),"-")</f>
        <v>-</v>
      </c>
      <c r="Y7" s="153" t="s">
        <v>6036</v>
      </c>
      <c r="Z7" s="155" t="s">
        <v>6037</v>
      </c>
      <c r="AA7" s="155" t="s">
        <v>6030</v>
      </c>
      <c r="AB7" s="379" t="s">
        <v>1240</v>
      </c>
      <c r="AC7" s="197" t="s">
        <v>6038</v>
      </c>
      <c r="AD7" s="198" t="s">
        <v>6039</v>
      </c>
      <c r="AE7" s="198" t="s">
        <v>6030</v>
      </c>
      <c r="AF7" s="379" t="s">
        <v>6040</v>
      </c>
      <c r="AG7" s="187" t="s">
        <v>6041</v>
      </c>
      <c r="AH7" s="381" t="s">
        <v>6042</v>
      </c>
      <c r="AI7" s="381" t="s">
        <v>6030</v>
      </c>
      <c r="AJ7" s="379" t="s">
        <v>1240</v>
      </c>
      <c r="AK7" s="197" t="s">
        <v>6043</v>
      </c>
      <c r="AL7" s="198" t="s">
        <v>6044</v>
      </c>
      <c r="AM7" s="198" t="s">
        <v>6030</v>
      </c>
      <c r="AN7" s="379" t="s">
        <v>1240</v>
      </c>
      <c r="AO7" s="382" t="s">
        <v>6045</v>
      </c>
      <c r="AP7" s="202" t="s">
        <v>6046</v>
      </c>
      <c r="AQ7" s="202" t="s">
        <v>6030</v>
      </c>
      <c r="AR7" s="383" t="s">
        <v>1240</v>
      </c>
      <c r="AS7" s="383"/>
      <c r="AT7" s="383"/>
    </row>
    <row r="8">
      <c r="A8" s="153" t="s">
        <v>6047</v>
      </c>
      <c r="B8" s="155" t="s">
        <v>6048</v>
      </c>
      <c r="C8" s="155" t="s">
        <v>6049</v>
      </c>
      <c r="D8" s="379" t="s">
        <v>1240</v>
      </c>
      <c r="E8" s="153" t="s">
        <v>6050</v>
      </c>
      <c r="F8" s="198" t="s">
        <v>6051</v>
      </c>
      <c r="G8" s="155" t="s">
        <v>6049</v>
      </c>
      <c r="H8" s="380" t="s">
        <v>1240</v>
      </c>
      <c r="I8" s="153" t="s">
        <v>6052</v>
      </c>
      <c r="J8" s="198" t="s">
        <v>6053</v>
      </c>
      <c r="K8" s="198" t="s">
        <v>6049</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6049</v>
      </c>
      <c r="P8" s="379"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6049</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6049</v>
      </c>
      <c r="X8" s="380" t="str">
        <f>IFERROR(__xludf.DUMMYFUNCTION("GOOGLETRANSLATE(D8,""zh-tw"",""KO"")"),"-")</f>
        <v>-</v>
      </c>
      <c r="Y8" s="153" t="s">
        <v>6054</v>
      </c>
      <c r="Z8" s="155" t="s">
        <v>6055</v>
      </c>
      <c r="AA8" s="155" t="s">
        <v>6049</v>
      </c>
      <c r="AB8" s="379" t="s">
        <v>1240</v>
      </c>
      <c r="AC8" s="197" t="s">
        <v>6056</v>
      </c>
      <c r="AD8" s="198" t="s">
        <v>6057</v>
      </c>
      <c r="AE8" s="198" t="s">
        <v>6049</v>
      </c>
      <c r="AF8" s="379" t="s">
        <v>6058</v>
      </c>
      <c r="AG8" s="187" t="s">
        <v>6059</v>
      </c>
      <c r="AH8" s="381" t="s">
        <v>6060</v>
      </c>
      <c r="AI8" s="381" t="s">
        <v>6049</v>
      </c>
      <c r="AJ8" s="379" t="s">
        <v>1240</v>
      </c>
      <c r="AK8" s="197" t="s">
        <v>6061</v>
      </c>
      <c r="AL8" s="167" t="s">
        <v>6062</v>
      </c>
      <c r="AM8" s="198" t="s">
        <v>6049</v>
      </c>
      <c r="AN8" s="379" t="s">
        <v>1240</v>
      </c>
      <c r="AO8" s="382" t="s">
        <v>6063</v>
      </c>
      <c r="AP8" s="202" t="s">
        <v>6064</v>
      </c>
      <c r="AQ8" s="202" t="s">
        <v>6049</v>
      </c>
      <c r="AR8" s="383" t="s">
        <v>1240</v>
      </c>
      <c r="AS8" s="383"/>
      <c r="AT8" s="383"/>
    </row>
    <row r="9" ht="41.25" customHeight="1">
      <c r="A9" s="153" t="s">
        <v>6065</v>
      </c>
      <c r="B9" s="155" t="s">
        <v>6066</v>
      </c>
      <c r="C9" s="155" t="s">
        <v>6067</v>
      </c>
      <c r="D9" s="380" t="s">
        <v>1240</v>
      </c>
      <c r="E9" s="165" t="s">
        <v>6068</v>
      </c>
      <c r="F9" s="198" t="s">
        <v>6069</v>
      </c>
      <c r="G9" s="155" t="s">
        <v>6067</v>
      </c>
      <c r="H9" s="380" t="s">
        <v>1240</v>
      </c>
      <c r="I9" s="153" t="s">
        <v>6070</v>
      </c>
      <c r="J9" s="198" t="s">
        <v>6071</v>
      </c>
      <c r="K9" s="198" t="s">
        <v>6067</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6067</v>
      </c>
      <c r="P9" s="380"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6067</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6067</v>
      </c>
      <c r="X9" s="380" t="str">
        <f>IFERROR(__xludf.DUMMYFUNCTION("GOOGLETRANSLATE(D9,""zh-tw"",""KO"")"),"-")</f>
        <v>-</v>
      </c>
      <c r="Y9" s="153" t="s">
        <v>6072</v>
      </c>
      <c r="Z9" s="155" t="s">
        <v>6073</v>
      </c>
      <c r="AA9" s="155" t="s">
        <v>6067</v>
      </c>
      <c r="AB9" s="379" t="s">
        <v>1240</v>
      </c>
      <c r="AC9" s="197" t="s">
        <v>6074</v>
      </c>
      <c r="AD9" s="198" t="s">
        <v>6075</v>
      </c>
      <c r="AE9" s="198" t="s">
        <v>6067</v>
      </c>
      <c r="AF9" s="379" t="s">
        <v>6076</v>
      </c>
      <c r="AG9" s="187" t="s">
        <v>6077</v>
      </c>
      <c r="AH9" s="381" t="s">
        <v>6078</v>
      </c>
      <c r="AI9" s="381" t="s">
        <v>6067</v>
      </c>
      <c r="AJ9" s="379" t="s">
        <v>1240</v>
      </c>
      <c r="AK9" s="197" t="s">
        <v>6079</v>
      </c>
      <c r="AL9" s="167" t="s">
        <v>6080</v>
      </c>
      <c r="AM9" s="198" t="s">
        <v>6067</v>
      </c>
      <c r="AN9" s="379" t="s">
        <v>1240</v>
      </c>
      <c r="AO9" s="382" t="s">
        <v>6081</v>
      </c>
      <c r="AP9" s="202" t="s">
        <v>6082</v>
      </c>
      <c r="AQ9" s="202" t="s">
        <v>6067</v>
      </c>
      <c r="AR9" s="383" t="s">
        <v>1240</v>
      </c>
      <c r="AS9" s="383"/>
      <c r="AT9" s="383"/>
    </row>
    <row r="10">
      <c r="A10" s="153" t="s">
        <v>6083</v>
      </c>
      <c r="B10" s="155" t="s">
        <v>6084</v>
      </c>
      <c r="C10" s="155" t="s">
        <v>6085</v>
      </c>
      <c r="D10" s="379" t="s">
        <v>1240</v>
      </c>
      <c r="E10" s="384" t="s">
        <v>6086</v>
      </c>
      <c r="F10" s="198" t="s">
        <v>6087</v>
      </c>
      <c r="G10" s="155" t="s">
        <v>6085</v>
      </c>
      <c r="H10" s="380" t="s">
        <v>1240</v>
      </c>
      <c r="I10" s="197" t="s">
        <v>6088</v>
      </c>
      <c r="J10" s="198" t="s">
        <v>6089</v>
      </c>
      <c r="K10" s="198" t="s">
        <v>6085</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6085</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6085</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6085</v>
      </c>
      <c r="X10" s="380" t="str">
        <f>IFERROR(__xludf.DUMMYFUNCTION("GOOGLETRANSLATE(D10,""zh-tw"",""KO"")"),"-")</f>
        <v>-</v>
      </c>
      <c r="Y10" s="153" t="s">
        <v>6090</v>
      </c>
      <c r="Z10" s="155" t="s">
        <v>6091</v>
      </c>
      <c r="AA10" s="155" t="s">
        <v>6085</v>
      </c>
      <c r="AB10" s="379" t="s">
        <v>1240</v>
      </c>
      <c r="AC10" s="197" t="s">
        <v>6092</v>
      </c>
      <c r="AD10" s="198" t="s">
        <v>6093</v>
      </c>
      <c r="AE10" s="198" t="s">
        <v>6085</v>
      </c>
      <c r="AF10" s="379" t="s">
        <v>1240</v>
      </c>
      <c r="AG10" s="187" t="s">
        <v>6094</v>
      </c>
      <c r="AH10" s="381" t="s">
        <v>6095</v>
      </c>
      <c r="AI10" s="381" t="s">
        <v>6085</v>
      </c>
      <c r="AJ10" s="379" t="s">
        <v>1240</v>
      </c>
      <c r="AK10" s="197" t="s">
        <v>6096</v>
      </c>
      <c r="AL10" s="198" t="s">
        <v>6097</v>
      </c>
      <c r="AM10" s="198" t="s">
        <v>6085</v>
      </c>
      <c r="AN10" s="379" t="s">
        <v>1240</v>
      </c>
      <c r="AO10" s="382" t="s">
        <v>6098</v>
      </c>
      <c r="AP10" s="202" t="s">
        <v>6099</v>
      </c>
      <c r="AQ10" s="202" t="s">
        <v>6085</v>
      </c>
      <c r="AR10" s="383" t="s">
        <v>1240</v>
      </c>
      <c r="AS10" s="383"/>
      <c r="AT10" s="383"/>
    </row>
    <row r="11">
      <c r="A11" s="153" t="s">
        <v>6100</v>
      </c>
      <c r="B11" s="155" t="s">
        <v>6101</v>
      </c>
      <c r="C11" s="167" t="s">
        <v>6102</v>
      </c>
      <c r="D11" s="380" t="s">
        <v>6103</v>
      </c>
      <c r="E11" s="153" t="s">
        <v>6104</v>
      </c>
      <c r="F11" s="198" t="s">
        <v>6105</v>
      </c>
      <c r="G11" s="167" t="s">
        <v>6102</v>
      </c>
      <c r="H11" s="385" t="s">
        <v>6106</v>
      </c>
      <c r="I11" s="197" t="s">
        <v>6107</v>
      </c>
      <c r="J11" s="198" t="s">
        <v>6108</v>
      </c>
      <c r="K11" s="167" t="s">
        <v>6102</v>
      </c>
      <c r="L11" s="379" t="s">
        <v>6109</v>
      </c>
      <c r="M11" s="197" t="str">
        <f>IFERROR(__xludf.DUMMYFUNCTION("GOOGLETRANSLATE(A11,""zh-tw"",""zh"")"),"鹿角兔")</f>
        <v>鹿角兔</v>
      </c>
      <c r="N11" s="198" t="str">
        <f>IFERROR(__xludf.DUMMYFUNCTION("GOOGLETRANSLATE(B11,""zh-tw"",""zh"")"),"小块兽肉
红色的角")</f>
        <v>小块兽肉
红色的角</v>
      </c>
      <c r="O11" s="167" t="s">
        <v>6102</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6102</v>
      </c>
      <c r="T11" s="37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6102</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6110</v>
      </c>
      <c r="Z11" s="155" t="s">
        <v>6111</v>
      </c>
      <c r="AA11" s="155" t="s">
        <v>6102</v>
      </c>
      <c r="AB11" s="379" t="s">
        <v>6112</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6102</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6113</v>
      </c>
      <c r="AH11" s="381" t="s">
        <v>6114</v>
      </c>
      <c r="AI11" s="49" t="s">
        <v>6102</v>
      </c>
      <c r="AJ11" s="379" t="s">
        <v>1240</v>
      </c>
      <c r="AK11" s="197" t="s">
        <v>6113</v>
      </c>
      <c r="AL11" s="198" t="s">
        <v>6115</v>
      </c>
      <c r="AM11" s="167" t="s">
        <v>6102</v>
      </c>
      <c r="AN11" s="379" t="s">
        <v>6116</v>
      </c>
      <c r="AO11" s="382" t="s">
        <v>6117</v>
      </c>
      <c r="AP11" s="202" t="s">
        <v>6118</v>
      </c>
      <c r="AQ11" s="202" t="s">
        <v>6102</v>
      </c>
      <c r="AR11" s="383" t="s">
        <v>6119</v>
      </c>
      <c r="AS11" s="383"/>
      <c r="AT11" s="383"/>
    </row>
    <row r="12">
      <c r="A12" s="153" t="s">
        <v>6120</v>
      </c>
      <c r="B12" s="155" t="s">
        <v>6121</v>
      </c>
      <c r="C12" s="167" t="s">
        <v>6122</v>
      </c>
      <c r="D12" s="380" t="s">
        <v>1240</v>
      </c>
      <c r="E12" s="153" t="s">
        <v>6123</v>
      </c>
      <c r="F12" s="198" t="s">
        <v>6124</v>
      </c>
      <c r="G12" s="167" t="s">
        <v>6125</v>
      </c>
      <c r="H12" s="380" t="s">
        <v>1240</v>
      </c>
      <c r="I12" s="197" t="s">
        <v>6126</v>
      </c>
      <c r="J12" s="198" t="s">
        <v>6127</v>
      </c>
      <c r="K12" s="167" t="s">
        <v>6122</v>
      </c>
      <c r="L12" s="379"/>
      <c r="M12" s="197" t="str">
        <f>IFERROR(__xludf.DUMMYFUNCTION("GOOGLETRANSLATE(A12,""zh-tw"",""zh"")"),"""Z""
(蟑螂)")</f>
        <v>"Z"
(蟑螂)</v>
      </c>
      <c r="N12" s="198" t="str">
        <f>IFERROR(__xludf.DUMMYFUNCTION("GOOGLETRANSLATE(B12,""zh-tw"",""zh"")"),"垃圾
阴暗爬行者的馈赠")</f>
        <v>垃圾
阴暗爬行者的馈赠</v>
      </c>
      <c r="O12" s="167" t="s">
        <v>6122</v>
      </c>
      <c r="P12" s="380"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6122</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6122</v>
      </c>
      <c r="X12" s="380" t="str">
        <f>IFERROR(__xludf.DUMMYFUNCTION("GOOGLETRANSLATE(D12,""zh-tw"",""KO"")"),"-")</f>
        <v>-</v>
      </c>
      <c r="Y12" s="153" t="s">
        <v>6128</v>
      </c>
      <c r="Z12" s="155" t="s">
        <v>6129</v>
      </c>
      <c r="AA12" s="155" t="s">
        <v>6122</v>
      </c>
      <c r="AB12" s="379" t="s">
        <v>1240</v>
      </c>
      <c r="AC12" s="197" t="str">
        <f>IFERROR(__xludf.DUMMYFUNCTION("GOOGLETRANSLATE(A12,""zh-tw"",""DE"")"),"""Z"" (Kakerlake)")</f>
        <v>"Z" (Kakerlake)</v>
      </c>
      <c r="AD12" s="167" t="s">
        <v>6130</v>
      </c>
      <c r="AE12" s="167" t="s">
        <v>6122</v>
      </c>
      <c r="AF12" s="379" t="str">
        <f>IFERROR(__xludf.DUMMYFUNCTION("GOOGLETRANSLATE(D12,""zh-tw"",""DE"")"),"-")</f>
        <v>-</v>
      </c>
      <c r="AG12" s="187" t="s">
        <v>6131</v>
      </c>
      <c r="AH12" s="49" t="s">
        <v>6132</v>
      </c>
      <c r="AI12" s="49" t="s">
        <v>6122</v>
      </c>
      <c r="AJ12" s="379" t="s">
        <v>1240</v>
      </c>
      <c r="AK12" s="197" t="s">
        <v>6133</v>
      </c>
      <c r="AL12" s="198" t="s">
        <v>6134</v>
      </c>
      <c r="AM12" s="167" t="s">
        <v>6122</v>
      </c>
      <c r="AN12" s="379" t="s">
        <v>1240</v>
      </c>
      <c r="AO12" s="382" t="s">
        <v>6135</v>
      </c>
      <c r="AP12" s="202" t="s">
        <v>6136</v>
      </c>
      <c r="AQ12" s="202" t="s">
        <v>6122</v>
      </c>
      <c r="AR12" s="386" t="s">
        <v>1240</v>
      </c>
      <c r="AS12" s="386"/>
      <c r="AT12" s="386"/>
    </row>
    <row r="13">
      <c r="A13" s="375" t="s">
        <v>6137</v>
      </c>
      <c r="E13" s="375" t="str">
        <f>IFERROR(__xludf.DUMMYFUNCTION("GOOGLETRANSLATE(A13,""zh-tw"",""ja"")"),"水に関連する")</f>
        <v>水に関連する</v>
      </c>
      <c r="I13" s="376" t="s">
        <v>6138</v>
      </c>
      <c r="M13" s="376" t="str">
        <f>IFERROR(__xludf.DUMMYFUNCTION("GOOGLETRANSLATE(A13,""zh-tw"",""zh"")"),"水中相关")</f>
        <v>水中相关</v>
      </c>
      <c r="Q13" s="376" t="str">
        <f>IFERROR(__xludf.DUMMYFUNCTION("GOOGLETRANSLATE(A13,""zh-tw"",""es-MX"")"),"Relacionado con el agua")</f>
        <v>Relacionado con el agua</v>
      </c>
      <c r="U13" s="376" t="str">
        <f>IFERROR(__xludf.DUMMYFUNCTION("GOOGLETRANSLATE(A13,""zh-tw"",""KO"")"),"물과 관련된")</f>
        <v>물과 관련된</v>
      </c>
      <c r="Y13" s="375" t="s">
        <v>6139</v>
      </c>
      <c r="AC13" s="376" t="str">
        <f>IFERROR(__xludf.DUMMYFUNCTION("GOOGLETRANSLATE(A12,""zh-tw"",""DE"")"),"""Z"" (Kakerlake)")</f>
        <v>"Z" (Kakerlake)</v>
      </c>
      <c r="AG13" s="378" t="s">
        <v>6140</v>
      </c>
      <c r="AK13" s="376" t="s">
        <v>6141</v>
      </c>
      <c r="AO13" s="387" t="s">
        <v>6142</v>
      </c>
      <c r="AS13" s="387"/>
      <c r="AT13" s="387"/>
    </row>
    <row r="14">
      <c r="A14" s="144" t="s">
        <v>6143</v>
      </c>
      <c r="B14" s="167" t="s">
        <v>6144</v>
      </c>
      <c r="C14" s="167" t="s">
        <v>6145</v>
      </c>
      <c r="D14" s="380" t="s">
        <v>6146</v>
      </c>
      <c r="E14" s="153" t="s">
        <v>6147</v>
      </c>
      <c r="F14" s="167" t="s">
        <v>6148</v>
      </c>
      <c r="G14" s="167" t="s">
        <v>6145</v>
      </c>
      <c r="H14" s="380" t="s">
        <v>6149</v>
      </c>
      <c r="I14" s="388" t="s">
        <v>6150</v>
      </c>
      <c r="J14" s="167" t="s">
        <v>6151</v>
      </c>
      <c r="K14" s="198" t="s">
        <v>6152</v>
      </c>
      <c r="L14" s="379" t="s">
        <v>6153</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6152</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6152</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6152</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6154</v>
      </c>
      <c r="Z14" s="155" t="s">
        <v>6155</v>
      </c>
      <c r="AA14" s="155" t="s">
        <v>6152</v>
      </c>
      <c r="AB14" s="379" t="s">
        <v>6156</v>
      </c>
      <c r="AC14" s="197" t="s">
        <v>6157</v>
      </c>
      <c r="AD14" s="167" t="s">
        <v>6158</v>
      </c>
      <c r="AE14" s="198" t="s">
        <v>6152</v>
      </c>
      <c r="AF14" s="379" t="s">
        <v>6159</v>
      </c>
      <c r="AG14" s="389" t="s">
        <v>6160</v>
      </c>
      <c r="AH14" s="49" t="s">
        <v>6161</v>
      </c>
      <c r="AI14" s="381" t="s">
        <v>6152</v>
      </c>
      <c r="AJ14" s="379" t="s">
        <v>6162</v>
      </c>
      <c r="AK14" s="207" t="s">
        <v>6163</v>
      </c>
      <c r="AL14" s="167" t="s">
        <v>6164</v>
      </c>
      <c r="AM14" s="198" t="s">
        <v>6152</v>
      </c>
      <c r="AN14" s="379" t="s">
        <v>6165</v>
      </c>
      <c r="AO14" s="382" t="s">
        <v>6166</v>
      </c>
      <c r="AP14" s="202" t="s">
        <v>6167</v>
      </c>
      <c r="AQ14" s="202" t="s">
        <v>6168</v>
      </c>
      <c r="AR14" s="383" t="s">
        <v>6169</v>
      </c>
      <c r="AS14" s="383"/>
      <c r="AT14" s="383"/>
    </row>
    <row r="15">
      <c r="A15" s="144" t="s">
        <v>6170</v>
      </c>
      <c r="B15" s="167" t="s">
        <v>6171</v>
      </c>
      <c r="C15" s="155" t="s">
        <v>6172</v>
      </c>
      <c r="D15" s="380" t="s">
        <v>6173</v>
      </c>
      <c r="E15" s="153" t="s">
        <v>6174</v>
      </c>
      <c r="F15" s="167" t="s">
        <v>6175</v>
      </c>
      <c r="G15" s="155" t="s">
        <v>6172</v>
      </c>
      <c r="H15" s="380" t="s">
        <v>6176</v>
      </c>
      <c r="I15" s="388" t="s">
        <v>6177</v>
      </c>
      <c r="J15" s="167" t="s">
        <v>6178</v>
      </c>
      <c r="K15" s="198" t="s">
        <v>6172</v>
      </c>
      <c r="L15" s="379" t="s">
        <v>6179</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6172</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6172</v>
      </c>
      <c r="T15" s="37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6172</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6180</v>
      </c>
      <c r="Z15" s="155" t="s">
        <v>6181</v>
      </c>
      <c r="AA15" s="155" t="s">
        <v>6172</v>
      </c>
      <c r="AB15" s="379" t="s">
        <v>6182</v>
      </c>
      <c r="AC15" s="197" t="s">
        <v>6183</v>
      </c>
      <c r="AD15" s="167" t="s">
        <v>6184</v>
      </c>
      <c r="AE15" s="198" t="s">
        <v>6172</v>
      </c>
      <c r="AF15" s="379" t="s">
        <v>6185</v>
      </c>
      <c r="AG15" s="389" t="s">
        <v>6186</v>
      </c>
      <c r="AH15" s="49" t="s">
        <v>6187</v>
      </c>
      <c r="AI15" s="381" t="s">
        <v>6172</v>
      </c>
      <c r="AJ15" s="379" t="s">
        <v>6188</v>
      </c>
      <c r="AK15" s="207" t="s">
        <v>6189</v>
      </c>
      <c r="AL15" s="167" t="s">
        <v>6190</v>
      </c>
      <c r="AM15" s="198" t="s">
        <v>6172</v>
      </c>
      <c r="AN15" s="379" t="s">
        <v>6191</v>
      </c>
      <c r="AO15" s="382" t="s">
        <v>6192</v>
      </c>
      <c r="AP15" s="202" t="s">
        <v>6193</v>
      </c>
      <c r="AQ15" s="202" t="s">
        <v>6172</v>
      </c>
      <c r="AR15" s="383" t="s">
        <v>6194</v>
      </c>
      <c r="AS15" s="383"/>
      <c r="AT15" s="383"/>
    </row>
    <row r="16">
      <c r="A16" s="153" t="s">
        <v>6195</v>
      </c>
      <c r="B16" s="155" t="s">
        <v>6196</v>
      </c>
      <c r="C16" s="155" t="s">
        <v>6197</v>
      </c>
      <c r="D16" s="380" t="s">
        <v>6198</v>
      </c>
      <c r="E16" s="197" t="s">
        <v>6195</v>
      </c>
      <c r="F16" s="198" t="s">
        <v>6199</v>
      </c>
      <c r="G16" s="155" t="s">
        <v>6197</v>
      </c>
      <c r="H16" s="380" t="s">
        <v>6200</v>
      </c>
      <c r="I16" s="197" t="s">
        <v>6201</v>
      </c>
      <c r="J16" s="198" t="s">
        <v>6202</v>
      </c>
      <c r="K16" s="198" t="s">
        <v>6197</v>
      </c>
      <c r="L16" s="379" t="s">
        <v>6203</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6197</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6197</v>
      </c>
      <c r="T16" s="379"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6197</v>
      </c>
      <c r="X16" s="380" t="str">
        <f>IFERROR(__xludf.DUMMYFUNCTION("GOOGLETRANSLATE(D16,""zh-tw"",""KO"")"),"공격이나 접촉을 이용하여 재료를 포획하세요 (재료만 드롭됩니다).")</f>
        <v>공격이나 접촉을 이용하여 재료를 포획하세요 (재료만 드롭됩니다).</v>
      </c>
      <c r="Y16" s="153" t="s">
        <v>6204</v>
      </c>
      <c r="Z16" s="155" t="s">
        <v>6205</v>
      </c>
      <c r="AA16" s="155" t="s">
        <v>6197</v>
      </c>
      <c r="AB16" s="379" t="s">
        <v>6206</v>
      </c>
      <c r="AC16" s="197" t="s">
        <v>6207</v>
      </c>
      <c r="AD16" s="198" t="s">
        <v>6208</v>
      </c>
      <c r="AE16" s="198" t="s">
        <v>6197</v>
      </c>
      <c r="AF16" s="379" t="s">
        <v>6209</v>
      </c>
      <c r="AG16" s="187" t="s">
        <v>6210</v>
      </c>
      <c r="AH16" s="381" t="s">
        <v>6211</v>
      </c>
      <c r="AI16" s="381" t="s">
        <v>6197</v>
      </c>
      <c r="AJ16" s="379" t="s">
        <v>6212</v>
      </c>
      <c r="AK16" s="197" t="s">
        <v>6213</v>
      </c>
      <c r="AL16" s="198" t="s">
        <v>6214</v>
      </c>
      <c r="AM16" s="198" t="s">
        <v>6197</v>
      </c>
      <c r="AN16" s="379" t="s">
        <v>6215</v>
      </c>
      <c r="AO16" s="382" t="s">
        <v>6216</v>
      </c>
      <c r="AP16" s="202" t="s">
        <v>6217</v>
      </c>
      <c r="AQ16" s="202" t="s">
        <v>6197</v>
      </c>
      <c r="AR16" s="383" t="s">
        <v>6218</v>
      </c>
      <c r="AS16" s="383"/>
      <c r="AT16" s="383"/>
    </row>
    <row r="17">
      <c r="A17" s="153" t="s">
        <v>6219</v>
      </c>
      <c r="B17" s="155" t="s">
        <v>6220</v>
      </c>
      <c r="C17" s="155" t="s">
        <v>6221</v>
      </c>
      <c r="D17" s="379" t="s">
        <v>1240</v>
      </c>
      <c r="E17" s="197" t="s">
        <v>6219</v>
      </c>
      <c r="F17" s="155" t="str">
        <f>IFERROR(__xludf.DUMMYFUNCTION("GOOGLETRANSLATE(B17,""zh-tw"",""ja"")"),"ウォーターモンスタースライム
魔法の水晶クラスター
潮汐の詩")</f>
        <v>ウォーターモンスタースライム
魔法の水晶クラスター
潮汐の詩</v>
      </c>
      <c r="G17" s="155" t="s">
        <v>6221</v>
      </c>
      <c r="H17" s="380" t="str">
        <f>IFERROR(__xludf.DUMMYFUNCTION("GOOGLETRANSLATE(D17,""zh-tw"",""ja"")"),"-")</f>
        <v>-</v>
      </c>
      <c r="I17" s="153" t="s">
        <v>6222</v>
      </c>
      <c r="J17" s="167" t="s">
        <v>6223</v>
      </c>
      <c r="K17" s="198" t="s">
        <v>6221</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6221</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6221</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6221</v>
      </c>
      <c r="X17" s="380" t="str">
        <f>IFERROR(__xludf.DUMMYFUNCTION("GOOGLETRANSLATE(D17,""zh-tw"",""KO"")"),"-")</f>
        <v>-</v>
      </c>
      <c r="Y17" s="153" t="s">
        <v>6224</v>
      </c>
      <c r="Z17" s="155" t="s">
        <v>6225</v>
      </c>
      <c r="AA17" s="155" t="s">
        <v>6221</v>
      </c>
      <c r="AB17" s="379" t="s">
        <v>1240</v>
      </c>
      <c r="AC17" s="197" t="s">
        <v>6226</v>
      </c>
      <c r="AD17" s="198" t="s">
        <v>6227</v>
      </c>
      <c r="AE17" s="198" t="s">
        <v>6221</v>
      </c>
      <c r="AF17" s="385" t="s">
        <v>6228</v>
      </c>
      <c r="AG17" s="187" t="s">
        <v>6229</v>
      </c>
      <c r="AH17" s="381" t="s">
        <v>6230</v>
      </c>
      <c r="AI17" s="381" t="s">
        <v>6221</v>
      </c>
      <c r="AJ17" s="379" t="s">
        <v>1240</v>
      </c>
      <c r="AK17" s="197" t="s">
        <v>6222</v>
      </c>
      <c r="AL17" s="198" t="s">
        <v>6231</v>
      </c>
      <c r="AM17" s="198" t="s">
        <v>6221</v>
      </c>
      <c r="AN17" s="379" t="s">
        <v>1240</v>
      </c>
      <c r="AO17" s="382" t="s">
        <v>6222</v>
      </c>
      <c r="AP17" s="202" t="s">
        <v>6232</v>
      </c>
      <c r="AQ17" s="202" t="s">
        <v>6221</v>
      </c>
      <c r="AR17" s="383" t="s">
        <v>1240</v>
      </c>
      <c r="AS17" s="383"/>
      <c r="AT17" s="383"/>
    </row>
    <row r="18">
      <c r="A18" s="153" t="s">
        <v>6233</v>
      </c>
      <c r="B18" s="155" t="s">
        <v>6234</v>
      </c>
      <c r="C18" s="155">
        <v>100.0</v>
      </c>
      <c r="D18" s="380" t="s">
        <v>6235</v>
      </c>
      <c r="E18" s="197" t="s">
        <v>6236</v>
      </c>
      <c r="F18" s="155" t="s">
        <v>6237</v>
      </c>
      <c r="G18" s="155">
        <v>100.0</v>
      </c>
      <c r="H18" s="380" t="s">
        <v>6238</v>
      </c>
      <c r="I18" s="153" t="s">
        <v>6239</v>
      </c>
      <c r="J18" s="198" t="s">
        <v>6240</v>
      </c>
      <c r="K18" s="198">
        <v>100.0</v>
      </c>
      <c r="L18" s="379" t="s">
        <v>6241</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6242</v>
      </c>
      <c r="Z18" s="155" t="s">
        <v>6243</v>
      </c>
      <c r="AA18" s="155">
        <v>100.0</v>
      </c>
      <c r="AB18" s="379" t="s">
        <v>6244</v>
      </c>
      <c r="AC18" s="197" t="s">
        <v>6245</v>
      </c>
      <c r="AD18" s="198" t="s">
        <v>6246</v>
      </c>
      <c r="AE18" s="198">
        <v>100.0</v>
      </c>
      <c r="AF18" s="379" t="s">
        <v>6247</v>
      </c>
      <c r="AG18" s="187" t="s">
        <v>6248</v>
      </c>
      <c r="AH18" s="381" t="s">
        <v>6249</v>
      </c>
      <c r="AI18" s="381">
        <v>100.0</v>
      </c>
      <c r="AJ18" s="379" t="s">
        <v>6250</v>
      </c>
      <c r="AK18" s="197" t="s">
        <v>6251</v>
      </c>
      <c r="AL18" s="198" t="s">
        <v>6252</v>
      </c>
      <c r="AM18" s="198">
        <v>100.0</v>
      </c>
      <c r="AN18" s="379" t="s">
        <v>6253</v>
      </c>
      <c r="AO18" s="382" t="s">
        <v>6254</v>
      </c>
      <c r="AP18" s="202" t="s">
        <v>6255</v>
      </c>
      <c r="AQ18" s="202" t="s">
        <v>6256</v>
      </c>
      <c r="AR18" s="383" t="s">
        <v>6257</v>
      </c>
      <c r="AS18" s="383"/>
      <c r="AT18" s="383"/>
    </row>
    <row r="19">
      <c r="A19" s="153" t="s">
        <v>6258</v>
      </c>
      <c r="B19" s="155" t="s">
        <v>6259</v>
      </c>
      <c r="C19" s="155">
        <v>100.0</v>
      </c>
      <c r="D19" s="380" t="s">
        <v>6235</v>
      </c>
      <c r="E19" s="197" t="s">
        <v>6260</v>
      </c>
      <c r="F19" s="155" t="s">
        <v>6261</v>
      </c>
      <c r="G19" s="155">
        <v>100.0</v>
      </c>
      <c r="H19" s="380" t="s">
        <v>6238</v>
      </c>
      <c r="I19" s="153" t="s">
        <v>6262</v>
      </c>
      <c r="J19" s="198" t="s">
        <v>6263</v>
      </c>
      <c r="K19" s="198">
        <v>100.0</v>
      </c>
      <c r="L19" s="379" t="s">
        <v>6241</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9"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6264</v>
      </c>
      <c r="Z19" s="155" t="s">
        <v>6265</v>
      </c>
      <c r="AA19" s="155">
        <v>100.0</v>
      </c>
      <c r="AB19" s="379" t="s">
        <v>6244</v>
      </c>
      <c r="AC19" s="197" t="s">
        <v>6266</v>
      </c>
      <c r="AD19" s="198" t="s">
        <v>6267</v>
      </c>
      <c r="AE19" s="198">
        <v>100.0</v>
      </c>
      <c r="AF19" s="379" t="s">
        <v>6247</v>
      </c>
      <c r="AG19" s="187" t="s">
        <v>6268</v>
      </c>
      <c r="AH19" s="381" t="s">
        <v>6269</v>
      </c>
      <c r="AI19" s="381">
        <v>100.0</v>
      </c>
      <c r="AJ19" s="379" t="s">
        <v>6250</v>
      </c>
      <c r="AK19" s="197" t="s">
        <v>6270</v>
      </c>
      <c r="AL19" s="198" t="s">
        <v>6271</v>
      </c>
      <c r="AM19" s="198">
        <v>100.0</v>
      </c>
      <c r="AN19" s="379" t="s">
        <v>6253</v>
      </c>
      <c r="AO19" s="382" t="s">
        <v>6272</v>
      </c>
      <c r="AP19" s="202" t="s">
        <v>6273</v>
      </c>
      <c r="AQ19" s="202" t="s">
        <v>6256</v>
      </c>
      <c r="AR19" s="383" t="s">
        <v>6257</v>
      </c>
      <c r="AS19" s="383"/>
      <c r="AT19" s="383"/>
    </row>
    <row r="20">
      <c r="A20" s="375" t="s">
        <v>6274</v>
      </c>
      <c r="E20" s="376" t="str">
        <f>IFERROR(__xludf.DUMMYFUNCTION("GOOGLETRANSLATE(A20,""zh-tw"",""ja"")"),"鉱山関連")</f>
        <v>鉱山関連</v>
      </c>
      <c r="I20" s="375" t="s">
        <v>6275</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6276</v>
      </c>
      <c r="AC20" s="376" t="str">
        <f>IFERROR(__xludf.DUMMYFUNCTION("GOOGLETRANSLATE(A19,""zh-tw"",""DE"")"),"Sakaban-Schildkröte (groß)")</f>
        <v>Sakaban-Schildkröte (groß)</v>
      </c>
      <c r="AG20" s="378" t="s">
        <v>6277</v>
      </c>
      <c r="AK20" s="376" t="s">
        <v>6275</v>
      </c>
      <c r="AO20" s="390" t="s">
        <v>6278</v>
      </c>
      <c r="AS20" s="390"/>
      <c r="AT20" s="390"/>
    </row>
    <row r="21">
      <c r="A21" s="153" t="s">
        <v>6279</v>
      </c>
      <c r="B21" s="155" t="s">
        <v>6280</v>
      </c>
      <c r="C21" s="155" t="s">
        <v>6281</v>
      </c>
      <c r="D21" s="380" t="s">
        <v>1240</v>
      </c>
      <c r="E21" s="197" t="s">
        <v>6282</v>
      </c>
      <c r="F21" s="198" t="s">
        <v>6283</v>
      </c>
      <c r="G21" s="155" t="s">
        <v>6281</v>
      </c>
      <c r="H21" s="385" t="s">
        <v>1240</v>
      </c>
      <c r="I21" s="153" t="s">
        <v>6284</v>
      </c>
      <c r="J21" s="198" t="s">
        <v>6285</v>
      </c>
      <c r="K21" s="198" t="s">
        <v>6281</v>
      </c>
      <c r="L21" s="379" t="s">
        <v>1240</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6281</v>
      </c>
      <c r="P21" s="38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8" t="s">
        <v>6281</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6281</v>
      </c>
      <c r="X21" s="380" t="str">
        <f>IFERROR(__xludf.DUMMYFUNCTION("GOOGLETRANSLATE(D21,""zh-tw"",""KO"")"),"-")</f>
        <v>-</v>
      </c>
      <c r="Y21" s="153" t="s">
        <v>6286</v>
      </c>
      <c r="Z21" s="155" t="s">
        <v>6287</v>
      </c>
      <c r="AA21" s="155" t="s">
        <v>6281</v>
      </c>
      <c r="AB21" s="379" t="s">
        <v>1240</v>
      </c>
      <c r="AC21" s="197" t="s">
        <v>6288</v>
      </c>
      <c r="AD21" s="198" t="s">
        <v>6289</v>
      </c>
      <c r="AE21" s="198" t="s">
        <v>6281</v>
      </c>
      <c r="AF21" s="385" t="s">
        <v>6228</v>
      </c>
      <c r="AG21" s="187" t="s">
        <v>6290</v>
      </c>
      <c r="AH21" s="381" t="s">
        <v>6291</v>
      </c>
      <c r="AI21" s="381" t="s">
        <v>6281</v>
      </c>
      <c r="AJ21" s="379" t="s">
        <v>1240</v>
      </c>
      <c r="AK21" s="197" t="s">
        <v>6292</v>
      </c>
      <c r="AL21" s="167" t="s">
        <v>6293</v>
      </c>
      <c r="AM21" s="198" t="s">
        <v>6281</v>
      </c>
      <c r="AN21" s="379" t="s">
        <v>1240</v>
      </c>
      <c r="AO21" s="382" t="s">
        <v>6294</v>
      </c>
      <c r="AP21" s="202" t="s">
        <v>6295</v>
      </c>
      <c r="AQ21" s="202" t="s">
        <v>6296</v>
      </c>
      <c r="AR21" s="383" t="s">
        <v>1240</v>
      </c>
      <c r="AS21" s="383"/>
      <c r="AT21" s="383"/>
    </row>
    <row r="22">
      <c r="A22" s="153" t="s">
        <v>6297</v>
      </c>
      <c r="B22" s="155" t="s">
        <v>6298</v>
      </c>
      <c r="C22" s="155" t="s">
        <v>6299</v>
      </c>
      <c r="D22" s="380" t="s">
        <v>1240</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6299</v>
      </c>
      <c r="H22" s="385" t="s">
        <v>1240</v>
      </c>
      <c r="I22" s="153" t="s">
        <v>6300</v>
      </c>
      <c r="J22" s="198" t="s">
        <v>6301</v>
      </c>
      <c r="K22" s="198" t="s">
        <v>6299</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6299</v>
      </c>
      <c r="P22" s="380"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6299</v>
      </c>
      <c r="T22" s="379"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6299</v>
      </c>
      <c r="X22" s="380" t="str">
        <f>IFERROR(__xludf.DUMMYFUNCTION("GOOGLETRANSLATE(D22,""zh-tw"",""KO"")"),"-")</f>
        <v>-</v>
      </c>
      <c r="Y22" s="153" t="s">
        <v>6302</v>
      </c>
      <c r="Z22" s="155" t="s">
        <v>6303</v>
      </c>
      <c r="AA22" s="155" t="s">
        <v>6299</v>
      </c>
      <c r="AB22" s="379" t="s">
        <v>1240</v>
      </c>
      <c r="AC22" s="197" t="s">
        <v>6304</v>
      </c>
      <c r="AD22" s="198" t="s">
        <v>6305</v>
      </c>
      <c r="AE22" s="198" t="s">
        <v>6299</v>
      </c>
      <c r="AF22" s="385" t="s">
        <v>6228</v>
      </c>
      <c r="AG22" s="187" t="s">
        <v>6306</v>
      </c>
      <c r="AH22" s="381" t="s">
        <v>6307</v>
      </c>
      <c r="AI22" s="381" t="s">
        <v>6299</v>
      </c>
      <c r="AJ22" s="379" t="s">
        <v>1240</v>
      </c>
      <c r="AK22" s="197" t="s">
        <v>6308</v>
      </c>
      <c r="AL22" s="198" t="s">
        <v>6309</v>
      </c>
      <c r="AM22" s="198" t="s">
        <v>6299</v>
      </c>
      <c r="AN22" s="379" t="s">
        <v>1240</v>
      </c>
      <c r="AO22" s="382" t="s">
        <v>6310</v>
      </c>
      <c r="AP22" s="202" t="s">
        <v>6311</v>
      </c>
      <c r="AQ22" s="202" t="s">
        <v>6299</v>
      </c>
      <c r="AR22" s="383" t="s">
        <v>1240</v>
      </c>
      <c r="AS22" s="383"/>
      <c r="AT22" s="383"/>
    </row>
    <row r="23">
      <c r="A23" s="153" t="s">
        <v>6312</v>
      </c>
      <c r="B23" s="391" t="s">
        <v>6313</v>
      </c>
      <c r="C23" s="391" t="s">
        <v>6314</v>
      </c>
      <c r="D23" s="380" t="s">
        <v>1240</v>
      </c>
      <c r="E23" s="153" t="s">
        <v>6315</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67" t="s">
        <v>6316</v>
      </c>
      <c r="H23" s="385" t="s">
        <v>1240</v>
      </c>
      <c r="I23" s="153" t="s">
        <v>6317</v>
      </c>
      <c r="J23" s="167" t="s">
        <v>6318</v>
      </c>
      <c r="K23" s="167" t="s">
        <v>6314</v>
      </c>
      <c r="L23" s="379" t="s">
        <v>1240</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6314</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6319</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6319</v>
      </c>
      <c r="X23" s="380" t="str">
        <f>IFERROR(__xludf.DUMMYFUNCTION("GOOGLETRANSLATE(D23,""zh-tw"",""KO"")"),"-")</f>
        <v>-</v>
      </c>
      <c r="Y23" s="153" t="s">
        <v>6320</v>
      </c>
      <c r="Z23" s="167" t="s">
        <v>6321</v>
      </c>
      <c r="AA23" s="167" t="s">
        <v>6314</v>
      </c>
      <c r="AB23" s="379" t="s">
        <v>1240</v>
      </c>
      <c r="AC23" s="197" t="s">
        <v>6322</v>
      </c>
      <c r="AD23" s="198" t="s">
        <v>6323</v>
      </c>
      <c r="AE23" s="198" t="s">
        <v>6319</v>
      </c>
      <c r="AF23" s="379" t="s">
        <v>1240</v>
      </c>
      <c r="AG23" s="187" t="s">
        <v>6324</v>
      </c>
      <c r="AH23" s="49" t="s">
        <v>6325</v>
      </c>
      <c r="AI23" s="49" t="s">
        <v>6314</v>
      </c>
      <c r="AJ23" s="379" t="s">
        <v>1240</v>
      </c>
      <c r="AK23" s="197" t="s">
        <v>6317</v>
      </c>
      <c r="AL23" s="167" t="s">
        <v>6326</v>
      </c>
      <c r="AM23" s="167" t="s">
        <v>6327</v>
      </c>
      <c r="AN23" s="379" t="s">
        <v>1240</v>
      </c>
      <c r="AO23" s="382" t="s">
        <v>6328</v>
      </c>
      <c r="AP23" s="202" t="s">
        <v>6329</v>
      </c>
      <c r="AQ23" s="202" t="s">
        <v>6330</v>
      </c>
      <c r="AR23" s="383" t="s">
        <v>1240</v>
      </c>
      <c r="AS23" s="383"/>
      <c r="AT23" s="383"/>
    </row>
    <row r="24">
      <c r="A24" s="375" t="s">
        <v>6331</v>
      </c>
      <c r="E24" s="375" t="str">
        <f>IFERROR(__xludf.DUMMYFUNCTION("GOOGLETRANSLATE(A24,""zh-tw"",""ja"")"),"遺跡")</f>
        <v>遺跡</v>
      </c>
      <c r="I24" s="375" t="s">
        <v>6332</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6333</v>
      </c>
      <c r="AC24" s="376" t="str">
        <f>IFERROR(__xludf.DUMMYFUNCTION("GOOGLETRANSLATE(A23,""zh-tw"",""DE"")"),"Böser Umhang")</f>
        <v>Böser Umhang</v>
      </c>
      <c r="AG24" s="378" t="s">
        <v>6334</v>
      </c>
      <c r="AK24" s="376" t="s">
        <v>6332</v>
      </c>
      <c r="AO24" s="390" t="s">
        <v>6335</v>
      </c>
      <c r="AS24" s="390"/>
      <c r="AT24" s="390"/>
    </row>
    <row r="25">
      <c r="A25" s="153" t="s">
        <v>6336</v>
      </c>
      <c r="B25" s="155" t="s">
        <v>6337</v>
      </c>
      <c r="C25" s="155" t="s">
        <v>6338</v>
      </c>
      <c r="D25" s="380" t="s">
        <v>1240</v>
      </c>
      <c r="E25" s="197" t="s">
        <v>6339</v>
      </c>
      <c r="F25" s="198" t="s">
        <v>6340</v>
      </c>
      <c r="G25" s="155" t="s">
        <v>6338</v>
      </c>
      <c r="H25" s="380" t="str">
        <f>IFERROR(__xludf.DUMMYFUNCTION("GOOGLETRANSLATE(D25,""zh-tw"",""ja"")"),"-")</f>
        <v>-</v>
      </c>
      <c r="I25" s="197" t="s">
        <v>6341</v>
      </c>
      <c r="J25" s="198" t="s">
        <v>6342</v>
      </c>
      <c r="K25" s="198" t="s">
        <v>6338</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6338</v>
      </c>
      <c r="P25" s="379"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6338</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6338</v>
      </c>
      <c r="X25" s="380" t="str">
        <f>IFERROR(__xludf.DUMMYFUNCTION("GOOGLETRANSLATE(D25,""zh-tw"",""KO"")"),"-")</f>
        <v>-</v>
      </c>
      <c r="Y25" s="153" t="s">
        <v>6343</v>
      </c>
      <c r="Z25" s="155" t="s">
        <v>6344</v>
      </c>
      <c r="AA25" s="155" t="s">
        <v>6338</v>
      </c>
      <c r="AB25" s="379" t="s">
        <v>1240</v>
      </c>
      <c r="AC25" s="197" t="s">
        <v>6345</v>
      </c>
      <c r="AD25" s="198" t="s">
        <v>6346</v>
      </c>
      <c r="AE25" s="198" t="s">
        <v>6338</v>
      </c>
      <c r="AF25" s="385" t="s">
        <v>6228</v>
      </c>
      <c r="AG25" s="187" t="s">
        <v>6347</v>
      </c>
      <c r="AH25" s="381" t="s">
        <v>6348</v>
      </c>
      <c r="AI25" s="381" t="s">
        <v>6338</v>
      </c>
      <c r="AJ25" s="379" t="s">
        <v>1240</v>
      </c>
      <c r="AK25" s="197" t="s">
        <v>6349</v>
      </c>
      <c r="AL25" s="198" t="s">
        <v>6350</v>
      </c>
      <c r="AM25" s="198" t="s">
        <v>6338</v>
      </c>
      <c r="AN25" s="379" t="s">
        <v>1240</v>
      </c>
      <c r="AO25" s="382" t="s">
        <v>6351</v>
      </c>
      <c r="AP25" s="202" t="s">
        <v>6352</v>
      </c>
      <c r="AQ25" s="202" t="s">
        <v>6338</v>
      </c>
      <c r="AR25" s="383" t="s">
        <v>1240</v>
      </c>
      <c r="AS25" s="383"/>
      <c r="AT25" s="383"/>
    </row>
    <row r="26">
      <c r="A26" s="153" t="s">
        <v>6353</v>
      </c>
      <c r="B26" s="155" t="s">
        <v>6354</v>
      </c>
      <c r="C26" s="155" t="s">
        <v>6355</v>
      </c>
      <c r="D26" s="379" t="s">
        <v>1240</v>
      </c>
      <c r="E26" s="197" t="s">
        <v>6353</v>
      </c>
      <c r="F26" s="198" t="s">
        <v>6356</v>
      </c>
      <c r="G26" s="155" t="s">
        <v>6355</v>
      </c>
      <c r="H26" s="380" t="str">
        <f>IFERROR(__xludf.DUMMYFUNCTION("GOOGLETRANSLATE(D26,""zh-tw"",""ja"")"),"-")</f>
        <v>-</v>
      </c>
      <c r="I26" s="197" t="s">
        <v>6357</v>
      </c>
      <c r="J26" s="167" t="s">
        <v>6358</v>
      </c>
      <c r="K26" s="198" t="s">
        <v>6355</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6355</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6355</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6355</v>
      </c>
      <c r="X26" s="380" t="str">
        <f>IFERROR(__xludf.DUMMYFUNCTION("GOOGLETRANSLATE(D26,""zh-tw"",""KO"")"),"-")</f>
        <v>-</v>
      </c>
      <c r="Y26" s="153" t="s">
        <v>6359</v>
      </c>
      <c r="Z26" s="155" t="s">
        <v>6360</v>
      </c>
      <c r="AA26" s="155" t="s">
        <v>6355</v>
      </c>
      <c r="AB26" s="379" t="s">
        <v>1240</v>
      </c>
      <c r="AC26" s="197" t="s">
        <v>6361</v>
      </c>
      <c r="AD26" s="198" t="s">
        <v>6362</v>
      </c>
      <c r="AE26" s="198" t="s">
        <v>6355</v>
      </c>
      <c r="AF26" s="385" t="s">
        <v>6228</v>
      </c>
      <c r="AG26" s="187" t="s">
        <v>6363</v>
      </c>
      <c r="AH26" s="381" t="s">
        <v>6364</v>
      </c>
      <c r="AI26" s="381" t="s">
        <v>6355</v>
      </c>
      <c r="AJ26" s="379" t="s">
        <v>1240</v>
      </c>
      <c r="AK26" s="197" t="s">
        <v>6365</v>
      </c>
      <c r="AL26" s="167" t="s">
        <v>6366</v>
      </c>
      <c r="AM26" s="198" t="s">
        <v>6355</v>
      </c>
      <c r="AN26" s="379" t="s">
        <v>1240</v>
      </c>
      <c r="AO26" s="382" t="s">
        <v>6367</v>
      </c>
      <c r="AP26" s="202" t="s">
        <v>6368</v>
      </c>
      <c r="AQ26" s="202" t="s">
        <v>6369</v>
      </c>
      <c r="AR26" s="383" t="s">
        <v>1240</v>
      </c>
      <c r="AS26" s="383"/>
      <c r="AT26" s="383"/>
    </row>
    <row r="27">
      <c r="A27" s="153" t="s">
        <v>6370</v>
      </c>
      <c r="B27" s="155" t="s">
        <v>6371</v>
      </c>
      <c r="C27" s="155" t="s">
        <v>6372</v>
      </c>
      <c r="D27" s="379" t="s">
        <v>1240</v>
      </c>
      <c r="E27" s="197" t="s">
        <v>6373</v>
      </c>
      <c r="F27" s="198" t="s">
        <v>6374</v>
      </c>
      <c r="G27" s="155" t="s">
        <v>6372</v>
      </c>
      <c r="H27" s="380" t="str">
        <f>IFERROR(__xludf.DUMMYFUNCTION("GOOGLETRANSLATE(D27,""zh-tw"",""ja"")"),"-")</f>
        <v>-</v>
      </c>
      <c r="I27" s="197" t="s">
        <v>6375</v>
      </c>
      <c r="J27" s="198" t="s">
        <v>6376</v>
      </c>
      <c r="K27" s="198" t="s">
        <v>6372</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6372</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6372</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6372</v>
      </c>
      <c r="X27" s="380" t="str">
        <f>IFERROR(__xludf.DUMMYFUNCTION("GOOGLETRANSLATE(D27,""zh-tw"",""KO"")"),"-")</f>
        <v>-</v>
      </c>
      <c r="Y27" s="153" t="s">
        <v>6377</v>
      </c>
      <c r="Z27" s="155" t="s">
        <v>6378</v>
      </c>
      <c r="AA27" s="155" t="s">
        <v>6372</v>
      </c>
      <c r="AB27" s="379" t="s">
        <v>1240</v>
      </c>
      <c r="AC27" s="197" t="s">
        <v>6379</v>
      </c>
      <c r="AD27" s="198" t="s">
        <v>6380</v>
      </c>
      <c r="AE27" s="198" t="s">
        <v>6372</v>
      </c>
      <c r="AF27" s="385" t="s">
        <v>6228</v>
      </c>
      <c r="AG27" s="187" t="s">
        <v>6381</v>
      </c>
      <c r="AH27" s="381" t="s">
        <v>6382</v>
      </c>
      <c r="AI27" s="381" t="s">
        <v>6372</v>
      </c>
      <c r="AJ27" s="379" t="s">
        <v>1240</v>
      </c>
      <c r="AK27" s="197" t="s">
        <v>6375</v>
      </c>
      <c r="AL27" s="167" t="s">
        <v>6383</v>
      </c>
      <c r="AM27" s="198" t="s">
        <v>6372</v>
      </c>
      <c r="AN27" s="379" t="s">
        <v>1240</v>
      </c>
      <c r="AO27" s="382" t="s">
        <v>6384</v>
      </c>
      <c r="AP27" s="202" t="s">
        <v>6385</v>
      </c>
      <c r="AQ27" s="202" t="s">
        <v>6386</v>
      </c>
      <c r="AR27" s="383" t="s">
        <v>1240</v>
      </c>
      <c r="AS27" s="383"/>
      <c r="AT27" s="383"/>
    </row>
    <row r="28">
      <c r="A28" s="153" t="s">
        <v>6387</v>
      </c>
      <c r="B28" s="155" t="s">
        <v>6388</v>
      </c>
      <c r="C28" s="155" t="s">
        <v>6389</v>
      </c>
      <c r="D28" s="380" t="s">
        <v>1240</v>
      </c>
      <c r="E28" s="153" t="str">
        <f>IFERROR(__xludf.DUMMYFUNCTION("GOOGLETRANSLATE(A28,""zh-tw"",""ja"")"),"ジャックスライム")</f>
        <v>ジャックスライム</v>
      </c>
      <c r="F28" s="198" t="s">
        <v>6390</v>
      </c>
      <c r="G28" s="198" t="s">
        <v>6389</v>
      </c>
      <c r="H28" s="380" t="str">
        <f>IFERROR(__xludf.DUMMYFUNCTION("GOOGLETRANSLATE(D28,""zh-tw"",""ja"")"),"-")</f>
        <v>-</v>
      </c>
      <c r="I28" s="197" t="s">
        <v>6391</v>
      </c>
      <c r="J28" s="198" t="s">
        <v>6392</v>
      </c>
      <c r="K28" s="198" t="s">
        <v>6389</v>
      </c>
      <c r="L28" s="379" t="s">
        <v>1240</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6389</v>
      </c>
      <c r="P28" s="379"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6389</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6389</v>
      </c>
      <c r="X28" s="380" t="str">
        <f>IFERROR(__xludf.DUMMYFUNCTION("GOOGLETRANSLATE(D28,""zh-tw"",""KO"")"),"-")</f>
        <v>-</v>
      </c>
      <c r="Y28" s="153" t="s">
        <v>6393</v>
      </c>
      <c r="Z28" s="155" t="s">
        <v>6394</v>
      </c>
      <c r="AA28" s="155" t="s">
        <v>6389</v>
      </c>
      <c r="AB28" s="379" t="s">
        <v>1240</v>
      </c>
      <c r="AC28" s="197" t="s">
        <v>6395</v>
      </c>
      <c r="AD28" s="198" t="s">
        <v>6396</v>
      </c>
      <c r="AE28" s="198" t="s">
        <v>6389</v>
      </c>
      <c r="AF28" s="385" t="s">
        <v>6228</v>
      </c>
      <c r="AG28" s="187" t="s">
        <v>6397</v>
      </c>
      <c r="AH28" s="381" t="s">
        <v>6398</v>
      </c>
      <c r="AI28" s="381" t="s">
        <v>6389</v>
      </c>
      <c r="AJ28" s="379" t="s">
        <v>1240</v>
      </c>
      <c r="AK28" s="197" t="s">
        <v>6399</v>
      </c>
      <c r="AL28" s="198" t="s">
        <v>6400</v>
      </c>
      <c r="AM28" s="198" t="s">
        <v>6389</v>
      </c>
      <c r="AN28" s="379" t="s">
        <v>1240</v>
      </c>
      <c r="AO28" s="382" t="s">
        <v>6391</v>
      </c>
      <c r="AP28" s="202" t="s">
        <v>6401</v>
      </c>
      <c r="AQ28" s="202" t="s">
        <v>6389</v>
      </c>
      <c r="AR28" s="383" t="s">
        <v>1240</v>
      </c>
      <c r="AS28" s="383"/>
      <c r="AT28" s="383"/>
    </row>
    <row r="29">
      <c r="A29" s="153" t="s">
        <v>6402</v>
      </c>
      <c r="B29" s="155" t="s">
        <v>6403</v>
      </c>
      <c r="C29" s="155" t="s">
        <v>6404</v>
      </c>
      <c r="D29" s="379" t="s">
        <v>1240</v>
      </c>
      <c r="E29" s="197" t="s">
        <v>6405</v>
      </c>
      <c r="F29" s="198" t="s">
        <v>6406</v>
      </c>
      <c r="G29" s="155" t="s">
        <v>6404</v>
      </c>
      <c r="H29" s="380" t="str">
        <f>IFERROR(__xludf.DUMMYFUNCTION("GOOGLETRANSLATE(D29,""zh-tw"",""ja"")"),"-")</f>
        <v>-</v>
      </c>
      <c r="I29" s="197" t="str">
        <f>IFERROR(__xludf.DUMMYFUNCTION("GOOGLETRANSLATE(A29,""zh-tw"",""en"")"),"Maid Bunny")</f>
        <v>Maid Bunny</v>
      </c>
      <c r="J29" s="198" t="s">
        <v>6407</v>
      </c>
      <c r="K29" s="198" t="s">
        <v>6404</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6404</v>
      </c>
      <c r="P29" s="380"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6404</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6404</v>
      </c>
      <c r="X29" s="380" t="str">
        <f>IFERROR(__xludf.DUMMYFUNCTION("GOOGLETRANSLATE(D29,""zh-tw"",""KO"")"),"-")</f>
        <v>-</v>
      </c>
      <c r="Y29" s="153" t="s">
        <v>6408</v>
      </c>
      <c r="Z29" s="155" t="s">
        <v>6409</v>
      </c>
      <c r="AA29" s="155" t="s">
        <v>6404</v>
      </c>
      <c r="AB29" s="379" t="s">
        <v>1240</v>
      </c>
      <c r="AC29" s="197" t="s">
        <v>6410</v>
      </c>
      <c r="AD29" s="198" t="s">
        <v>6411</v>
      </c>
      <c r="AE29" s="198" t="s">
        <v>6404</v>
      </c>
      <c r="AF29" s="385" t="s">
        <v>6228</v>
      </c>
      <c r="AG29" s="187" t="s">
        <v>6412</v>
      </c>
      <c r="AH29" s="381" t="s">
        <v>6413</v>
      </c>
      <c r="AI29" s="381" t="s">
        <v>6404</v>
      </c>
      <c r="AJ29" s="379" t="s">
        <v>1240</v>
      </c>
      <c r="AK29" s="197" t="s">
        <v>6414</v>
      </c>
      <c r="AL29" s="198" t="s">
        <v>6415</v>
      </c>
      <c r="AM29" s="198" t="s">
        <v>6404</v>
      </c>
      <c r="AN29" s="379" t="s">
        <v>1240</v>
      </c>
      <c r="AO29" s="382" t="s">
        <v>6416</v>
      </c>
      <c r="AP29" s="202" t="s">
        <v>6417</v>
      </c>
      <c r="AQ29" s="202" t="s">
        <v>6404</v>
      </c>
      <c r="AR29" s="383" t="s">
        <v>1240</v>
      </c>
      <c r="AS29" s="383"/>
      <c r="AT29" s="383"/>
    </row>
    <row r="30">
      <c r="A30" s="153" t="s">
        <v>6418</v>
      </c>
      <c r="B30" s="155" t="s">
        <v>6419</v>
      </c>
      <c r="C30" s="155" t="s">
        <v>6420</v>
      </c>
      <c r="D30" s="379" t="s">
        <v>1240</v>
      </c>
      <c r="E30" s="197" t="s">
        <v>6421</v>
      </c>
      <c r="F30" s="198" t="s">
        <v>6422</v>
      </c>
      <c r="G30" s="155" t="s">
        <v>6420</v>
      </c>
      <c r="H30" s="380" t="str">
        <f>IFERROR(__xludf.DUMMYFUNCTION("GOOGLETRANSLATE(D30,""zh-tw"",""ja"")"),"-")</f>
        <v>-</v>
      </c>
      <c r="I30" s="197" t="s">
        <v>6423</v>
      </c>
      <c r="J30" s="198" t="s">
        <v>6424</v>
      </c>
      <c r="K30" s="198" t="s">
        <v>6420</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6420</v>
      </c>
      <c r="P30" s="379"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6420</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6420</v>
      </c>
      <c r="X30" s="380" t="str">
        <f>IFERROR(__xludf.DUMMYFUNCTION("GOOGLETRANSLATE(D30,""zh-tw"",""KO"")"),"-")</f>
        <v>-</v>
      </c>
      <c r="Y30" s="153" t="s">
        <v>6425</v>
      </c>
      <c r="Z30" s="155" t="s">
        <v>6426</v>
      </c>
      <c r="AA30" s="155" t="s">
        <v>6420</v>
      </c>
      <c r="AB30" s="379" t="s">
        <v>1240</v>
      </c>
      <c r="AC30" s="197" t="s">
        <v>6427</v>
      </c>
      <c r="AD30" s="198" t="s">
        <v>6428</v>
      </c>
      <c r="AE30" s="198" t="s">
        <v>6420</v>
      </c>
      <c r="AF30" s="385" t="s">
        <v>6228</v>
      </c>
      <c r="AG30" s="187" t="s">
        <v>6429</v>
      </c>
      <c r="AH30" s="381" t="s">
        <v>6430</v>
      </c>
      <c r="AI30" s="381" t="s">
        <v>6420</v>
      </c>
      <c r="AJ30" s="379" t="s">
        <v>1240</v>
      </c>
      <c r="AK30" s="197" t="s">
        <v>6431</v>
      </c>
      <c r="AL30" s="167" t="s">
        <v>6432</v>
      </c>
      <c r="AM30" s="198" t="s">
        <v>6420</v>
      </c>
      <c r="AN30" s="379" t="s">
        <v>1240</v>
      </c>
      <c r="AO30" s="382" t="s">
        <v>6433</v>
      </c>
      <c r="AP30" s="202" t="s">
        <v>6434</v>
      </c>
      <c r="AQ30" s="202" t="s">
        <v>6420</v>
      </c>
      <c r="AR30" s="383" t="s">
        <v>1240</v>
      </c>
      <c r="AS30" s="383"/>
      <c r="AT30" s="383"/>
    </row>
    <row r="31">
      <c r="A31" s="153" t="s">
        <v>6435</v>
      </c>
      <c r="B31" s="155" t="s">
        <v>6436</v>
      </c>
      <c r="C31" s="155" t="s">
        <v>6437</v>
      </c>
      <c r="D31" s="379" t="s">
        <v>1240</v>
      </c>
      <c r="E31" s="197" t="s">
        <v>6438</v>
      </c>
      <c r="F31" s="198" t="s">
        <v>6439</v>
      </c>
      <c r="G31" s="155" t="s">
        <v>6437</v>
      </c>
      <c r="H31" s="380" t="str">
        <f>IFERROR(__xludf.DUMMYFUNCTION("GOOGLETRANSLATE(D31,""zh-tw"",""ja"")"),"-")</f>
        <v>-</v>
      </c>
      <c r="I31" s="197" t="s">
        <v>6440</v>
      </c>
      <c r="J31" s="198" t="s">
        <v>6441</v>
      </c>
      <c r="K31" s="198" t="s">
        <v>6437</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6437</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6437</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6437</v>
      </c>
      <c r="X31" s="380" t="str">
        <f>IFERROR(__xludf.DUMMYFUNCTION("GOOGLETRANSLATE(D31,""zh-tw"",""KO"")"),"-")</f>
        <v>-</v>
      </c>
      <c r="Y31" s="153" t="s">
        <v>6442</v>
      </c>
      <c r="Z31" s="155" t="s">
        <v>6443</v>
      </c>
      <c r="AA31" s="155" t="s">
        <v>6437</v>
      </c>
      <c r="AB31" s="379" t="s">
        <v>1240</v>
      </c>
      <c r="AC31" s="197" t="s">
        <v>6444</v>
      </c>
      <c r="AD31" s="198" t="s">
        <v>6445</v>
      </c>
      <c r="AE31" s="198" t="s">
        <v>6437</v>
      </c>
      <c r="AF31" s="385" t="s">
        <v>6228</v>
      </c>
      <c r="AG31" s="187" t="s">
        <v>6446</v>
      </c>
      <c r="AH31" s="381" t="s">
        <v>6447</v>
      </c>
      <c r="AI31" s="381" t="s">
        <v>6437</v>
      </c>
      <c r="AJ31" s="379" t="s">
        <v>1240</v>
      </c>
      <c r="AK31" s="197" t="s">
        <v>6448</v>
      </c>
      <c r="AL31" s="167" t="s">
        <v>6449</v>
      </c>
      <c r="AM31" s="198" t="s">
        <v>6437</v>
      </c>
      <c r="AN31" s="379" t="s">
        <v>1240</v>
      </c>
      <c r="AO31" s="382" t="s">
        <v>6450</v>
      </c>
      <c r="AP31" s="202" t="s">
        <v>6451</v>
      </c>
      <c r="AQ31" s="202" t="s">
        <v>6437</v>
      </c>
      <c r="AR31" s="383" t="s">
        <v>1240</v>
      </c>
      <c r="AS31" s="383"/>
      <c r="AT31" s="383"/>
    </row>
    <row r="32">
      <c r="A32" s="153" t="s">
        <v>6452</v>
      </c>
      <c r="B32" s="155" t="s">
        <v>6453</v>
      </c>
      <c r="C32" s="155" t="s">
        <v>6454</v>
      </c>
      <c r="D32" s="379" t="s">
        <v>1240</v>
      </c>
      <c r="E32" s="153" t="str">
        <f>IFERROR(__xludf.DUMMYFUNCTION("GOOGLETRANSLATE(A32,""zh-tw"",""ja"")"),"怨霊")</f>
        <v>怨霊</v>
      </c>
      <c r="F32" s="155" t="s">
        <v>6455</v>
      </c>
      <c r="G32" s="155" t="s">
        <v>6454</v>
      </c>
      <c r="H32" s="380" t="str">
        <f>IFERROR(__xludf.DUMMYFUNCTION("GOOGLETRANSLATE(D32,""zh-tw"",""ja"")"),"-")</f>
        <v>-</v>
      </c>
      <c r="I32" s="165" t="s">
        <v>6456</v>
      </c>
      <c r="J32" s="198" t="s">
        <v>6457</v>
      </c>
      <c r="K32" s="198" t="s">
        <v>6454</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6454</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6454</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6454</v>
      </c>
      <c r="X32" s="380" t="str">
        <f>IFERROR(__xludf.DUMMYFUNCTION("GOOGLETRANSLATE(D32,""zh-tw"",""KO"")"),"-")</f>
        <v>-</v>
      </c>
      <c r="Y32" s="153" t="s">
        <v>6458</v>
      </c>
      <c r="Z32" s="155" t="s">
        <v>6459</v>
      </c>
      <c r="AA32" s="155" t="s">
        <v>6454</v>
      </c>
      <c r="AB32" s="379" t="s">
        <v>1240</v>
      </c>
      <c r="AC32" s="197" t="s">
        <v>6460</v>
      </c>
      <c r="AD32" s="198" t="s">
        <v>6461</v>
      </c>
      <c r="AE32" s="198" t="s">
        <v>6454</v>
      </c>
      <c r="AF32" s="385" t="s">
        <v>6228</v>
      </c>
      <c r="AG32" s="187" t="s">
        <v>6462</v>
      </c>
      <c r="AH32" s="381" t="s">
        <v>6463</v>
      </c>
      <c r="AI32" s="381" t="s">
        <v>6454</v>
      </c>
      <c r="AJ32" s="379" t="s">
        <v>1240</v>
      </c>
      <c r="AK32" s="197" t="s">
        <v>6464</v>
      </c>
      <c r="AL32" s="167" t="s">
        <v>6465</v>
      </c>
      <c r="AM32" s="198" t="s">
        <v>6454</v>
      </c>
      <c r="AN32" s="379" t="s">
        <v>1240</v>
      </c>
      <c r="AO32" s="382" t="s">
        <v>6466</v>
      </c>
      <c r="AP32" s="202" t="s">
        <v>6467</v>
      </c>
      <c r="AQ32" s="202" t="s">
        <v>6454</v>
      </c>
      <c r="AR32" s="383" t="s">
        <v>1240</v>
      </c>
      <c r="AS32" s="383"/>
      <c r="AT32" s="383"/>
    </row>
    <row r="33">
      <c r="A33" s="153" t="s">
        <v>6468</v>
      </c>
      <c r="B33" s="155" t="s">
        <v>6469</v>
      </c>
      <c r="C33" s="155" t="s">
        <v>6470</v>
      </c>
      <c r="D33" s="379" t="s">
        <v>1240</v>
      </c>
      <c r="E33" s="197" t="str">
        <f>IFERROR(__xludf.DUMMYFUNCTION("GOOGLETRANSLATE(A33,""zh-tw"",""ja"")"),"ゾンビ")</f>
        <v>ゾンビ</v>
      </c>
      <c r="F33" s="198" t="s">
        <v>6471</v>
      </c>
      <c r="G33" s="155" t="s">
        <v>6470</v>
      </c>
      <c r="H33" s="380" t="str">
        <f>IFERROR(__xludf.DUMMYFUNCTION("GOOGLETRANSLATE(D33,""zh-tw"",""ja"")"),"-")</f>
        <v>-</v>
      </c>
      <c r="I33" s="197" t="s">
        <v>6472</v>
      </c>
      <c r="J33" s="198" t="s">
        <v>6473</v>
      </c>
      <c r="K33" s="198" t="s">
        <v>6470</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6470</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6470</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6470</v>
      </c>
      <c r="X33" s="380" t="str">
        <f>IFERROR(__xludf.DUMMYFUNCTION("GOOGLETRANSLATE(D33,""zh-tw"",""KO"")"),"-")</f>
        <v>-</v>
      </c>
      <c r="Y33" s="153" t="s">
        <v>6474</v>
      </c>
      <c r="Z33" s="155" t="s">
        <v>6475</v>
      </c>
      <c r="AA33" s="155" t="s">
        <v>6470</v>
      </c>
      <c r="AB33" s="379" t="s">
        <v>1240</v>
      </c>
      <c r="AC33" s="197" t="s">
        <v>6476</v>
      </c>
      <c r="AD33" s="198" t="s">
        <v>6477</v>
      </c>
      <c r="AE33" s="198" t="s">
        <v>6470</v>
      </c>
      <c r="AF33" s="385" t="s">
        <v>6228</v>
      </c>
      <c r="AG33" s="187" t="s">
        <v>6472</v>
      </c>
      <c r="AH33" s="381" t="s">
        <v>6478</v>
      </c>
      <c r="AI33" s="381" t="s">
        <v>6470</v>
      </c>
      <c r="AJ33" s="379" t="s">
        <v>1240</v>
      </c>
      <c r="AK33" s="197" t="s">
        <v>6479</v>
      </c>
      <c r="AL33" s="167" t="s">
        <v>6480</v>
      </c>
      <c r="AM33" s="198" t="s">
        <v>6470</v>
      </c>
      <c r="AN33" s="379" t="s">
        <v>1240</v>
      </c>
      <c r="AO33" s="382" t="s">
        <v>6472</v>
      </c>
      <c r="AP33" s="202" t="s">
        <v>6481</v>
      </c>
      <c r="AQ33" s="202" t="s">
        <v>6470</v>
      </c>
      <c r="AR33" s="383" t="s">
        <v>1240</v>
      </c>
      <c r="AS33" s="383"/>
      <c r="AT33" s="383"/>
    </row>
    <row r="34">
      <c r="A34" s="153" t="s">
        <v>6482</v>
      </c>
      <c r="B34" s="155" t="s">
        <v>6483</v>
      </c>
      <c r="C34" s="155" t="s">
        <v>6484</v>
      </c>
      <c r="D34" s="379" t="s">
        <v>6485</v>
      </c>
      <c r="E34" s="197" t="s">
        <v>6486</v>
      </c>
      <c r="F34" s="198" t="str">
        <f>IFERROR(__xludf.DUMMYFUNCTION("GOOGLETRANSLATE(B34,""zh-tw"",""ja"")"),"怒りの拳
シェリスの呪われた手
カーネリアンのペンダント *")</f>
        <v>怒りの拳
シェリスの呪われた手
カーネリアンのペンダント *</v>
      </c>
      <c r="G34" s="155" t="s">
        <v>6484</v>
      </c>
      <c r="H34" s="38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6487</v>
      </c>
      <c r="J34" s="198" t="s">
        <v>6488</v>
      </c>
      <c r="K34" s="198" t="s">
        <v>6484</v>
      </c>
      <c r="L34" s="379" t="s">
        <v>6489</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6484</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6484</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6484</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6490</v>
      </c>
      <c r="Z34" s="155" t="s">
        <v>6491</v>
      </c>
      <c r="AA34" s="155" t="s">
        <v>6484</v>
      </c>
      <c r="AB34" s="379" t="s">
        <v>6492</v>
      </c>
      <c r="AC34" s="197" t="s">
        <v>6493</v>
      </c>
      <c r="AD34" s="198" t="s">
        <v>6494</v>
      </c>
      <c r="AE34" s="198" t="s">
        <v>6484</v>
      </c>
      <c r="AF34" s="379" t="s">
        <v>1240</v>
      </c>
      <c r="AG34" s="187" t="s">
        <v>6495</v>
      </c>
      <c r="AH34" s="381" t="s">
        <v>6496</v>
      </c>
      <c r="AI34" s="381" t="s">
        <v>6484</v>
      </c>
      <c r="AJ34" s="379" t="s">
        <v>6497</v>
      </c>
      <c r="AK34" s="197" t="s">
        <v>6498</v>
      </c>
      <c r="AL34" s="198" t="s">
        <v>6499</v>
      </c>
      <c r="AM34" s="198" t="s">
        <v>6484</v>
      </c>
      <c r="AN34" s="379" t="s">
        <v>6500</v>
      </c>
      <c r="AO34" s="382" t="s">
        <v>6501</v>
      </c>
      <c r="AP34" s="202" t="s">
        <v>6502</v>
      </c>
      <c r="AQ34" s="202" t="s">
        <v>6484</v>
      </c>
      <c r="AR34" s="383" t="s">
        <v>6503</v>
      </c>
      <c r="AS34" s="383"/>
      <c r="AT34" s="383"/>
    </row>
    <row r="35">
      <c r="A35" s="375" t="s">
        <v>6504</v>
      </c>
      <c r="E35" s="376" t="str">
        <f>IFERROR(__xludf.DUMMYFUNCTION("GOOGLETRANSLATE(A35,""zh-tw"",""ja"")"),"ボス/特殊クリーチャー")</f>
        <v>ボス/特殊クリーチャー</v>
      </c>
      <c r="I35" s="376" t="s">
        <v>6505</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6506</v>
      </c>
      <c r="AC35" s="376" t="str">
        <f>IFERROR(__xludf.DUMMYFUNCTION("GOOGLETRANSLATE(A34,""zh-tw"",""DE"")"),"Die abgetrennte Hand des gefallenen Magiers")</f>
        <v>Die abgetrennte Hand des gefallenen Magiers</v>
      </c>
      <c r="AG35" s="378" t="s">
        <v>6507</v>
      </c>
      <c r="AK35" s="376" t="s">
        <v>6505</v>
      </c>
      <c r="AO35" s="387" t="s">
        <v>6508</v>
      </c>
      <c r="AS35" s="387"/>
      <c r="AT35" s="387"/>
    </row>
    <row r="36">
      <c r="A36" s="153" t="s">
        <v>6509</v>
      </c>
      <c r="B36" s="155" t="s">
        <v>6510</v>
      </c>
      <c r="C36" s="155" t="s">
        <v>6511</v>
      </c>
      <c r="D36" s="379" t="s">
        <v>6512</v>
      </c>
      <c r="E36" s="165" t="s">
        <v>6513</v>
      </c>
      <c r="F36" s="198" t="s">
        <v>6514</v>
      </c>
      <c r="G36" s="155" t="s">
        <v>6511</v>
      </c>
      <c r="H36" s="380" t="s">
        <v>6515</v>
      </c>
      <c r="I36" s="197" t="s">
        <v>6516</v>
      </c>
      <c r="J36" s="198" t="s">
        <v>6517</v>
      </c>
      <c r="K36" s="198" t="s">
        <v>6511</v>
      </c>
      <c r="L36" s="379" t="s">
        <v>6518</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6511</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6511</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6519</v>
      </c>
      <c r="W36" s="155" t="s">
        <v>6511</v>
      </c>
      <c r="X36" s="380" t="s">
        <v>6520</v>
      </c>
      <c r="Y36" s="153" t="s">
        <v>6521</v>
      </c>
      <c r="Z36" s="155" t="s">
        <v>6522</v>
      </c>
      <c r="AA36" s="155" t="s">
        <v>6511</v>
      </c>
      <c r="AB36" s="379" t="s">
        <v>6523</v>
      </c>
      <c r="AC36" s="197" t="s">
        <v>6524</v>
      </c>
      <c r="AD36" s="198" t="s">
        <v>6525</v>
      </c>
      <c r="AE36" s="198" t="s">
        <v>6511</v>
      </c>
      <c r="AF36" s="379" t="s">
        <v>6526</v>
      </c>
      <c r="AG36" s="187" t="s">
        <v>6527</v>
      </c>
      <c r="AH36" s="381" t="s">
        <v>6528</v>
      </c>
      <c r="AI36" s="381" t="s">
        <v>6511</v>
      </c>
      <c r="AJ36" s="379" t="s">
        <v>6529</v>
      </c>
      <c r="AK36" s="197" t="s">
        <v>6530</v>
      </c>
      <c r="AL36" s="167" t="s">
        <v>6531</v>
      </c>
      <c r="AM36" s="198" t="s">
        <v>6511</v>
      </c>
      <c r="AN36" s="379" t="s">
        <v>6532</v>
      </c>
      <c r="AO36" s="382" t="s">
        <v>6533</v>
      </c>
      <c r="AP36" s="202" t="s">
        <v>6534</v>
      </c>
      <c r="AQ36" s="202" t="s">
        <v>6511</v>
      </c>
      <c r="AR36" s="383" t="s">
        <v>6535</v>
      </c>
      <c r="AS36" s="383"/>
      <c r="AT36" s="383"/>
    </row>
    <row r="37">
      <c r="A37" s="153" t="s">
        <v>6536</v>
      </c>
      <c r="B37" s="155" t="s">
        <v>6537</v>
      </c>
      <c r="C37" s="155" t="s">
        <v>6538</v>
      </c>
      <c r="D37" s="380" t="s">
        <v>6539</v>
      </c>
      <c r="E37" s="153" t="s">
        <v>6540</v>
      </c>
      <c r="F37" s="198"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5" t="s">
        <v>6538</v>
      </c>
      <c r="H37" s="380" t="s">
        <v>6539</v>
      </c>
      <c r="I37" s="197" t="s">
        <v>6541</v>
      </c>
      <c r="J37" s="198" t="s">
        <v>6542</v>
      </c>
      <c r="K37" s="198" t="s">
        <v>6538</v>
      </c>
      <c r="L37" s="379" t="s">
        <v>6539</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6538</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6538</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6538</v>
      </c>
      <c r="X37" s="380" t="s">
        <v>6539</v>
      </c>
      <c r="Y37" s="153" t="s">
        <v>6543</v>
      </c>
      <c r="Z37" s="155" t="s">
        <v>6544</v>
      </c>
      <c r="AA37" s="155" t="s">
        <v>6538</v>
      </c>
      <c r="AB37" s="379" t="s">
        <v>6545</v>
      </c>
      <c r="AC37" s="197" t="s">
        <v>6546</v>
      </c>
      <c r="AD37" s="198" t="s">
        <v>6547</v>
      </c>
      <c r="AE37" s="198" t="s">
        <v>6538</v>
      </c>
      <c r="AF37" s="379" t="s">
        <v>6548</v>
      </c>
      <c r="AG37" s="187" t="s">
        <v>6549</v>
      </c>
      <c r="AH37" s="381" t="s">
        <v>6550</v>
      </c>
      <c r="AI37" s="381" t="s">
        <v>6538</v>
      </c>
      <c r="AJ37" s="379" t="s">
        <v>6539</v>
      </c>
      <c r="AK37" s="197" t="s">
        <v>6551</v>
      </c>
      <c r="AL37" s="198" t="s">
        <v>6552</v>
      </c>
      <c r="AM37" s="198" t="s">
        <v>6538</v>
      </c>
      <c r="AN37" s="379" t="s">
        <v>6553</v>
      </c>
      <c r="AO37" s="382" t="s">
        <v>6554</v>
      </c>
      <c r="AP37" s="202" t="s">
        <v>6555</v>
      </c>
      <c r="AQ37" s="202" t="s">
        <v>6538</v>
      </c>
      <c r="AR37" s="383" t="s">
        <v>6556</v>
      </c>
      <c r="AS37" s="383"/>
      <c r="AT37" s="383"/>
    </row>
    <row r="38">
      <c r="A38" s="153" t="s">
        <v>3431</v>
      </c>
      <c r="B38" s="155" t="s">
        <v>6557</v>
      </c>
      <c r="C38" s="155">
        <v>100.0</v>
      </c>
      <c r="D38" s="379" t="s">
        <v>6558</v>
      </c>
      <c r="E38" s="153" t="str">
        <f>IFERROR(__xludf.DUMMYFUNCTION("GOOGLETRANSLATE(A38,""zh-tw"",""ja"")"),"かかし")</f>
        <v>かかし</v>
      </c>
      <c r="F38" s="155" t="s">
        <v>6559</v>
      </c>
      <c r="G38" s="155">
        <v>100.0</v>
      </c>
      <c r="H38" s="380" t="s">
        <v>6560</v>
      </c>
      <c r="I38" s="153" t="s">
        <v>3437</v>
      </c>
      <c r="J38" s="198" t="s">
        <v>6561</v>
      </c>
      <c r="K38" s="198">
        <v>100.0</v>
      </c>
      <c r="L38" s="379" t="s">
        <v>6562</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6563</v>
      </c>
      <c r="W38" s="155">
        <v>100.0</v>
      </c>
      <c r="X38" s="380" t="s">
        <v>6564</v>
      </c>
      <c r="Y38" s="153" t="s">
        <v>3443</v>
      </c>
      <c r="Z38" s="155" t="s">
        <v>6565</v>
      </c>
      <c r="AA38" s="155">
        <v>100.0</v>
      </c>
      <c r="AB38" s="379" t="s">
        <v>6566</v>
      </c>
      <c r="AC38" s="197" t="s">
        <v>3446</v>
      </c>
      <c r="AD38" s="198" t="s">
        <v>6567</v>
      </c>
      <c r="AE38" s="198">
        <v>100.0</v>
      </c>
      <c r="AF38" s="379" t="s">
        <v>6568</v>
      </c>
      <c r="AG38" s="187" t="s">
        <v>3449</v>
      </c>
      <c r="AH38" s="381" t="s">
        <v>6569</v>
      </c>
      <c r="AI38" s="381">
        <v>100.0</v>
      </c>
      <c r="AJ38" s="379" t="s">
        <v>6570</v>
      </c>
      <c r="AK38" s="197" t="s">
        <v>3452</v>
      </c>
      <c r="AL38" s="198" t="s">
        <v>6571</v>
      </c>
      <c r="AM38" s="198">
        <v>100.0</v>
      </c>
      <c r="AN38" s="379" t="s">
        <v>6572</v>
      </c>
      <c r="AO38" s="382" t="s">
        <v>3455</v>
      </c>
      <c r="AP38" s="202" t="s">
        <v>6573</v>
      </c>
      <c r="AQ38" s="202" t="s">
        <v>6256</v>
      </c>
      <c r="AR38" s="383" t="s">
        <v>6574</v>
      </c>
      <c r="AS38" s="383"/>
      <c r="AT38" s="383"/>
    </row>
    <row r="39">
      <c r="A39" s="153" t="s">
        <v>6575</v>
      </c>
      <c r="B39" s="155" t="s">
        <v>6576</v>
      </c>
      <c r="C39" s="155">
        <v>100.0</v>
      </c>
      <c r="D39" s="379" t="s">
        <v>6577</v>
      </c>
      <c r="E39" s="153" t="s">
        <v>6575</v>
      </c>
      <c r="F39" s="155" t="s">
        <v>6578</v>
      </c>
      <c r="G39" s="155">
        <v>100.0</v>
      </c>
      <c r="H39" s="380" t="s">
        <v>6579</v>
      </c>
      <c r="I39" s="153" t="s">
        <v>6575</v>
      </c>
      <c r="J39" s="198" t="s">
        <v>6580</v>
      </c>
      <c r="K39" s="198">
        <v>100.0</v>
      </c>
      <c r="L39" s="379" t="s">
        <v>6581</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IFERROR(__xludf.DUMMYFUNCTION("GOOGLETRANSLATE(D39,""zh-tw"",""KO"")"),"아사바 도로는 길가에 있는 딸기를 먹을 것이다.")</f>
        <v>아사바 도로는 길가에 있는 딸기를 먹을 것이다.</v>
      </c>
      <c r="Y39" s="153" t="s">
        <v>6582</v>
      </c>
      <c r="Z39" s="155" t="s">
        <v>6583</v>
      </c>
      <c r="AA39" s="155">
        <v>100.0</v>
      </c>
      <c r="AB39" s="379" t="s">
        <v>6584</v>
      </c>
      <c r="AC39" s="197" t="s">
        <v>6575</v>
      </c>
      <c r="AD39" s="198" t="s">
        <v>6585</v>
      </c>
      <c r="AE39" s="198">
        <v>100.0</v>
      </c>
      <c r="AF39" s="379" t="s">
        <v>6586</v>
      </c>
      <c r="AG39" s="187" t="s">
        <v>6587</v>
      </c>
      <c r="AH39" s="381" t="s">
        <v>6588</v>
      </c>
      <c r="AI39" s="381">
        <v>100.0</v>
      </c>
      <c r="AJ39" s="379" t="s">
        <v>6589</v>
      </c>
      <c r="AK39" s="197" t="s">
        <v>6575</v>
      </c>
      <c r="AL39" s="198" t="s">
        <v>6590</v>
      </c>
      <c r="AM39" s="198">
        <v>100.0</v>
      </c>
      <c r="AN39" s="379" t="s">
        <v>6591</v>
      </c>
      <c r="AO39" s="382" t="s">
        <v>6575</v>
      </c>
      <c r="AP39" s="202" t="s">
        <v>6592</v>
      </c>
      <c r="AQ39" s="202" t="s">
        <v>6256</v>
      </c>
      <c r="AR39" s="383" t="s">
        <v>6593</v>
      </c>
      <c r="AS39" s="383"/>
      <c r="AT39" s="383"/>
    </row>
    <row r="40">
      <c r="A40" s="153" t="s">
        <v>6594</v>
      </c>
      <c r="B40" s="155" t="s">
        <v>6595</v>
      </c>
      <c r="C40" s="155" t="s">
        <v>6596</v>
      </c>
      <c r="D40" s="380" t="s">
        <v>6597</v>
      </c>
      <c r="E40" s="153" t="s">
        <v>6598</v>
      </c>
      <c r="F40" s="198" t="s">
        <v>6599</v>
      </c>
      <c r="G40" s="155" t="s">
        <v>6596</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6600</v>
      </c>
      <c r="J40" s="198" t="s">
        <v>6601</v>
      </c>
      <c r="K40" s="198" t="s">
        <v>6596</v>
      </c>
      <c r="L40" s="379" t="s">
        <v>6602</v>
      </c>
      <c r="M40" s="197" t="str">
        <f>IFERROR(__xludf.DUMMYFUNCTION("GOOGLETRANSLATE(A40,""zh-tw"",""zh"")"),"狂暴的ASABA")</f>
        <v>狂暴的ASABA</v>
      </c>
      <c r="N40" s="198" t="str">
        <f>IFERROR(__xludf.DUMMYFUNCTION("GOOGLETRANSLATE(B40,""zh-tw"",""zh"")"),"ASAB的草莓
把草莓夺回来！ ! *")</f>
        <v>ASAB的草莓
把草莓夺回来！ ! *</v>
      </c>
      <c r="O40" s="198" t="s">
        <v>6596</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6596</v>
      </c>
      <c r="T40" s="37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6596</v>
      </c>
      <c r="X40" s="380" t="s">
        <v>6539</v>
      </c>
      <c r="Y40" s="153" t="s">
        <v>6603</v>
      </c>
      <c r="Z40" s="155" t="s">
        <v>6604</v>
      </c>
      <c r="AA40" s="155" t="s">
        <v>6596</v>
      </c>
      <c r="AB40" s="379" t="s">
        <v>6545</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6596</v>
      </c>
      <c r="AF40" s="379" t="s">
        <v>6539</v>
      </c>
      <c r="AG40" s="187" t="s">
        <v>6587</v>
      </c>
      <c r="AH40" s="381" t="s">
        <v>6605</v>
      </c>
      <c r="AI40" s="381" t="s">
        <v>6596</v>
      </c>
      <c r="AJ40" s="379" t="s">
        <v>6539</v>
      </c>
      <c r="AK40" s="197" t="s">
        <v>6606</v>
      </c>
      <c r="AL40" s="198" t="s">
        <v>6607</v>
      </c>
      <c r="AM40" s="198" t="s">
        <v>6596</v>
      </c>
      <c r="AN40" s="379" t="s">
        <v>6608</v>
      </c>
      <c r="AO40" s="382" t="s">
        <v>6609</v>
      </c>
      <c r="AP40" s="202" t="s">
        <v>6610</v>
      </c>
      <c r="AQ40" s="202" t="s">
        <v>6611</v>
      </c>
      <c r="AR40" s="383" t="s">
        <v>6612</v>
      </c>
      <c r="AS40" s="383"/>
      <c r="AT40" s="383"/>
    </row>
    <row r="41">
      <c r="A41" s="153" t="s">
        <v>6613</v>
      </c>
      <c r="B41" s="155" t="s">
        <v>6614</v>
      </c>
      <c r="C41" s="155">
        <v>100.0</v>
      </c>
      <c r="D41" s="380" t="s">
        <v>6615</v>
      </c>
      <c r="E41" s="153" t="str">
        <f>IFERROR(__xludf.DUMMYFUNCTION("GOOGLETRANSLATE(A41,""zh-tw"",""ja"")"),"浅羽")</f>
        <v>浅羽</v>
      </c>
      <c r="F41" s="198" t="s">
        <v>6616</v>
      </c>
      <c r="G41" s="155">
        <v>100.0</v>
      </c>
      <c r="H41" s="38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6617</v>
      </c>
      <c r="J41" s="198" t="s">
        <v>6618</v>
      </c>
      <c r="K41" s="198">
        <v>100.0</v>
      </c>
      <c r="L41" s="379" t="s">
        <v>6619</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6620</v>
      </c>
      <c r="W41" s="155">
        <v>100.0</v>
      </c>
      <c r="X41" s="380" t="s">
        <v>6621</v>
      </c>
      <c r="Y41" s="153" t="s">
        <v>6622</v>
      </c>
      <c r="Z41" s="155" t="s">
        <v>6623</v>
      </c>
      <c r="AA41" s="155">
        <v>100.0</v>
      </c>
      <c r="AB41" s="379" t="s">
        <v>6624</v>
      </c>
      <c r="AC41" s="197" t="s">
        <v>6617</v>
      </c>
      <c r="AD41" s="198" t="s">
        <v>6625</v>
      </c>
      <c r="AE41" s="198">
        <v>100.0</v>
      </c>
      <c r="AF41" s="379" t="s">
        <v>6626</v>
      </c>
      <c r="AG41" s="187" t="s">
        <v>6617</v>
      </c>
      <c r="AH41" s="381" t="s">
        <v>6627</v>
      </c>
      <c r="AI41" s="381">
        <v>100.0</v>
      </c>
      <c r="AJ41" s="379" t="s">
        <v>6628</v>
      </c>
      <c r="AK41" s="197" t="s">
        <v>6617</v>
      </c>
      <c r="AL41" s="198" t="s">
        <v>6629</v>
      </c>
      <c r="AM41" s="198">
        <v>100.0</v>
      </c>
      <c r="AN41" s="385" t="s">
        <v>6630</v>
      </c>
      <c r="AO41" s="382" t="s">
        <v>6617</v>
      </c>
      <c r="AP41" s="202" t="s">
        <v>6618</v>
      </c>
      <c r="AQ41" s="202" t="s">
        <v>6256</v>
      </c>
      <c r="AR41" s="383" t="s">
        <v>6631</v>
      </c>
      <c r="AS41" s="383"/>
      <c r="AT41" s="383"/>
    </row>
    <row r="42">
      <c r="A42" s="153" t="s">
        <v>6632</v>
      </c>
      <c r="B42" s="155" t="s">
        <v>6633</v>
      </c>
      <c r="C42" s="155" t="s">
        <v>6634</v>
      </c>
      <c r="D42" s="380" t="s">
        <v>6635</v>
      </c>
      <c r="E42" s="153" t="s">
        <v>6636</v>
      </c>
      <c r="F42" s="198" t="s">
        <v>6637</v>
      </c>
      <c r="G42" s="155" t="s">
        <v>6634</v>
      </c>
      <c r="H42" s="38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7" t="s">
        <v>6638</v>
      </c>
      <c r="J42" s="198" t="s">
        <v>6639</v>
      </c>
      <c r="K42" s="198" t="s">
        <v>6634</v>
      </c>
      <c r="L42" s="379" t="s">
        <v>6640</v>
      </c>
      <c r="M42" s="197" t="str">
        <f>IFERROR(__xludf.DUMMYFUNCTION("GOOGLETRANSLATE(A42,""zh-tw"",""zh"")"),"应该已经灭绝的河之主!?")</f>
        <v>应该已经灭绝的河之主!?</v>
      </c>
      <c r="N42" s="198" t="str">
        <f>IFERROR(__xludf.DUMMYFUNCTION("GOOGLETRANSLATE(B42,""zh-tw"",""zh"")"),"◉▽◉(粉色)
王权之令")</f>
        <v>◉▽◉(粉色)
王权之令</v>
      </c>
      <c r="O42" s="198" t="s">
        <v>6634</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6634</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6634</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6641</v>
      </c>
      <c r="Z42" s="155" t="s">
        <v>6642</v>
      </c>
      <c r="AA42" s="155" t="s">
        <v>6634</v>
      </c>
      <c r="AB42" s="379" t="s">
        <v>6643</v>
      </c>
      <c r="AC42" s="197" t="s">
        <v>6644</v>
      </c>
      <c r="AD42" s="198" t="s">
        <v>6645</v>
      </c>
      <c r="AE42" s="198" t="s">
        <v>6634</v>
      </c>
      <c r="AF42" s="379" t="s">
        <v>6646</v>
      </c>
      <c r="AG42" s="187" t="s">
        <v>6647</v>
      </c>
      <c r="AH42" s="381" t="s">
        <v>6648</v>
      </c>
      <c r="AI42" s="381" t="s">
        <v>6634</v>
      </c>
      <c r="AJ42" s="379" t="s">
        <v>6649</v>
      </c>
      <c r="AK42" s="165" t="s">
        <v>6650</v>
      </c>
      <c r="AL42" s="198" t="s">
        <v>6651</v>
      </c>
      <c r="AM42" s="198" t="s">
        <v>6634</v>
      </c>
      <c r="AN42" s="379" t="s">
        <v>6652</v>
      </c>
      <c r="AO42" s="382" t="s">
        <v>6653</v>
      </c>
      <c r="AP42" s="202" t="s">
        <v>6654</v>
      </c>
      <c r="AQ42" s="202" t="s">
        <v>6655</v>
      </c>
      <c r="AR42" s="383" t="s">
        <v>6656</v>
      </c>
      <c r="AS42" s="383"/>
      <c r="AT42" s="383"/>
    </row>
    <row r="43" ht="80.25" customHeight="1">
      <c r="A43" s="391" t="s">
        <v>5754</v>
      </c>
      <c r="B43" s="391" t="s">
        <v>6657</v>
      </c>
      <c r="C43" s="391" t="s">
        <v>6658</v>
      </c>
      <c r="D43" s="391" t="s">
        <v>6659</v>
      </c>
      <c r="E43" s="153"/>
      <c r="F43" s="198"/>
      <c r="G43" s="155"/>
      <c r="H43" s="380"/>
      <c r="I43" s="165" t="s">
        <v>6660</v>
      </c>
      <c r="J43" s="167" t="s">
        <v>6661</v>
      </c>
      <c r="K43" s="167" t="s">
        <v>6662</v>
      </c>
      <c r="L43" s="385" t="s">
        <v>6663</v>
      </c>
      <c r="M43" s="165" t="s">
        <v>5754</v>
      </c>
      <c r="N43" s="167" t="s">
        <v>6664</v>
      </c>
      <c r="O43" s="167" t="s">
        <v>6658</v>
      </c>
      <c r="P43" s="385" t="s">
        <v>6665</v>
      </c>
      <c r="Q43" s="197"/>
      <c r="R43" s="198"/>
      <c r="S43" s="198"/>
      <c r="T43" s="379"/>
      <c r="U43" s="197"/>
      <c r="V43" s="155"/>
      <c r="W43" s="155"/>
      <c r="X43" s="380"/>
      <c r="Y43" s="165" t="s">
        <v>6666</v>
      </c>
      <c r="Z43" s="167" t="s">
        <v>6667</v>
      </c>
      <c r="AA43" s="167" t="s">
        <v>6662</v>
      </c>
      <c r="AB43" s="385" t="s">
        <v>6668</v>
      </c>
      <c r="AC43" s="197"/>
      <c r="AD43" s="198"/>
      <c r="AE43" s="198"/>
      <c r="AF43" s="379"/>
      <c r="AG43" s="133" t="s">
        <v>6669</v>
      </c>
      <c r="AH43" s="49" t="s">
        <v>6670</v>
      </c>
      <c r="AI43" s="49" t="s">
        <v>6658</v>
      </c>
      <c r="AJ43" s="385" t="s">
        <v>6671</v>
      </c>
      <c r="AK43" s="165" t="s">
        <v>5773</v>
      </c>
      <c r="AL43" s="167" t="s">
        <v>6672</v>
      </c>
      <c r="AM43" s="167" t="s">
        <v>6658</v>
      </c>
      <c r="AN43" s="385" t="s">
        <v>6673</v>
      </c>
      <c r="AO43" s="382"/>
      <c r="AP43" s="202"/>
      <c r="AQ43" s="202"/>
      <c r="AR43" s="383"/>
      <c r="AS43" s="383"/>
      <c r="AT43" s="383"/>
    </row>
    <row r="44">
      <c r="A44" s="153" t="s">
        <v>6674</v>
      </c>
      <c r="B44" s="391" t="s">
        <v>6675</v>
      </c>
      <c r="C44" s="391" t="s">
        <v>6676</v>
      </c>
      <c r="D44" s="385" t="s">
        <v>6677</v>
      </c>
      <c r="E44" s="153" t="s">
        <v>6678</v>
      </c>
      <c r="F44" s="198" t="s">
        <v>6679</v>
      </c>
      <c r="G44" s="155" t="s">
        <v>5995</v>
      </c>
      <c r="H44" s="380" t="s">
        <v>6680</v>
      </c>
      <c r="I44" s="197" t="s">
        <v>6681</v>
      </c>
      <c r="J44" s="167" t="s">
        <v>6682</v>
      </c>
      <c r="K44" s="167" t="s">
        <v>6683</v>
      </c>
      <c r="L44" s="379" t="s">
        <v>6684</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6685</v>
      </c>
      <c r="Z44" s="167" t="s">
        <v>6686</v>
      </c>
      <c r="AA44" s="167" t="s">
        <v>6676</v>
      </c>
      <c r="AB44" s="385" t="s">
        <v>6687</v>
      </c>
      <c r="AC44" s="197" t="s">
        <v>6688</v>
      </c>
      <c r="AD44" s="198" t="s">
        <v>6689</v>
      </c>
      <c r="AE44" s="198" t="s">
        <v>5995</v>
      </c>
      <c r="AF44" s="379" t="s">
        <v>6690</v>
      </c>
      <c r="AG44" s="133" t="s">
        <v>6691</v>
      </c>
      <c r="AH44" s="49" t="s">
        <v>6692</v>
      </c>
      <c r="AI44" s="381" t="s">
        <v>5995</v>
      </c>
      <c r="AJ44" s="385" t="s">
        <v>6693</v>
      </c>
      <c r="AK44" s="165" t="s">
        <v>6694</v>
      </c>
      <c r="AL44" s="167" t="s">
        <v>6695</v>
      </c>
      <c r="AM44" s="167" t="s">
        <v>6696</v>
      </c>
      <c r="AN44" s="379" t="s">
        <v>6697</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6698</v>
      </c>
      <c r="B45" s="155" t="s">
        <v>1240</v>
      </c>
      <c r="C45" s="155" t="s">
        <v>1240</v>
      </c>
      <c r="D45" s="380" t="s">
        <v>6699</v>
      </c>
      <c r="E45" s="153" t="s">
        <v>6700</v>
      </c>
      <c r="F45" s="198" t="s">
        <v>1240</v>
      </c>
      <c r="G45" s="155" t="s">
        <v>1240</v>
      </c>
      <c r="H45" s="380" t="s">
        <v>6701</v>
      </c>
      <c r="I45" s="197" t="s">
        <v>6702</v>
      </c>
      <c r="J45" s="198" t="s">
        <v>1240</v>
      </c>
      <c r="K45" s="198" t="s">
        <v>1240</v>
      </c>
      <c r="L45" s="379" t="s">
        <v>6703</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6704</v>
      </c>
      <c r="Z45" s="155" t="s">
        <v>1240</v>
      </c>
      <c r="AA45" s="155" t="s">
        <v>1240</v>
      </c>
      <c r="AB45" s="379" t="s">
        <v>6705</v>
      </c>
      <c r="AC45" s="197" t="s">
        <v>6706</v>
      </c>
      <c r="AD45" s="198" t="s">
        <v>1240</v>
      </c>
      <c r="AE45" s="198" t="s">
        <v>1240</v>
      </c>
      <c r="AF45" s="379" t="s">
        <v>6707</v>
      </c>
      <c r="AG45" s="133" t="s">
        <v>6708</v>
      </c>
      <c r="AH45" s="381" t="s">
        <v>1240</v>
      </c>
      <c r="AI45" s="381" t="s">
        <v>1240</v>
      </c>
      <c r="AJ45" s="385" t="s">
        <v>6709</v>
      </c>
      <c r="AK45" s="165" t="s">
        <v>6710</v>
      </c>
      <c r="AL45" s="198" t="s">
        <v>1240</v>
      </c>
      <c r="AM45" s="198" t="s">
        <v>1240</v>
      </c>
      <c r="AN45" s="379" t="s">
        <v>6711</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6712</v>
      </c>
      <c r="E46" s="375" t="str">
        <f>IFERROR(__xludf.DUMMYFUNCTION("GOOGLETRANSLATE(A46,""zh-tw"",""ja"")"),"シーンオブジェクト")</f>
        <v>シーンオブジェクト</v>
      </c>
      <c r="I46" s="375" t="s">
        <v>6713</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6714</v>
      </c>
      <c r="AC46" s="376" t="str">
        <f>IFERROR(__xludf.DUMMYFUNCTION("GOOGLETRANSLATE(A42,""zh-tw"",""DE"")"),"Der Flussherr, der eigentlich schon ausgestorben sein sollte!?")</f>
        <v>Der Flussherr, der eigentlich schon ausgestorben sein sollte!?</v>
      </c>
      <c r="AG46" s="378" t="s">
        <v>6715</v>
      </c>
      <c r="AK46" s="376" t="s">
        <v>6713</v>
      </c>
      <c r="AO46" s="387" t="s">
        <v>6716</v>
      </c>
      <c r="AS46" s="387"/>
      <c r="AT46" s="387"/>
    </row>
    <row r="47">
      <c r="A47" s="153" t="s">
        <v>6717</v>
      </c>
      <c r="B47" s="155" t="s">
        <v>1240</v>
      </c>
      <c r="C47" s="155" t="s">
        <v>1240</v>
      </c>
      <c r="D47" s="380" t="s">
        <v>1240</v>
      </c>
      <c r="E47" s="153" t="str">
        <f>IFERROR(__xludf.DUMMYFUNCTION("GOOGLETRANSLATE(A47,""zh-tw"",""ja"")"),"道を塞ぐ巨大な岩")</f>
        <v>道を塞ぐ巨大な岩</v>
      </c>
      <c r="F47" s="155" t="s">
        <v>1240</v>
      </c>
      <c r="G47" s="155" t="s">
        <v>1240</v>
      </c>
      <c r="H47" s="380" t="str">
        <f>IFERROR(__xludf.DUMMYFUNCTION("GOOGLETRANSLATE(D47,""zh-tw"",""ja"")"),"-")</f>
        <v>-</v>
      </c>
      <c r="I47" s="153" t="s">
        <v>6718</v>
      </c>
      <c r="J47" s="198"/>
      <c r="K47" s="198" t="s">
        <v>1240</v>
      </c>
      <c r="L47" s="379"/>
      <c r="M47" s="197" t="str">
        <f>IFERROR(__xludf.DUMMYFUNCTION("GOOGLETRANSLATE(A47,""zh-tw"",""zh"")"),"堵路巨石")</f>
        <v>堵路巨石</v>
      </c>
      <c r="N47" s="198" t="str">
        <f>IFERROR(__xludf.DUMMYFUNCTION("GOOGLETRANSLATE(B47,""zh-tw"",""zh"")"),"-")</f>
        <v>-</v>
      </c>
      <c r="O47" s="198" t="s">
        <v>1240</v>
      </c>
      <c r="P47" s="379"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1240</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1240</v>
      </c>
      <c r="X47" s="380" t="str">
        <f>IFERROR(__xludf.DUMMYFUNCTION("GOOGLETRANSLATE(D47,""zh-tw"",""KO"")"),"-")</f>
        <v>-</v>
      </c>
      <c r="Y47" s="153" t="s">
        <v>6719</v>
      </c>
      <c r="Z47" s="155" t="s">
        <v>1240</v>
      </c>
      <c r="AA47" s="155" t="s">
        <v>1240</v>
      </c>
      <c r="AB47" s="379" t="s">
        <v>1240</v>
      </c>
      <c r="AC47" s="197" t="str">
        <f>IFERROR(__xludf.DUMMYFUNCTION("GOOGLETRANSLATE(A47,""zh-tw"",""DE"")"),"Riesige Felsen blockieren die Straße")</f>
        <v>Riesige Felsen blockieren die Straße</v>
      </c>
      <c r="AD47" s="155" t="str">
        <f>IFERROR(__xludf.DUMMYFUNCTION("GOOGLETRANSLATE(B47,""zh-tw"",""DE"")"),"-")</f>
        <v>-</v>
      </c>
      <c r="AE47" s="198" t="s">
        <v>1240</v>
      </c>
      <c r="AF47" s="379"/>
      <c r="AG47" s="133" t="s">
        <v>6720</v>
      </c>
      <c r="AH47" s="381"/>
      <c r="AI47" s="381" t="s">
        <v>1240</v>
      </c>
      <c r="AJ47" s="379" t="s">
        <v>1240</v>
      </c>
      <c r="AK47" s="197" t="s">
        <v>6721</v>
      </c>
      <c r="AL47" s="198" t="s">
        <v>1240</v>
      </c>
      <c r="AM47" s="198" t="s">
        <v>1240</v>
      </c>
      <c r="AN47" s="379" t="s">
        <v>1240</v>
      </c>
      <c r="AO47" s="382" t="s">
        <v>6722</v>
      </c>
      <c r="AP47" s="202" t="s">
        <v>1240</v>
      </c>
      <c r="AQ47" s="202" t="s">
        <v>1240</v>
      </c>
      <c r="AR47" s="386" t="s">
        <v>1240</v>
      </c>
      <c r="AS47" s="386"/>
      <c r="AT47" s="386"/>
    </row>
    <row r="48">
      <c r="A48" s="153" t="s">
        <v>6723</v>
      </c>
      <c r="B48" s="155" t="s">
        <v>6724</v>
      </c>
      <c r="C48" s="155">
        <v>100.0</v>
      </c>
      <c r="D48" s="380" t="s">
        <v>1240</v>
      </c>
      <c r="E48" s="153" t="s">
        <v>6725</v>
      </c>
      <c r="F48" s="155" t="str">
        <f>IFERROR(__xludf.DUMMYFUNCTION("GOOGLETRANSLATE(B48,""zh-tw"",""ja"")"),"騎士の剣")</f>
        <v>騎士の剣</v>
      </c>
      <c r="G48" s="155">
        <v>100.0</v>
      </c>
      <c r="H48" s="380" t="str">
        <f>IFERROR(__xludf.DUMMYFUNCTION("GOOGLETRANSLATE(D48,""zh-tw"",""ja"")"),"-")</f>
        <v>-</v>
      </c>
      <c r="I48" s="153" t="s">
        <v>6726</v>
      </c>
      <c r="J48" s="198" t="s">
        <v>6727</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9" t="str">
        <f>IFERROR(__xludf.DUMMYFUNCTION("GOOGLETRANSLATE(D48,""zh-tw"",""es-MX"")"),"-")</f>
        <v>-</v>
      </c>
      <c r="U48" s="153" t="s">
        <v>6728</v>
      </c>
      <c r="V48" s="155" t="s">
        <v>6729</v>
      </c>
      <c r="W48" s="155">
        <v>100.0</v>
      </c>
      <c r="X48" s="380" t="str">
        <f>IFERROR(__xludf.DUMMYFUNCTION("GOOGLETRANSLATE(D48,""zh-tw"",""KO"")"),"-")</f>
        <v>-</v>
      </c>
      <c r="Y48" s="153" t="s">
        <v>6730</v>
      </c>
      <c r="Z48" s="155" t="s">
        <v>6731</v>
      </c>
      <c r="AA48" s="155">
        <v>100.0</v>
      </c>
      <c r="AB48" s="379" t="s">
        <v>1240</v>
      </c>
      <c r="AC48" s="197" t="s">
        <v>6732</v>
      </c>
      <c r="AD48" s="198" t="s">
        <v>6733</v>
      </c>
      <c r="AE48" s="198">
        <v>100.0</v>
      </c>
      <c r="AF48" s="385" t="s">
        <v>6734</v>
      </c>
      <c r="AG48" s="187" t="s">
        <v>6735</v>
      </c>
      <c r="AH48" s="381" t="s">
        <v>6736</v>
      </c>
      <c r="AI48" s="381">
        <v>100.0</v>
      </c>
      <c r="AJ48" s="379" t="s">
        <v>1240</v>
      </c>
      <c r="AK48" s="197" t="s">
        <v>6737</v>
      </c>
      <c r="AL48" s="198" t="s">
        <v>6738</v>
      </c>
      <c r="AM48" s="198">
        <v>100.0</v>
      </c>
      <c r="AN48" s="379" t="s">
        <v>1240</v>
      </c>
      <c r="AO48" s="382" t="s">
        <v>6739</v>
      </c>
      <c r="AP48" s="202" t="s">
        <v>6740</v>
      </c>
      <c r="AQ48" s="202" t="s">
        <v>6256</v>
      </c>
      <c r="AR48" s="383" t="s">
        <v>1240</v>
      </c>
      <c r="AS48" s="383"/>
      <c r="AT48" s="383"/>
    </row>
    <row r="49">
      <c r="A49" s="197" t="s">
        <v>6741</v>
      </c>
      <c r="B49" s="198" t="s">
        <v>6742</v>
      </c>
      <c r="C49" s="155" t="s">
        <v>6743</v>
      </c>
      <c r="D49" s="385" t="s">
        <v>6744</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6743</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6745</v>
      </c>
      <c r="J49" s="198" t="s">
        <v>6746</v>
      </c>
      <c r="K49" s="198" t="s">
        <v>6743</v>
      </c>
      <c r="L49" s="379" t="s">
        <v>6747</v>
      </c>
      <c r="M49" s="197" t="str">
        <f>IFERROR(__xludf.DUMMYFUNCTION("GOOGLETRANSLATE(A49,""zh-tw"",""zh"")"),"很大的蛋")</f>
        <v>很大的蛋</v>
      </c>
      <c r="N49" s="198" t="str">
        <f>IFERROR(__xludf.DUMMYFUNCTION("GOOGLETRANSLATE(B49,""zh-tw"",""zh"")"),"很大的蛋
小红怪*")</f>
        <v>很大的蛋
小红怪*</v>
      </c>
      <c r="O49" s="155" t="s">
        <v>6743</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Pequeño Monstruo Rojo*")</f>
        <v>Un huevo muy grande
Pequeño Monstruo Rojo*</v>
      </c>
      <c r="S49" s="198" t="s">
        <v>6743</v>
      </c>
      <c r="T49" s="379"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6748</v>
      </c>
      <c r="V49" s="198" t="s">
        <v>6748</v>
      </c>
      <c r="W49" s="198" t="s">
        <v>6743</v>
      </c>
      <c r="X49" s="380" t="s">
        <v>6749</v>
      </c>
      <c r="Y49" s="197" t="s">
        <v>6750</v>
      </c>
      <c r="Z49" s="198" t="s">
        <v>6751</v>
      </c>
      <c r="AA49" s="155" t="s">
        <v>6743</v>
      </c>
      <c r="AB49" s="379" t="s">
        <v>6752</v>
      </c>
      <c r="AC49" s="197" t="s">
        <v>6753</v>
      </c>
      <c r="AD49" s="198" t="s">
        <v>6754</v>
      </c>
      <c r="AE49" s="198" t="s">
        <v>6743</v>
      </c>
      <c r="AF49" s="379" t="s">
        <v>6755</v>
      </c>
      <c r="AG49" s="187" t="s">
        <v>6756</v>
      </c>
      <c r="AH49" s="381" t="s">
        <v>6757</v>
      </c>
      <c r="AI49" s="381" t="s">
        <v>6743</v>
      </c>
      <c r="AJ49" s="379" t="s">
        <v>6758</v>
      </c>
      <c r="AK49" s="197" t="s">
        <v>6759</v>
      </c>
      <c r="AL49" s="198" t="s">
        <v>6760</v>
      </c>
      <c r="AM49" s="198" t="s">
        <v>6743</v>
      </c>
      <c r="AN49" s="379" t="s">
        <v>6761</v>
      </c>
      <c r="AO49" s="382" t="s">
        <v>6762</v>
      </c>
      <c r="AP49" s="202" t="s">
        <v>6763</v>
      </c>
      <c r="AQ49" s="202" t="s">
        <v>6764</v>
      </c>
      <c r="AR49" s="383" t="s">
        <v>6765</v>
      </c>
      <c r="AS49" s="383"/>
      <c r="AT49" s="383"/>
    </row>
    <row r="50">
      <c r="A50" s="153" t="s">
        <v>6766</v>
      </c>
      <c r="B50" s="155" t="s">
        <v>6767</v>
      </c>
      <c r="C50" s="155" t="s">
        <v>6768</v>
      </c>
      <c r="D50" s="380" t="s">
        <v>6769</v>
      </c>
      <c r="E50" s="153" t="s">
        <v>6770</v>
      </c>
      <c r="F50" s="198" t="s">
        <v>6771</v>
      </c>
      <c r="G50" s="155" t="s">
        <v>6768</v>
      </c>
      <c r="H50" s="380" t="s">
        <v>6772</v>
      </c>
      <c r="I50" s="153" t="s">
        <v>6773</v>
      </c>
      <c r="J50" s="198" t="s">
        <v>6774</v>
      </c>
      <c r="K50" s="198" t="s">
        <v>6768</v>
      </c>
      <c r="L50" s="379" t="s">
        <v>6775</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6768</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6768</v>
      </c>
      <c r="T50" s="379" t="str">
        <f>IFERROR(__xludf.DUMMYFUNCTION("GOOGLETRANSLATE(D50,""zh-tw"",""es-MX"")"),"Golpea los hongos en el suelo en las ruinas.")</f>
        <v>Golpea los hongos en el suelo en las ruinas.</v>
      </c>
      <c r="U50" s="197" t="s">
        <v>6776</v>
      </c>
      <c r="V50" s="155" t="s">
        <v>6777</v>
      </c>
      <c r="W50" s="155" t="s">
        <v>6768</v>
      </c>
      <c r="X50" s="380" t="s">
        <v>6778</v>
      </c>
      <c r="Y50" s="153" t="s">
        <v>6779</v>
      </c>
      <c r="Z50" s="155" t="s">
        <v>6780</v>
      </c>
      <c r="AA50" s="155" t="s">
        <v>6768</v>
      </c>
      <c r="AB50" s="379" t="s">
        <v>6781</v>
      </c>
      <c r="AC50" s="197" t="s">
        <v>6782</v>
      </c>
      <c r="AD50" s="198" t="s">
        <v>6783</v>
      </c>
      <c r="AE50" s="198" t="s">
        <v>6768</v>
      </c>
      <c r="AF50" s="379" t="s">
        <v>6784</v>
      </c>
      <c r="AG50" s="187" t="s">
        <v>6785</v>
      </c>
      <c r="AH50" s="381" t="s">
        <v>6786</v>
      </c>
      <c r="AI50" s="381" t="s">
        <v>6768</v>
      </c>
      <c r="AJ50" s="379" t="s">
        <v>6787</v>
      </c>
      <c r="AK50" s="197" t="s">
        <v>6788</v>
      </c>
      <c r="AL50" s="198" t="s">
        <v>6789</v>
      </c>
      <c r="AM50" s="198" t="s">
        <v>6768</v>
      </c>
      <c r="AN50" s="379" t="s">
        <v>6790</v>
      </c>
      <c r="AO50" s="382" t="s">
        <v>6791</v>
      </c>
      <c r="AP50" s="202" t="s">
        <v>6792</v>
      </c>
      <c r="AQ50" s="202" t="s">
        <v>6768</v>
      </c>
      <c r="AR50" s="383" t="s">
        <v>6793</v>
      </c>
      <c r="AS50" s="383"/>
      <c r="AT50" s="383"/>
    </row>
    <row r="51">
      <c r="A51" s="153" t="s">
        <v>6794</v>
      </c>
      <c r="B51" s="155" t="s">
        <v>6795</v>
      </c>
      <c r="C51" s="155" t="s">
        <v>6796</v>
      </c>
      <c r="D51" s="380" t="s">
        <v>6797</v>
      </c>
      <c r="E51" s="153" t="s">
        <v>6798</v>
      </c>
      <c r="F51" s="155" t="s">
        <v>6799</v>
      </c>
      <c r="G51" s="155" t="s">
        <v>6796</v>
      </c>
      <c r="H51" s="380" t="s">
        <v>6800</v>
      </c>
      <c r="I51" s="153" t="s">
        <v>6801</v>
      </c>
      <c r="J51" s="198" t="s">
        <v>6802</v>
      </c>
      <c r="K51" s="198" t="s">
        <v>6796</v>
      </c>
      <c r="L51" s="379" t="s">
        <v>6803</v>
      </c>
      <c r="M51" s="197" t="str">
        <f>IFERROR(__xludf.DUMMYFUNCTION("GOOGLETRANSLATE(A51,""zh-tw"",""zh"")"),"红花")</f>
        <v>红花</v>
      </c>
      <c r="N51" s="198" t="str">
        <f>IFERROR(__xludf.DUMMYFUNCTION("GOOGLETRANSLATE(B51,""zh-tw"",""zh"")"),"火鸟的羽毛
500元
1000元")</f>
        <v>火鸟的羽毛
500元
1000元</v>
      </c>
      <c r="O51" s="198" t="s">
        <v>6796</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6796</v>
      </c>
      <c r="T51" s="379" t="str">
        <f>IFERROR(__xludf.DUMMYFUNCTION("GOOGLETRANSLATE(D51,""zh-tw"",""es-MX"")"),"Flores rojas en el suelo de las ruinas.")</f>
        <v>Flores rojas en el suelo de las ruinas.</v>
      </c>
      <c r="U51" s="197" t="s">
        <v>6804</v>
      </c>
      <c r="V51" s="155" t="s">
        <v>6805</v>
      </c>
      <c r="W51" s="155" t="s">
        <v>6796</v>
      </c>
      <c r="X51" s="380" t="s">
        <v>6806</v>
      </c>
      <c r="Y51" s="153" t="s">
        <v>6807</v>
      </c>
      <c r="Z51" s="155" t="s">
        <v>6808</v>
      </c>
      <c r="AA51" s="155" t="s">
        <v>6796</v>
      </c>
      <c r="AB51" s="379" t="s">
        <v>6809</v>
      </c>
      <c r="AC51" s="197" t="s">
        <v>6810</v>
      </c>
      <c r="AD51" s="198" t="s">
        <v>6811</v>
      </c>
      <c r="AE51" s="198" t="s">
        <v>6796</v>
      </c>
      <c r="AF51" s="379" t="s">
        <v>6812</v>
      </c>
      <c r="AG51" s="187" t="s">
        <v>6813</v>
      </c>
      <c r="AH51" s="381" t="s">
        <v>6814</v>
      </c>
      <c r="AI51" s="381" t="s">
        <v>6796</v>
      </c>
      <c r="AJ51" s="379" t="s">
        <v>6815</v>
      </c>
      <c r="AK51" s="197" t="s">
        <v>6801</v>
      </c>
      <c r="AL51" s="198" t="s">
        <v>6816</v>
      </c>
      <c r="AM51" s="198" t="s">
        <v>6796</v>
      </c>
      <c r="AN51" s="379" t="s">
        <v>6817</v>
      </c>
      <c r="AO51" s="382" t="s">
        <v>6818</v>
      </c>
      <c r="AP51" s="202" t="s">
        <v>6819</v>
      </c>
      <c r="AQ51" s="202" t="s">
        <v>6796</v>
      </c>
      <c r="AR51" s="383" t="s">
        <v>6820</v>
      </c>
      <c r="AS51" s="383"/>
      <c r="AT51" s="383"/>
    </row>
    <row r="52">
      <c r="A52" s="153" t="s">
        <v>6821</v>
      </c>
      <c r="B52" s="167" t="s">
        <v>6822</v>
      </c>
      <c r="C52" s="167" t="s">
        <v>6823</v>
      </c>
      <c r="D52" s="385" t="s">
        <v>6824</v>
      </c>
      <c r="E52" s="153" t="s">
        <v>6825</v>
      </c>
      <c r="F52" s="155" t="s">
        <v>6826</v>
      </c>
      <c r="G52" s="155" t="s">
        <v>6827</v>
      </c>
      <c r="H52" s="380" t="str">
        <f>IFERROR(__xludf.DUMMYFUNCTION("GOOGLETRANSLATE(D52,""zh-tw"",""ja"")"),"壁を壊すとゾンビが出現する確率が 30% になります。")</f>
        <v>壁を壊すとゾンビが出現する確率が 30% になります。</v>
      </c>
      <c r="I52" s="153" t="s">
        <v>6828</v>
      </c>
      <c r="J52" s="167" t="s">
        <v>6829</v>
      </c>
      <c r="K52" s="198" t="s">
        <v>6827</v>
      </c>
      <c r="L52" s="379"/>
      <c r="M52" s="197" t="s">
        <v>6821</v>
      </c>
      <c r="N52" s="167" t="s">
        <v>6830</v>
      </c>
      <c r="O52" s="167" t="s">
        <v>6823</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6827</v>
      </c>
      <c r="T52" s="379"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6827</v>
      </c>
      <c r="X52" s="380" t="str">
        <f>IFERROR(__xludf.DUMMYFUNCTION("GOOGLETRANSLATE(D52,""zh-tw"",""KO"")"),"벽을 부수면 30% 확률로 좀비가 나타납니다.")</f>
        <v>벽을 부수면 30% 확률로 좀비가 나타납니다.</v>
      </c>
      <c r="Y52" s="153" t="s">
        <v>6831</v>
      </c>
      <c r="Z52" s="198" t="s">
        <v>6832</v>
      </c>
      <c r="AA52" s="155" t="s">
        <v>6827</v>
      </c>
      <c r="AB52" s="379" t="s">
        <v>1240</v>
      </c>
      <c r="AC52" s="197" t="s">
        <v>6833</v>
      </c>
      <c r="AD52" s="198" t="s">
        <v>6834</v>
      </c>
      <c r="AE52" s="198" t="s">
        <v>6827</v>
      </c>
      <c r="AF52" s="385" t="s">
        <v>6734</v>
      </c>
      <c r="AG52" s="187" t="s">
        <v>6835</v>
      </c>
      <c r="AH52" s="49" t="s">
        <v>6836</v>
      </c>
      <c r="AI52" s="381" t="s">
        <v>6827</v>
      </c>
      <c r="AJ52" s="379" t="s">
        <v>1240</v>
      </c>
      <c r="AK52" s="197" t="s">
        <v>6837</v>
      </c>
      <c r="AL52" s="167" t="s">
        <v>6838</v>
      </c>
      <c r="AM52" s="198" t="s">
        <v>6827</v>
      </c>
      <c r="AN52" s="379" t="s">
        <v>1240</v>
      </c>
      <c r="AO52" s="382" t="s">
        <v>6839</v>
      </c>
      <c r="AP52" s="202" t="s">
        <v>6840</v>
      </c>
      <c r="AQ52" s="202" t="s">
        <v>6827</v>
      </c>
      <c r="AR52" s="386" t="s">
        <v>1240</v>
      </c>
      <c r="AS52" s="386"/>
      <c r="AT52" s="386"/>
    </row>
    <row r="53">
      <c r="A53" s="153" t="s">
        <v>6841</v>
      </c>
      <c r="B53" s="167" t="s">
        <v>6842</v>
      </c>
      <c r="C53" s="155" t="s">
        <v>6827</v>
      </c>
      <c r="D53" s="380" t="s">
        <v>1240</v>
      </c>
      <c r="E53" s="153" t="s">
        <v>6843</v>
      </c>
      <c r="F53" s="155" t="s">
        <v>6826</v>
      </c>
      <c r="G53" s="155" t="s">
        <v>6827</v>
      </c>
      <c r="H53" s="380" t="str">
        <f>IFERROR(__xludf.DUMMYFUNCTION("GOOGLETRANSLATE(D53,""zh-tw"",""ja"")"),"-")</f>
        <v>-</v>
      </c>
      <c r="I53" s="153" t="s">
        <v>6844</v>
      </c>
      <c r="J53" s="167" t="s">
        <v>6829</v>
      </c>
      <c r="K53" s="198" t="s">
        <v>6827</v>
      </c>
      <c r="L53" s="379"/>
      <c r="M53" s="197" t="s">
        <v>6845</v>
      </c>
      <c r="N53" s="167" t="s">
        <v>6846</v>
      </c>
      <c r="O53" s="198" t="s">
        <v>6827</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6827</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6827</v>
      </c>
      <c r="X53" s="380" t="str">
        <f>IFERROR(__xludf.DUMMYFUNCTION("GOOGLETRANSLATE(D53,""zh-tw"",""KO"")"),"-")</f>
        <v>-</v>
      </c>
      <c r="Y53" s="153" t="s">
        <v>6847</v>
      </c>
      <c r="Z53" s="155" t="s">
        <v>6832</v>
      </c>
      <c r="AA53" s="155" t="s">
        <v>6827</v>
      </c>
      <c r="AB53" s="379" t="s">
        <v>1240</v>
      </c>
      <c r="AC53" s="197" t="s">
        <v>6848</v>
      </c>
      <c r="AD53" s="198" t="s">
        <v>6834</v>
      </c>
      <c r="AE53" s="198" t="s">
        <v>6827</v>
      </c>
      <c r="AF53" s="385" t="s">
        <v>6734</v>
      </c>
      <c r="AG53" s="187" t="s">
        <v>6849</v>
      </c>
      <c r="AH53" s="49" t="s">
        <v>6836</v>
      </c>
      <c r="AI53" s="381" t="s">
        <v>6827</v>
      </c>
      <c r="AJ53" s="379" t="s">
        <v>1240</v>
      </c>
      <c r="AK53" s="197" t="s">
        <v>6844</v>
      </c>
      <c r="AL53" s="167" t="s">
        <v>6838</v>
      </c>
      <c r="AM53" s="198" t="s">
        <v>6827</v>
      </c>
      <c r="AN53" s="379" t="s">
        <v>1240</v>
      </c>
      <c r="AO53" s="382" t="s">
        <v>6850</v>
      </c>
      <c r="AP53" s="202" t="s">
        <v>6840</v>
      </c>
      <c r="AQ53" s="202" t="s">
        <v>6827</v>
      </c>
      <c r="AR53" s="386" t="s">
        <v>1240</v>
      </c>
      <c r="AS53" s="386"/>
      <c r="AT53" s="386"/>
    </row>
    <row r="54">
      <c r="A54" s="197" t="s">
        <v>6851</v>
      </c>
      <c r="B54" s="167" t="s">
        <v>6842</v>
      </c>
      <c r="C54" s="198" t="s">
        <v>6827</v>
      </c>
      <c r="D54" s="379" t="s">
        <v>1240</v>
      </c>
      <c r="E54" s="197" t="s">
        <v>6851</v>
      </c>
      <c r="F54" s="198" t="s">
        <v>6826</v>
      </c>
      <c r="G54" s="198" t="s">
        <v>6827</v>
      </c>
      <c r="H54" s="379" t="str">
        <f>IFERROR(__xludf.DUMMYFUNCTION("GOOGLETRANSLATE(D54,""zh-tw"",""ja"")"),"-")</f>
        <v>-</v>
      </c>
      <c r="I54" s="197" t="s">
        <v>6852</v>
      </c>
      <c r="J54" s="167" t="s">
        <v>6829</v>
      </c>
      <c r="K54" s="198" t="s">
        <v>6827</v>
      </c>
      <c r="L54" s="379"/>
      <c r="M54" s="197" t="s">
        <v>6851</v>
      </c>
      <c r="N54" s="167" t="s">
        <v>6846</v>
      </c>
      <c r="O54" s="198" t="s">
        <v>6827</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6827</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6827</v>
      </c>
      <c r="X54" s="379" t="str">
        <f>IFERROR(__xludf.DUMMYFUNCTION("GOOGLETRANSLATE(D54,""zh-tw"",""KO"")"),"-")</f>
        <v>-</v>
      </c>
      <c r="Y54" s="153" t="s">
        <v>6853</v>
      </c>
      <c r="Z54" s="155" t="s">
        <v>6832</v>
      </c>
      <c r="AA54" s="155" t="s">
        <v>6827</v>
      </c>
      <c r="AB54" s="379" t="s">
        <v>1240</v>
      </c>
      <c r="AC54" s="197" t="s">
        <v>6854</v>
      </c>
      <c r="AD54" s="198" t="s">
        <v>6834</v>
      </c>
      <c r="AE54" s="198" t="s">
        <v>6827</v>
      </c>
      <c r="AF54" s="385" t="s">
        <v>6734</v>
      </c>
      <c r="AG54" s="187" t="s">
        <v>6855</v>
      </c>
      <c r="AH54" s="49" t="s">
        <v>6836</v>
      </c>
      <c r="AI54" s="381" t="s">
        <v>6827</v>
      </c>
      <c r="AJ54" s="379" t="s">
        <v>1240</v>
      </c>
      <c r="AK54" s="197" t="s">
        <v>6856</v>
      </c>
      <c r="AL54" s="167" t="s">
        <v>6838</v>
      </c>
      <c r="AM54" s="198" t="s">
        <v>6827</v>
      </c>
      <c r="AN54" s="379" t="s">
        <v>1240</v>
      </c>
      <c r="AO54" s="382" t="s">
        <v>6857</v>
      </c>
      <c r="AP54" s="202" t="s">
        <v>6840</v>
      </c>
      <c r="AQ54" s="202" t="s">
        <v>6827</v>
      </c>
      <c r="AR54" s="386" t="s">
        <v>1240</v>
      </c>
      <c r="AS54" s="386"/>
      <c r="AT54" s="386"/>
    </row>
    <row r="55">
      <c r="A55" s="197" t="s">
        <v>6858</v>
      </c>
      <c r="B55" s="167" t="s">
        <v>6842</v>
      </c>
      <c r="C55" s="198" t="s">
        <v>6827</v>
      </c>
      <c r="D55" s="379" t="s">
        <v>1240</v>
      </c>
      <c r="E55" s="197" t="s">
        <v>6859</v>
      </c>
      <c r="F55" s="198" t="s">
        <v>6826</v>
      </c>
      <c r="G55" s="198" t="s">
        <v>6827</v>
      </c>
      <c r="H55" s="379" t="str">
        <f>IFERROR(__xludf.DUMMYFUNCTION("GOOGLETRANSLATE(D55,""zh-tw"",""ja"")"),"-")</f>
        <v>-</v>
      </c>
      <c r="I55" s="197" t="s">
        <v>6860</v>
      </c>
      <c r="J55" s="167" t="s">
        <v>6829</v>
      </c>
      <c r="K55" s="198" t="s">
        <v>6827</v>
      </c>
      <c r="L55" s="379"/>
      <c r="M55" s="197" t="s">
        <v>6858</v>
      </c>
      <c r="N55" s="167" t="s">
        <v>6846</v>
      </c>
      <c r="O55" s="198" t="s">
        <v>6827</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6827</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6827</v>
      </c>
      <c r="X55" s="379" t="str">
        <f>IFERROR(__xludf.DUMMYFUNCTION("GOOGLETRANSLATE(D55,""zh-tw"",""KO"")"),"-")</f>
        <v>-</v>
      </c>
      <c r="Y55" s="153" t="s">
        <v>6861</v>
      </c>
      <c r="Z55" s="155" t="s">
        <v>6832</v>
      </c>
      <c r="AA55" s="155" t="s">
        <v>6827</v>
      </c>
      <c r="AB55" s="379" t="s">
        <v>1240</v>
      </c>
      <c r="AC55" s="197" t="s">
        <v>6862</v>
      </c>
      <c r="AD55" s="198" t="s">
        <v>6834</v>
      </c>
      <c r="AE55" s="198" t="s">
        <v>6827</v>
      </c>
      <c r="AF55" s="385" t="s">
        <v>6734</v>
      </c>
      <c r="AG55" s="187" t="s">
        <v>6863</v>
      </c>
      <c r="AH55" s="49" t="s">
        <v>6836</v>
      </c>
      <c r="AI55" s="381" t="s">
        <v>6827</v>
      </c>
      <c r="AJ55" s="379" t="s">
        <v>1240</v>
      </c>
      <c r="AK55" s="197" t="s">
        <v>6864</v>
      </c>
      <c r="AL55" s="167" t="s">
        <v>6838</v>
      </c>
      <c r="AM55" s="198" t="s">
        <v>6827</v>
      </c>
      <c r="AN55" s="379" t="s">
        <v>1240</v>
      </c>
      <c r="AO55" s="382" t="s">
        <v>6865</v>
      </c>
      <c r="AP55" s="202" t="s">
        <v>6840</v>
      </c>
      <c r="AQ55" s="202" t="s">
        <v>6827</v>
      </c>
      <c r="AR55" s="386" t="s">
        <v>1240</v>
      </c>
      <c r="AS55" s="386"/>
      <c r="AT55" s="386"/>
    </row>
    <row r="56">
      <c r="A56" s="197" t="s">
        <v>6866</v>
      </c>
      <c r="B56" s="198" t="s">
        <v>6867</v>
      </c>
      <c r="C56" s="198" t="s">
        <v>6868</v>
      </c>
      <c r="D56" s="379" t="s">
        <v>1240</v>
      </c>
      <c r="E56" s="197" t="str">
        <f>IFERROR(__xludf.DUMMYFUNCTION("GOOGLETRANSLATE(A56,""zh-tw"",""ja"")"),"鉱石")</f>
        <v>鉱石</v>
      </c>
      <c r="F56" s="198" t="s">
        <v>6869</v>
      </c>
      <c r="G56" s="198" t="s">
        <v>6868</v>
      </c>
      <c r="H56" s="379" t="str">
        <f>IFERROR(__xludf.DUMMYFUNCTION("GOOGLETRANSLATE(D56,""zh-tw"",""ja"")"),"-")</f>
        <v>-</v>
      </c>
      <c r="I56" s="197" t="s">
        <v>6870</v>
      </c>
      <c r="J56" s="198" t="s">
        <v>6871</v>
      </c>
      <c r="K56" s="198" t="s">
        <v>6868</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6868</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6868</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6868</v>
      </c>
      <c r="X56" s="379" t="str">
        <f>IFERROR(__xludf.DUMMYFUNCTION("GOOGLETRANSLATE(D56,""zh-tw"",""KO"")"),"-")</f>
        <v>-</v>
      </c>
      <c r="Y56" s="153" t="s">
        <v>6872</v>
      </c>
      <c r="Z56" s="155" t="s">
        <v>6873</v>
      </c>
      <c r="AA56" s="155" t="s">
        <v>6868</v>
      </c>
      <c r="AB56" s="379" t="s">
        <v>1240</v>
      </c>
      <c r="AC56" s="197" t="s">
        <v>6874</v>
      </c>
      <c r="AD56" s="198" t="s">
        <v>6875</v>
      </c>
      <c r="AE56" s="198" t="s">
        <v>6868</v>
      </c>
      <c r="AF56" s="379" t="s">
        <v>6876</v>
      </c>
      <c r="AG56" s="187" t="s">
        <v>6877</v>
      </c>
      <c r="AH56" s="381" t="s">
        <v>6878</v>
      </c>
      <c r="AI56" s="381" t="s">
        <v>6868</v>
      </c>
      <c r="AJ56" s="379" t="s">
        <v>1240</v>
      </c>
      <c r="AK56" s="197" t="s">
        <v>6879</v>
      </c>
      <c r="AL56" s="198" t="s">
        <v>6880</v>
      </c>
      <c r="AM56" s="198" t="s">
        <v>6868</v>
      </c>
      <c r="AN56" s="379" t="s">
        <v>1240</v>
      </c>
      <c r="AO56" s="382" t="s">
        <v>6881</v>
      </c>
      <c r="AP56" s="202" t="s">
        <v>6882</v>
      </c>
      <c r="AQ56" s="202" t="s">
        <v>6868</v>
      </c>
      <c r="AR56" s="383" t="s">
        <v>1240</v>
      </c>
      <c r="AS56" s="383"/>
      <c r="AT56" s="383"/>
    </row>
    <row r="57">
      <c r="A57" s="197" t="s">
        <v>6883</v>
      </c>
      <c r="B57" s="198" t="s">
        <v>6884</v>
      </c>
      <c r="C57" s="198" t="s">
        <v>6885</v>
      </c>
      <c r="D57" s="379" t="s">
        <v>1240</v>
      </c>
      <c r="E57" s="197" t="str">
        <f>IFERROR(__xludf.DUMMYFUNCTION("GOOGLETRANSLATE(A57,""zh-tw"",""ja"")"),"果樹")</f>
        <v>果樹</v>
      </c>
      <c r="F57" s="198" t="s">
        <v>6886</v>
      </c>
      <c r="G57" s="198" t="s">
        <v>6885</v>
      </c>
      <c r="H57" s="379" t="str">
        <f>IFERROR(__xludf.DUMMYFUNCTION("GOOGLETRANSLATE(D57,""zh-tw"",""ja"")"),"-")</f>
        <v>-</v>
      </c>
      <c r="I57" s="197" t="s">
        <v>6887</v>
      </c>
      <c r="J57" s="198" t="s">
        <v>6888</v>
      </c>
      <c r="K57" s="198" t="s">
        <v>6885</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6885</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6885</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6885</v>
      </c>
      <c r="X57" s="379" t="str">
        <f>IFERROR(__xludf.DUMMYFUNCTION("GOOGLETRANSLATE(D57,""zh-tw"",""KO"")"),"-")</f>
        <v>-</v>
      </c>
      <c r="Y57" s="153" t="s">
        <v>6889</v>
      </c>
      <c r="Z57" s="155" t="s">
        <v>6890</v>
      </c>
      <c r="AA57" s="155" t="s">
        <v>6885</v>
      </c>
      <c r="AB57" s="379" t="s">
        <v>1240</v>
      </c>
      <c r="AC57" s="197" t="s">
        <v>6891</v>
      </c>
      <c r="AD57" s="198" t="s">
        <v>6892</v>
      </c>
      <c r="AE57" s="198" t="s">
        <v>6885</v>
      </c>
      <c r="AF57" s="379" t="s">
        <v>6893</v>
      </c>
      <c r="AG57" s="187" t="s">
        <v>6894</v>
      </c>
      <c r="AH57" s="381" t="s">
        <v>6895</v>
      </c>
      <c r="AI57" s="381" t="s">
        <v>6885</v>
      </c>
      <c r="AJ57" s="379" t="s">
        <v>1240</v>
      </c>
      <c r="AK57" s="197" t="s">
        <v>6896</v>
      </c>
      <c r="AL57" s="198" t="s">
        <v>6897</v>
      </c>
      <c r="AM57" s="198" t="s">
        <v>6885</v>
      </c>
      <c r="AN57" s="379" t="s">
        <v>1240</v>
      </c>
      <c r="AO57" s="382" t="s">
        <v>6898</v>
      </c>
      <c r="AP57" s="202" t="s">
        <v>6899</v>
      </c>
      <c r="AQ57" s="202" t="s">
        <v>6885</v>
      </c>
      <c r="AR57" s="383" t="s">
        <v>1240</v>
      </c>
      <c r="AS57" s="383"/>
      <c r="AT57" s="383"/>
    </row>
    <row r="58">
      <c r="A58" s="197" t="s">
        <v>6900</v>
      </c>
      <c r="B58" s="198" t="s">
        <v>6900</v>
      </c>
      <c r="C58" s="198">
        <v>100.0</v>
      </c>
      <c r="D58" s="379" t="s">
        <v>1240</v>
      </c>
      <c r="E58" s="197" t="s">
        <v>6901</v>
      </c>
      <c r="F58" s="198" t="s">
        <v>6901</v>
      </c>
      <c r="G58" s="198">
        <v>100.0</v>
      </c>
      <c r="H58" s="379" t="str">
        <f>IFERROR(__xludf.DUMMYFUNCTION("GOOGLETRANSLATE(D58,""zh-tw"",""ja"")"),"-")</f>
        <v>-</v>
      </c>
      <c r="I58" s="197" t="s">
        <v>6902</v>
      </c>
      <c r="J58" s="198" t="s">
        <v>6902</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6903</v>
      </c>
      <c r="Z58" s="155" t="s">
        <v>6903</v>
      </c>
      <c r="AA58" s="155">
        <v>100.0</v>
      </c>
      <c r="AB58" s="379" t="s">
        <v>1240</v>
      </c>
      <c r="AC58" s="197" t="s">
        <v>6904</v>
      </c>
      <c r="AD58" s="198" t="s">
        <v>6904</v>
      </c>
      <c r="AE58" s="198">
        <v>100.0</v>
      </c>
      <c r="AF58" s="379" t="s">
        <v>1240</v>
      </c>
      <c r="AG58" s="187" t="s">
        <v>6905</v>
      </c>
      <c r="AH58" s="381" t="s">
        <v>6905</v>
      </c>
      <c r="AI58" s="381">
        <v>100.0</v>
      </c>
      <c r="AJ58" s="379" t="s">
        <v>1240</v>
      </c>
      <c r="AK58" s="197" t="s">
        <v>6906</v>
      </c>
      <c r="AL58" s="198" t="s">
        <v>6906</v>
      </c>
      <c r="AM58" s="198">
        <v>100.0</v>
      </c>
      <c r="AN58" s="379" t="s">
        <v>1240</v>
      </c>
      <c r="AO58" s="382" t="s">
        <v>6907</v>
      </c>
      <c r="AP58" s="202" t="s">
        <v>6907</v>
      </c>
      <c r="AQ58" s="202" t="s">
        <v>6256</v>
      </c>
      <c r="AR58" s="386" t="s">
        <v>1240</v>
      </c>
      <c r="AS58" s="386"/>
      <c r="AT58" s="386"/>
    </row>
    <row r="59">
      <c r="A59" s="197" t="s">
        <v>6908</v>
      </c>
      <c r="B59" s="198" t="s">
        <v>6909</v>
      </c>
      <c r="C59" s="198" t="s">
        <v>6910</v>
      </c>
      <c r="D59" s="379" t="s">
        <v>6911</v>
      </c>
      <c r="E59" s="197" t="str">
        <f>IFERROR(__xludf.DUMMYFUNCTION("GOOGLETRANSLATE(A59,""zh-tw"",""ja"")"),"イチゴの苗")</f>
        <v>イチゴの苗</v>
      </c>
      <c r="F59" s="198" t="str">
        <f>IFERROR(__xludf.DUMMYFUNCTION("GOOGLETRANSLATE(B59,""zh-tw"",""ja"")"),"いちご")</f>
        <v>いちご</v>
      </c>
      <c r="G59" s="198" t="s">
        <v>6910</v>
      </c>
      <c r="H59" s="37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6912</v>
      </c>
      <c r="J59" s="198" t="s">
        <v>6913</v>
      </c>
      <c r="K59" s="198" t="s">
        <v>6910</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6910</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6910</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6914</v>
      </c>
      <c r="V59" s="198" t="str">
        <f>IFERROR(__xludf.DUMMYFUNCTION("GOOGLETRANSLATE(B59,""zh-tw"",""KO"")"),"딸기")</f>
        <v>딸기</v>
      </c>
      <c r="W59" s="198" t="s">
        <v>6910</v>
      </c>
      <c r="X59" s="379" t="str">
        <f>IFERROR(__xludf.DUMMYFUNCTION("GOOGLETRANSLATE(D59,""zh-tw"",""KO"")"),"아이템 2개가 드롭될 확률은 40%, 아이템 3개가 드롭될 확률은 8%입니다.")</f>
        <v>아이템 2개가 드롭될 확률은 40%, 아이템 3개가 드롭될 확률은 8%입니다.</v>
      </c>
      <c r="Y59" s="153" t="s">
        <v>6915</v>
      </c>
      <c r="Z59" s="155" t="s">
        <v>6916</v>
      </c>
      <c r="AA59" s="155" t="s">
        <v>6910</v>
      </c>
      <c r="AB59" s="379" t="s">
        <v>6917</v>
      </c>
      <c r="AC59" s="197" t="s">
        <v>6918</v>
      </c>
      <c r="AD59" s="198" t="s">
        <v>6919</v>
      </c>
      <c r="AE59" s="198" t="s">
        <v>6910</v>
      </c>
      <c r="AF59" s="379" t="s">
        <v>6920</v>
      </c>
      <c r="AG59" s="187" t="s">
        <v>6921</v>
      </c>
      <c r="AH59" s="381" t="s">
        <v>6922</v>
      </c>
      <c r="AI59" s="381" t="s">
        <v>6910</v>
      </c>
      <c r="AJ59" s="379" t="s">
        <v>6923</v>
      </c>
      <c r="AK59" s="197" t="s">
        <v>6924</v>
      </c>
      <c r="AL59" s="198" t="s">
        <v>6925</v>
      </c>
      <c r="AM59" s="198" t="s">
        <v>6910</v>
      </c>
      <c r="AN59" s="379" t="s">
        <v>6926</v>
      </c>
      <c r="AO59" s="382" t="s">
        <v>6927</v>
      </c>
      <c r="AP59" s="202" t="s">
        <v>6928</v>
      </c>
      <c r="AQ59" s="202" t="s">
        <v>6910</v>
      </c>
      <c r="AR59" s="383" t="s">
        <v>6929</v>
      </c>
      <c r="AS59" s="383"/>
      <c r="AT59" s="383"/>
    </row>
    <row r="60">
      <c r="A60" s="197" t="s">
        <v>6930</v>
      </c>
      <c r="B60" s="198" t="s">
        <v>6931</v>
      </c>
      <c r="C60" s="198" t="s">
        <v>6910</v>
      </c>
      <c r="D60" s="379" t="s">
        <v>6911</v>
      </c>
      <c r="E60" s="197" t="str">
        <f>IFERROR(__xludf.DUMMYFUNCTION("GOOGLETRANSLATE(A60,""zh-tw"",""ja"")"),"ジャガイモの芽")</f>
        <v>ジャガイモの芽</v>
      </c>
      <c r="F60" s="198" t="str">
        <f>IFERROR(__xludf.DUMMYFUNCTION("GOOGLETRANSLATE(B60,""zh-tw"",""ja"")"),"じゃがいも")</f>
        <v>じゃがいも</v>
      </c>
      <c r="G60" s="198" t="s">
        <v>6910</v>
      </c>
      <c r="H60" s="37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6932</v>
      </c>
      <c r="J60" s="198" t="s">
        <v>6933</v>
      </c>
      <c r="K60" s="198" t="s">
        <v>6910</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6910</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6910</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6934</v>
      </c>
      <c r="V60" s="198" t="str">
        <f>IFERROR(__xludf.DUMMYFUNCTION("GOOGLETRANSLATE(B60,""zh-tw"",""KO"")"),"감자")</f>
        <v>감자</v>
      </c>
      <c r="W60" s="198" t="s">
        <v>6910</v>
      </c>
      <c r="X60" s="379" t="str">
        <f>IFERROR(__xludf.DUMMYFUNCTION("GOOGLETRANSLATE(D60,""zh-tw"",""KO"")"),"아이템 2개가 드롭될 확률은 40%, 아이템 3개가 드롭될 확률은 8%입니다.")</f>
        <v>아이템 2개가 드롭될 확률은 40%, 아이템 3개가 드롭될 확률은 8%입니다.</v>
      </c>
      <c r="Y60" s="153" t="s">
        <v>6935</v>
      </c>
      <c r="Z60" s="155" t="s">
        <v>6936</v>
      </c>
      <c r="AA60" s="155" t="s">
        <v>6910</v>
      </c>
      <c r="AB60" s="379" t="s">
        <v>6917</v>
      </c>
      <c r="AC60" s="197" t="s">
        <v>6937</v>
      </c>
      <c r="AD60" s="198" t="s">
        <v>6938</v>
      </c>
      <c r="AE60" s="198" t="s">
        <v>6910</v>
      </c>
      <c r="AF60" s="379" t="s">
        <v>6920</v>
      </c>
      <c r="AG60" s="187" t="s">
        <v>6939</v>
      </c>
      <c r="AH60" s="381" t="s">
        <v>6940</v>
      </c>
      <c r="AI60" s="381" t="s">
        <v>6910</v>
      </c>
      <c r="AJ60" s="379" t="s">
        <v>6923</v>
      </c>
      <c r="AK60" s="197" t="s">
        <v>6941</v>
      </c>
      <c r="AL60" s="198" t="s">
        <v>6942</v>
      </c>
      <c r="AM60" s="198" t="s">
        <v>6910</v>
      </c>
      <c r="AN60" s="379" t="s">
        <v>6926</v>
      </c>
      <c r="AO60" s="382" t="s">
        <v>6943</v>
      </c>
      <c r="AP60" s="202" t="s">
        <v>6944</v>
      </c>
      <c r="AQ60" s="202" t="s">
        <v>6910</v>
      </c>
      <c r="AR60" s="383" t="s">
        <v>6929</v>
      </c>
      <c r="AS60" s="383"/>
      <c r="AT60" s="383"/>
    </row>
    <row r="61">
      <c r="A61" s="197" t="s">
        <v>6945</v>
      </c>
      <c r="B61" s="198" t="s">
        <v>6946</v>
      </c>
      <c r="C61" s="198" t="s">
        <v>6910</v>
      </c>
      <c r="D61" s="379" t="s">
        <v>6911</v>
      </c>
      <c r="E61" s="197" t="str">
        <f>IFERROR(__xludf.DUMMYFUNCTION("GOOGLETRANSLATE(A61,""zh-tw"",""ja"")"),"トマトの苗")</f>
        <v>トマトの苗</v>
      </c>
      <c r="F61" s="198" t="str">
        <f>IFERROR(__xludf.DUMMYFUNCTION("GOOGLETRANSLATE(B61,""zh-tw"",""ja"")"),"トマト")</f>
        <v>トマト</v>
      </c>
      <c r="G61" s="198" t="s">
        <v>6910</v>
      </c>
      <c r="H61" s="37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6947</v>
      </c>
      <c r="J61" s="198" t="s">
        <v>6948</v>
      </c>
      <c r="K61" s="198" t="s">
        <v>6910</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6910</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6910</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6910</v>
      </c>
      <c r="X61" s="379" t="str">
        <f>IFERROR(__xludf.DUMMYFUNCTION("GOOGLETRANSLATE(D61,""zh-tw"",""KO"")"),"아이템 2개가 드롭될 확률은 40%, 아이템 3개가 드롭될 확률은 8%입니다.")</f>
        <v>아이템 2개가 드롭될 확률은 40%, 아이템 3개가 드롭될 확률은 8%입니다.</v>
      </c>
      <c r="Y61" s="153" t="s">
        <v>6949</v>
      </c>
      <c r="Z61" s="155" t="s">
        <v>6950</v>
      </c>
      <c r="AA61" s="155" t="s">
        <v>6910</v>
      </c>
      <c r="AB61" s="379" t="s">
        <v>6917</v>
      </c>
      <c r="AC61" s="197" t="s">
        <v>6951</v>
      </c>
      <c r="AD61" s="198" t="s">
        <v>6952</v>
      </c>
      <c r="AE61" s="198" t="s">
        <v>6910</v>
      </c>
      <c r="AF61" s="379" t="s">
        <v>6920</v>
      </c>
      <c r="AG61" s="187" t="s">
        <v>6953</v>
      </c>
      <c r="AH61" s="381" t="s">
        <v>6954</v>
      </c>
      <c r="AI61" s="381" t="s">
        <v>6910</v>
      </c>
      <c r="AJ61" s="379" t="s">
        <v>6923</v>
      </c>
      <c r="AK61" s="197" t="s">
        <v>6955</v>
      </c>
      <c r="AL61" s="198" t="s">
        <v>6956</v>
      </c>
      <c r="AM61" s="198" t="s">
        <v>6910</v>
      </c>
      <c r="AN61" s="379" t="s">
        <v>6926</v>
      </c>
      <c r="AO61" s="382" t="s">
        <v>6957</v>
      </c>
      <c r="AP61" s="202" t="s">
        <v>6958</v>
      </c>
      <c r="AQ61" s="202" t="s">
        <v>6910</v>
      </c>
      <c r="AR61" s="383" t="s">
        <v>6929</v>
      </c>
      <c r="AS61" s="383"/>
      <c r="AT61" s="383"/>
    </row>
    <row r="62">
      <c r="A62" s="197" t="s">
        <v>6959</v>
      </c>
      <c r="B62" s="198" t="s">
        <v>6960</v>
      </c>
      <c r="C62" s="198" t="s">
        <v>6910</v>
      </c>
      <c r="D62" s="379" t="s">
        <v>6911</v>
      </c>
      <c r="E62" s="197" t="str">
        <f>IFERROR(__xludf.DUMMYFUNCTION("GOOGLETRANSLATE(A62,""zh-tw"",""ja"")"),"唐辛子の苗")</f>
        <v>唐辛子の苗</v>
      </c>
      <c r="F62" s="198" t="str">
        <f>IFERROR(__xludf.DUMMYFUNCTION("GOOGLETRANSLATE(B62,""zh-tw"",""ja"")"),"チリ")</f>
        <v>チリ</v>
      </c>
      <c r="G62" s="198" t="s">
        <v>6910</v>
      </c>
      <c r="H62" s="379"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6961</v>
      </c>
      <c r="J62" s="198" t="s">
        <v>6962</v>
      </c>
      <c r="K62" s="198" t="s">
        <v>6910</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6910</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6910</v>
      </c>
      <c r="X62" s="379" t="str">
        <f>IFERROR(__xludf.DUMMYFUNCTION("GOOGLETRANSLATE(D62,""zh-tw"",""KO"")"),"아이템 2개가 드롭될 확률은 40%, 아이템 3개가 드롭될 확률은 8%입니다.")</f>
        <v>아이템 2개가 드롭될 확률은 40%, 아이템 3개가 드롭될 확률은 8%입니다.</v>
      </c>
      <c r="Y62" s="153" t="s">
        <v>6963</v>
      </c>
      <c r="Z62" s="155" t="s">
        <v>6964</v>
      </c>
      <c r="AA62" s="155" t="s">
        <v>6910</v>
      </c>
      <c r="AB62" s="379" t="s">
        <v>6917</v>
      </c>
      <c r="AC62" s="197" t="s">
        <v>6965</v>
      </c>
      <c r="AD62" s="198" t="s">
        <v>6966</v>
      </c>
      <c r="AE62" s="198" t="s">
        <v>6910</v>
      </c>
      <c r="AF62" s="379" t="s">
        <v>6920</v>
      </c>
      <c r="AG62" s="187" t="s">
        <v>6967</v>
      </c>
      <c r="AH62" s="381" t="s">
        <v>6968</v>
      </c>
      <c r="AI62" s="381" t="s">
        <v>6910</v>
      </c>
      <c r="AJ62" s="379" t="s">
        <v>6923</v>
      </c>
      <c r="AK62" s="197" t="s">
        <v>6969</v>
      </c>
      <c r="AL62" s="198" t="s">
        <v>6970</v>
      </c>
      <c r="AM62" s="198" t="s">
        <v>6910</v>
      </c>
      <c r="AN62" s="379" t="s">
        <v>6926</v>
      </c>
      <c r="AO62" s="382" t="s">
        <v>6971</v>
      </c>
      <c r="AP62" s="202" t="s">
        <v>6972</v>
      </c>
      <c r="AQ62" s="202" t="s">
        <v>6910</v>
      </c>
      <c r="AR62" s="383" t="s">
        <v>6929</v>
      </c>
      <c r="AS62" s="383"/>
      <c r="AT62" s="383"/>
    </row>
    <row r="63">
      <c r="A63" s="376" t="s">
        <v>6973</v>
      </c>
      <c r="E63" s="376" t="str">
        <f>IFERROR(__xludf.DUMMYFUNCTION("GOOGLETRANSLATE(A63,""zh-tw"",""ja"")"),"火山溶岩関連")</f>
        <v>火山溶岩関連</v>
      </c>
      <c r="I63" s="376" t="s">
        <v>4788</v>
      </c>
      <c r="M63" s="376" t="str">
        <f>IFERROR(__xludf.DUMMYFUNCTION("GOOGLETRANSLATE(A63,""zh-tw"",""zh"")"),"火山熔岩相关")</f>
        <v>火山熔岩相关</v>
      </c>
      <c r="Q63" s="376" t="str">
        <f>IFERROR(__xludf.DUMMYFUNCTION("GOOGLETRANSLATE(A63,""zh-tw"",""es-MX"")"),"Relacionado con la lava volcánica")</f>
        <v>Relacionado con la lava volcánica</v>
      </c>
      <c r="U63" s="376" t="str">
        <f>IFERROR(__xludf.DUMMYFUNCTION("GOOGLETRANSLATE(A63,""zh-tw"",""KO"")"),"화산 용암 관련")</f>
        <v>화산 용암 관련</v>
      </c>
      <c r="Y63" s="375" t="s">
        <v>4796</v>
      </c>
      <c r="AC63" s="376" t="str">
        <f>IFERROR(__xludf.DUMMYFUNCTION("GOOGLETRANSLATE(A62,""zh-tw"",""DE"")"),"Chili-Setzlinge")</f>
        <v>Chili-Setzlinge</v>
      </c>
      <c r="AG63" s="378" t="s">
        <v>6974</v>
      </c>
      <c r="AK63" s="376" t="s">
        <v>4788</v>
      </c>
      <c r="AO63" s="387" t="s">
        <v>6975</v>
      </c>
      <c r="AS63" s="387"/>
      <c r="AT63" s="387"/>
    </row>
    <row r="64">
      <c r="A64" s="197" t="s">
        <v>6976</v>
      </c>
      <c r="B64" s="391" t="s">
        <v>6977</v>
      </c>
      <c r="C64" s="391" t="s">
        <v>6978</v>
      </c>
      <c r="D64" s="379" t="s">
        <v>1240</v>
      </c>
      <c r="E64" s="197" t="s">
        <v>6979</v>
      </c>
      <c r="F64" s="198" t="s">
        <v>6980</v>
      </c>
      <c r="G64" s="198">
        <v>35.0</v>
      </c>
      <c r="H64" s="379" t="str">
        <f>IFERROR(__xludf.DUMMYFUNCTION("GOOGLETRANSLATE(D64,""zh-tw"",""ja"")"),"-")</f>
        <v>-</v>
      </c>
      <c r="I64" s="197" t="s">
        <v>6981</v>
      </c>
      <c r="J64" s="167" t="s">
        <v>6982</v>
      </c>
      <c r="K64" s="167" t="s">
        <v>6978</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6978</v>
      </c>
      <c r="P64" s="379"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6983</v>
      </c>
      <c r="W64" s="198">
        <v>35.0</v>
      </c>
      <c r="X64" s="379" t="str">
        <f>IFERROR(__xludf.DUMMYFUNCTION("GOOGLETRANSLATE(D64,""zh-tw"",""KO"")"),"-")</f>
        <v>-</v>
      </c>
      <c r="Y64" s="153" t="s">
        <v>6984</v>
      </c>
      <c r="Z64" s="167" t="s">
        <v>6985</v>
      </c>
      <c r="AA64" s="167" t="s">
        <v>6978</v>
      </c>
      <c r="AB64" s="379" t="s">
        <v>1240</v>
      </c>
      <c r="AC64" s="197" t="s">
        <v>6986</v>
      </c>
      <c r="AD64" s="198" t="s">
        <v>6987</v>
      </c>
      <c r="AE64" s="198">
        <v>35.0</v>
      </c>
      <c r="AF64" s="379" t="s">
        <v>6988</v>
      </c>
      <c r="AG64" s="187" t="s">
        <v>6989</v>
      </c>
      <c r="AH64" s="49" t="s">
        <v>6990</v>
      </c>
      <c r="AI64" s="49" t="s">
        <v>6978</v>
      </c>
      <c r="AJ64" s="379" t="s">
        <v>1240</v>
      </c>
      <c r="AK64" s="197" t="s">
        <v>6991</v>
      </c>
      <c r="AL64" s="167" t="s">
        <v>6992</v>
      </c>
      <c r="AM64" s="167" t="s">
        <v>6978</v>
      </c>
      <c r="AN64" s="379" t="s">
        <v>1240</v>
      </c>
      <c r="AO64" s="382" t="s">
        <v>6993</v>
      </c>
      <c r="AP64" s="202" t="s">
        <v>6994</v>
      </c>
      <c r="AQ64" s="202" t="s">
        <v>6995</v>
      </c>
      <c r="AR64" s="383" t="s">
        <v>1240</v>
      </c>
      <c r="AS64" s="383"/>
      <c r="AT64" s="383"/>
    </row>
    <row r="65">
      <c r="A65" s="197" t="s">
        <v>6996</v>
      </c>
      <c r="B65" s="198" t="s">
        <v>6997</v>
      </c>
      <c r="C65" s="198" t="s">
        <v>6998</v>
      </c>
      <c r="D65" s="379" t="s">
        <v>1240</v>
      </c>
      <c r="E65" s="197" t="s">
        <v>6999</v>
      </c>
      <c r="F65" s="198" t="str">
        <f>IFERROR(__xludf.DUMMYFUNCTION("GOOGLETRANSLATE(B65,""zh-tw"",""ja"")"),"溶岩リング
紫品質アイテム")</f>
        <v>溶岩リング
紫品質アイテム</v>
      </c>
      <c r="G65" s="198" t="s">
        <v>6998</v>
      </c>
      <c r="H65" s="379" t="str">
        <f>IFERROR(__xludf.DUMMYFUNCTION("GOOGLETRANSLATE(D65,""zh-tw"",""ja"")"),"-")</f>
        <v>-</v>
      </c>
      <c r="I65" s="197" t="s">
        <v>7000</v>
      </c>
      <c r="J65" s="198" t="s">
        <v>7001</v>
      </c>
      <c r="K65" s="198" t="s">
        <v>6998</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6998</v>
      </c>
      <c r="P65" s="379"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6998</v>
      </c>
      <c r="T65" s="379" t="str">
        <f>IFERROR(__xludf.DUMMYFUNCTION("GOOGLETRANSLATE(D65,""zh-tw"",""es-MX"")"),"-")</f>
        <v>-</v>
      </c>
      <c r="U65" s="197" t="str">
        <f>IFERROR(__xludf.DUMMYFUNCTION("GOOGLETRANSLATE(A65,""zh-tw"",""KO"")"),"불타는 슬라임")</f>
        <v>불타는 슬라임</v>
      </c>
      <c r="V65" s="198" t="s">
        <v>7002</v>
      </c>
      <c r="W65" s="198" t="s">
        <v>6998</v>
      </c>
      <c r="X65" s="379" t="str">
        <f>IFERROR(__xludf.DUMMYFUNCTION("GOOGLETRANSLATE(D65,""zh-tw"",""KO"")"),"-")</f>
        <v>-</v>
      </c>
      <c r="Y65" s="153" t="s">
        <v>7003</v>
      </c>
      <c r="Z65" s="167" t="s">
        <v>7004</v>
      </c>
      <c r="AA65" s="198" t="s">
        <v>6998</v>
      </c>
      <c r="AB65" s="379" t="s">
        <v>1240</v>
      </c>
      <c r="AC65" s="197" t="s">
        <v>7005</v>
      </c>
      <c r="AD65" s="198" t="s">
        <v>7006</v>
      </c>
      <c r="AE65" s="198" t="s">
        <v>6998</v>
      </c>
      <c r="AF65" s="379" t="s">
        <v>6988</v>
      </c>
      <c r="AG65" s="187" t="s">
        <v>7007</v>
      </c>
      <c r="AH65" s="381" t="s">
        <v>7008</v>
      </c>
      <c r="AI65" s="381" t="s">
        <v>6998</v>
      </c>
      <c r="AJ65" s="379" t="s">
        <v>1240</v>
      </c>
      <c r="AK65" s="197" t="s">
        <v>7009</v>
      </c>
      <c r="AL65" s="198" t="s">
        <v>7010</v>
      </c>
      <c r="AM65" s="198" t="s">
        <v>6998</v>
      </c>
      <c r="AN65" s="379" t="s">
        <v>1240</v>
      </c>
      <c r="AO65" s="382" t="s">
        <v>7011</v>
      </c>
      <c r="AP65" s="202" t="s">
        <v>7012</v>
      </c>
      <c r="AQ65" s="202" t="s">
        <v>6998</v>
      </c>
      <c r="AR65" s="383" t="s">
        <v>1240</v>
      </c>
      <c r="AS65" s="383"/>
      <c r="AT65" s="383"/>
    </row>
    <row r="66">
      <c r="A66" s="197" t="s">
        <v>7013</v>
      </c>
      <c r="B66" s="391" t="s">
        <v>7014</v>
      </c>
      <c r="C66" s="391" t="s">
        <v>7015</v>
      </c>
      <c r="D66" s="379" t="s">
        <v>1240</v>
      </c>
      <c r="E66" s="197" t="s">
        <v>7013</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7016</v>
      </c>
      <c r="H66" s="379" t="str">
        <f>IFERROR(__xludf.DUMMYFUNCTION("GOOGLETRANSLATE(D66,""zh-tw"",""ja"")"),"-")</f>
        <v>-</v>
      </c>
      <c r="I66" s="197" t="s">
        <v>7017</v>
      </c>
      <c r="J66" s="167" t="s">
        <v>7018</v>
      </c>
      <c r="K66" s="167" t="s">
        <v>7019</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7015</v>
      </c>
      <c r="P66" s="379"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7016</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7016</v>
      </c>
      <c r="X66" s="379" t="str">
        <f>IFERROR(__xludf.DUMMYFUNCTION("GOOGLETRANSLATE(D66,""zh-tw"",""KO"")"),"-")</f>
        <v>-</v>
      </c>
      <c r="Y66" s="153" t="s">
        <v>7020</v>
      </c>
      <c r="Z66" s="167" t="s">
        <v>7021</v>
      </c>
      <c r="AA66" s="167" t="s">
        <v>7015</v>
      </c>
      <c r="AB66" s="379" t="s">
        <v>1240</v>
      </c>
      <c r="AC66" s="197" t="s">
        <v>7017</v>
      </c>
      <c r="AD66" s="198" t="s">
        <v>7022</v>
      </c>
      <c r="AE66" s="198" t="s">
        <v>7016</v>
      </c>
      <c r="AF66" s="379" t="s">
        <v>6988</v>
      </c>
      <c r="AG66" s="187" t="s">
        <v>7017</v>
      </c>
      <c r="AH66" s="49" t="s">
        <v>7023</v>
      </c>
      <c r="AI66" s="49" t="s">
        <v>7015</v>
      </c>
      <c r="AJ66" s="379" t="s">
        <v>1240</v>
      </c>
      <c r="AK66" s="197" t="s">
        <v>7017</v>
      </c>
      <c r="AL66" s="167" t="s">
        <v>7024</v>
      </c>
      <c r="AM66" s="167" t="s">
        <v>7015</v>
      </c>
      <c r="AN66" s="379" t="s">
        <v>1240</v>
      </c>
      <c r="AO66" s="382" t="s">
        <v>7017</v>
      </c>
      <c r="AP66" s="202" t="s">
        <v>7025</v>
      </c>
      <c r="AQ66" s="202" t="s">
        <v>7016</v>
      </c>
      <c r="AR66" s="383" t="s">
        <v>1240</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7026</v>
      </c>
      <c r="B1" s="84" t="s">
        <v>7027</v>
      </c>
      <c r="C1" s="393" t="str">
        <f>IFERROR(__xludf.DUMMYFUNCTION("GOOGLETRANSLATE(A1,""zh-tw"",""ja"")"),"武器プロジェクト")</f>
        <v>武器プロジェクト</v>
      </c>
      <c r="D1" s="84" t="str">
        <f>IFERROR(__xludf.DUMMYFUNCTION("GOOGLETRANSLATE(B1,""zh-tw"",""ja"")"),"武器の属性")</f>
        <v>武器の属性</v>
      </c>
      <c r="E1" s="393" t="s">
        <v>7028</v>
      </c>
      <c r="F1" s="84" t="s">
        <v>7029</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 armas")</f>
        <v>Atributos de armas</v>
      </c>
      <c r="K1" s="395" t="str">
        <f>IFERROR(__xludf.DUMMYFUNCTION("GOOGLETRANSLATE(A1,""zh-tw"",""KO"")"),"무기 프로젝트")</f>
        <v>무기 프로젝트</v>
      </c>
      <c r="L1" s="88" t="str">
        <f>IFERROR(__xludf.DUMMYFUNCTION("GOOGLETRANSLATE(B1,""zh-tw"",""KO"")"),"무기 속성")</f>
        <v>무기 속성</v>
      </c>
      <c r="M1" s="396" t="s">
        <v>7030</v>
      </c>
      <c r="N1" s="27" t="s">
        <v>7031</v>
      </c>
      <c r="O1" s="393" t="s">
        <v>7032</v>
      </c>
      <c r="P1" s="84" t="s">
        <v>7033</v>
      </c>
      <c r="Q1" s="397" t="s">
        <v>7034</v>
      </c>
      <c r="R1" s="398" t="s">
        <v>7035</v>
      </c>
      <c r="S1" s="86" t="s">
        <v>7036</v>
      </c>
      <c r="T1" s="88" t="s">
        <v>7037</v>
      </c>
      <c r="U1" s="86"/>
      <c r="V1" s="88"/>
      <c r="W1" s="88"/>
      <c r="X1" s="88"/>
      <c r="Y1" s="88"/>
      <c r="Z1" s="88"/>
    </row>
    <row r="2">
      <c r="A2" s="166" t="s">
        <v>7038</v>
      </c>
      <c r="C2" s="166" t="str">
        <f>IFERROR(__xludf.DUMMYFUNCTION("GOOGLETRANSLATE(A2,""zh-tw"",""ja"")"),"白の品質")</f>
        <v>白の品質</v>
      </c>
      <c r="E2" s="166" t="s">
        <v>7039</v>
      </c>
      <c r="G2" s="166" t="s">
        <v>7040</v>
      </c>
      <c r="I2" s="166"/>
      <c r="K2" s="166"/>
      <c r="M2" s="166" t="s">
        <v>7041</v>
      </c>
      <c r="O2" s="166"/>
      <c r="Q2" s="166"/>
      <c r="S2" s="166" t="s">
        <v>7042</v>
      </c>
      <c r="U2" s="166"/>
      <c r="W2" s="198"/>
      <c r="X2" s="198"/>
      <c r="Y2" s="198"/>
      <c r="Z2" s="198"/>
    </row>
    <row r="3">
      <c r="A3" s="399" t="s">
        <v>7043</v>
      </c>
      <c r="B3" s="167" t="s">
        <v>7044</v>
      </c>
      <c r="C3" s="400" t="s">
        <v>7045</v>
      </c>
      <c r="D3" s="202" t="s">
        <v>7046</v>
      </c>
      <c r="E3" s="400" t="s">
        <v>7047</v>
      </c>
      <c r="F3" s="202" t="s">
        <v>7048</v>
      </c>
      <c r="G3" s="400" t="str">
        <f>IFERROR(__xludf.DUMMYFUNCTION("GOOGLETRANSLATE(A3,""zh-tw"",""zh"")"),"握紧的拳头")</f>
        <v>握紧的拳头</v>
      </c>
      <c r="H3" s="202" t="str">
        <f>IFERROR(__xludf.DUMMYFUNCTION("GOOGLETRANSLATE(B3,""zh-tw"",""zh"")"),"物攻：2
攻击依照最大体力增加")</f>
        <v>物攻：2
攻击依照最大体力增加</v>
      </c>
      <c r="I3" s="399" t="s">
        <v>7049</v>
      </c>
      <c r="J3" s="198" t="str">
        <f>IFERROR(__xludf.DUMMYFUNCTION("GOOGLETRANSLATE(B3,""zh-tw"",""es-MX"")"),"Ataque físico: 2. El ataque aumenta según el HP máximo.")</f>
        <v>Ataque físico: 2. El ataque aumenta según el HP máximo.</v>
      </c>
      <c r="K3" s="399" t="s">
        <v>7050</v>
      </c>
      <c r="L3" s="167" t="s">
        <v>7051</v>
      </c>
      <c r="M3" s="400" t="s">
        <v>7052</v>
      </c>
      <c r="N3" s="202" t="s">
        <v>7053</v>
      </c>
      <c r="O3" s="400" t="s">
        <v>7054</v>
      </c>
      <c r="P3" s="202" t="s">
        <v>7055</v>
      </c>
      <c r="Q3" s="401" t="s">
        <v>7056</v>
      </c>
      <c r="R3" s="402" t="s">
        <v>7057</v>
      </c>
      <c r="S3" s="197" t="s">
        <v>7058</v>
      </c>
      <c r="T3" s="198" t="s">
        <v>7059</v>
      </c>
      <c r="U3" s="197"/>
      <c r="V3" s="198"/>
      <c r="W3" s="198"/>
      <c r="X3" s="198"/>
      <c r="Y3" s="198"/>
      <c r="Z3" s="198"/>
    </row>
    <row r="4">
      <c r="A4" s="400" t="s">
        <v>7060</v>
      </c>
      <c r="B4" s="202" t="s">
        <v>7061</v>
      </c>
      <c r="C4" s="400" t="s">
        <v>7062</v>
      </c>
      <c r="D4" s="202" t="s">
        <v>7063</v>
      </c>
      <c r="E4" s="400" t="s">
        <v>7064</v>
      </c>
      <c r="F4" s="202" t="s">
        <v>7065</v>
      </c>
      <c r="G4" s="400" t="str">
        <f>IFERROR(__xludf.DUMMYFUNCTION("GOOGLETRANSLATE(A4,""zh-tw"",""zh"")"),"硬木剑")</f>
        <v>硬木剑</v>
      </c>
      <c r="H4" s="202" t="str">
        <f>IFERROR(__xludf.DUMMYFUNCTION("GOOGLETRANSLATE(B4,""zh-tw"",""zh"")"),"物攻：15")</f>
        <v>物攻：15</v>
      </c>
      <c r="I4" s="399" t="s">
        <v>7066</v>
      </c>
      <c r="J4" s="198" t="str">
        <f>IFERROR(__xludf.DUMMYFUNCTION("GOOGLETRANSLATE(B4,""zh-tw"",""es-MX"")"),"Ataque físico: 15")</f>
        <v>Ataque físico: 15</v>
      </c>
      <c r="K4" s="400" t="s">
        <v>7067</v>
      </c>
      <c r="L4" s="167" t="s">
        <v>7068</v>
      </c>
      <c r="M4" s="400" t="s">
        <v>7069</v>
      </c>
      <c r="N4" s="202" t="s">
        <v>7070</v>
      </c>
      <c r="O4" s="400" t="s">
        <v>7071</v>
      </c>
      <c r="P4" s="202" t="s">
        <v>7072</v>
      </c>
      <c r="Q4" s="401" t="s">
        <v>7073</v>
      </c>
      <c r="R4" s="402" t="s">
        <v>7074</v>
      </c>
      <c r="S4" s="197" t="s">
        <v>7075</v>
      </c>
      <c r="T4" s="198" t="s">
        <v>7076</v>
      </c>
      <c r="U4" s="197"/>
      <c r="V4" s="198"/>
      <c r="W4" s="198"/>
      <c r="X4" s="198"/>
      <c r="Y4" s="198"/>
      <c r="Z4" s="198"/>
    </row>
    <row r="5">
      <c r="A5" s="400" t="s">
        <v>7077</v>
      </c>
      <c r="B5" s="202" t="s">
        <v>7078</v>
      </c>
      <c r="C5" s="400" t="s">
        <v>7079</v>
      </c>
      <c r="D5" s="202" t="s">
        <v>7080</v>
      </c>
      <c r="E5" s="400" t="s">
        <v>7081</v>
      </c>
      <c r="F5" s="202" t="s">
        <v>7082</v>
      </c>
      <c r="G5" s="400" t="str">
        <f>IFERROR(__xludf.DUMMYFUNCTION("GOOGLETRANSLATE(A5,""zh-tw"",""zh"")"),"硬木棒")</f>
        <v>硬木棒</v>
      </c>
      <c r="H5" s="202" t="str">
        <f>IFERROR(__xludf.DUMMYFUNCTION("GOOGLETRANSLATE(B5,""zh-tw"",""zh"")"),"物攻：14")</f>
        <v>物攻：14</v>
      </c>
      <c r="I5" s="399" t="s">
        <v>7083</v>
      </c>
      <c r="J5" s="198" t="str">
        <f>IFERROR(__xludf.DUMMYFUNCTION("GOOGLETRANSLATE(B5,""zh-tw"",""es-MX"")"),"Ataque físico: 14")</f>
        <v>Ataque físico: 14</v>
      </c>
      <c r="K5" s="403" t="str">
        <f>IFERROR(__xludf.DUMMYFUNCTION("GOOGLETRANSLATE(A5,""zh-tw"",""KO"")"),"단단한 나무 막대기")</f>
        <v>단단한 나무 막대기</v>
      </c>
      <c r="L5" s="167" t="s">
        <v>7084</v>
      </c>
      <c r="M5" s="400" t="s">
        <v>7085</v>
      </c>
      <c r="N5" s="202" t="s">
        <v>7086</v>
      </c>
      <c r="O5" s="400" t="s">
        <v>7087</v>
      </c>
      <c r="P5" s="202" t="s">
        <v>7088</v>
      </c>
      <c r="Q5" s="401" t="s">
        <v>7089</v>
      </c>
      <c r="R5" s="402" t="s">
        <v>7090</v>
      </c>
      <c r="S5" s="197" t="s">
        <v>7091</v>
      </c>
      <c r="T5" s="198" t="s">
        <v>7092</v>
      </c>
      <c r="U5" s="197"/>
      <c r="V5" s="198"/>
      <c r="W5" s="198"/>
      <c r="X5" s="198"/>
      <c r="Y5" s="198"/>
      <c r="Z5" s="198"/>
    </row>
    <row r="6">
      <c r="A6" s="400" t="s">
        <v>7093</v>
      </c>
      <c r="B6" s="202" t="s">
        <v>7094</v>
      </c>
      <c r="C6" s="400" t="s">
        <v>7095</v>
      </c>
      <c r="D6" s="202" t="s">
        <v>7096</v>
      </c>
      <c r="E6" s="400" t="s">
        <v>7097</v>
      </c>
      <c r="F6" s="202" t="s">
        <v>7098</v>
      </c>
      <c r="G6" s="400" t="str">
        <f>IFERROR(__xludf.DUMMYFUNCTION("GOOGLETRANSLATE(A6,""zh-tw"",""zh"")"),"伐木斧")</f>
        <v>伐木斧</v>
      </c>
      <c r="H6" s="202" t="str">
        <f>IFERROR(__xludf.DUMMYFUNCTION("GOOGLETRANSLATE(B6,""zh-tw"",""zh"")"),"物攻：24")</f>
        <v>物攻：24</v>
      </c>
      <c r="I6" s="399" t="s">
        <v>7099</v>
      </c>
      <c r="J6" s="198" t="str">
        <f>IFERROR(__xludf.DUMMYFUNCTION("GOOGLETRANSLATE(B6,""zh-tw"",""es-MX"")"),"Ataque físico: 24")</f>
        <v>Ataque físico: 24</v>
      </c>
      <c r="K6" s="399" t="s">
        <v>7100</v>
      </c>
      <c r="L6" s="167" t="s">
        <v>7101</v>
      </c>
      <c r="M6" s="400" t="s">
        <v>7102</v>
      </c>
      <c r="N6" s="202" t="s">
        <v>7103</v>
      </c>
      <c r="O6" s="400" t="s">
        <v>7104</v>
      </c>
      <c r="P6" s="202" t="s">
        <v>7105</v>
      </c>
      <c r="Q6" s="401" t="s">
        <v>7106</v>
      </c>
      <c r="R6" s="402" t="s">
        <v>7107</v>
      </c>
      <c r="S6" s="197" t="s">
        <v>7108</v>
      </c>
      <c r="T6" s="198" t="s">
        <v>7109</v>
      </c>
      <c r="U6" s="197"/>
      <c r="V6" s="198"/>
      <c r="W6" s="198"/>
      <c r="X6" s="198"/>
      <c r="Y6" s="198"/>
      <c r="Z6" s="198"/>
    </row>
    <row r="7">
      <c r="A7" s="399" t="s">
        <v>7110</v>
      </c>
      <c r="B7" s="167" t="s">
        <v>7111</v>
      </c>
      <c r="C7" s="400" t="s">
        <v>7110</v>
      </c>
      <c r="D7" s="202" t="s">
        <v>7112</v>
      </c>
      <c r="E7" s="400" t="s">
        <v>7113</v>
      </c>
      <c r="F7" s="202" t="s">
        <v>7114</v>
      </c>
      <c r="G7" s="400" t="str">
        <f>IFERROR(__xludf.DUMMYFUNCTION("GOOGLETRANSLATE(A7,""zh-tw"",""zh"")"),"大木槌")</f>
        <v>大木槌</v>
      </c>
      <c r="H7" s="202" t="str">
        <f>IFERROR(__xludf.DUMMYFUNCTION("GOOGLETRANSLATE(B7,""zh-tw"",""zh"")"),"物攻：36
机率晕眩")</f>
        <v>物攻：36
机率晕眩</v>
      </c>
      <c r="I7" s="399" t="s">
        <v>7115</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7116</v>
      </c>
      <c r="N7" s="202" t="s">
        <v>7117</v>
      </c>
      <c r="O7" s="400" t="s">
        <v>7118</v>
      </c>
      <c r="P7" s="202" t="s">
        <v>7119</v>
      </c>
      <c r="Q7" s="401" t="s">
        <v>7120</v>
      </c>
      <c r="R7" s="402" t="s">
        <v>7121</v>
      </c>
      <c r="S7" s="197" t="s">
        <v>7122</v>
      </c>
      <c r="T7" s="198" t="s">
        <v>7123</v>
      </c>
      <c r="U7" s="197"/>
      <c r="V7" s="198"/>
      <c r="W7" s="198"/>
      <c r="X7" s="198"/>
      <c r="Y7" s="198"/>
      <c r="Z7" s="198"/>
    </row>
    <row r="8">
      <c r="A8" s="400" t="s">
        <v>7124</v>
      </c>
      <c r="B8" s="202" t="s">
        <v>7125</v>
      </c>
      <c r="C8" s="400" t="s">
        <v>7126</v>
      </c>
      <c r="D8" s="202" t="s">
        <v>7127</v>
      </c>
      <c r="E8" s="400" t="s">
        <v>7128</v>
      </c>
      <c r="F8" s="202" t="s">
        <v>7129</v>
      </c>
      <c r="G8" s="400" t="str">
        <f>IFERROR(__xludf.DUMMYFUNCTION("GOOGLETRANSLATE(A8,""zh-tw"",""zh"")"),"兽人的骨釜")</f>
        <v>兽人的骨釜</v>
      </c>
      <c r="H8" s="202" t="str">
        <f>IFERROR(__xludf.DUMMYFUNCTION("GOOGLETRANSLATE(B8,""zh-tw"",""zh"")"),"物攻：42")</f>
        <v>物攻：42</v>
      </c>
      <c r="I8" s="399" t="s">
        <v>7130</v>
      </c>
      <c r="J8" s="198" t="str">
        <f>IFERROR(__xludf.DUMMYFUNCTION("GOOGLETRANSLATE(B8,""zh-tw"",""es-MX"")"),"Ataque físico: 42")</f>
        <v>Ataque físico: 42</v>
      </c>
      <c r="K8" s="400" t="s">
        <v>7131</v>
      </c>
      <c r="L8" s="167" t="s">
        <v>7132</v>
      </c>
      <c r="M8" s="400" t="s">
        <v>7133</v>
      </c>
      <c r="N8" s="202" t="s">
        <v>7134</v>
      </c>
      <c r="O8" s="400" t="s">
        <v>7135</v>
      </c>
      <c r="P8" s="202" t="s">
        <v>7136</v>
      </c>
      <c r="Q8" s="401" t="s">
        <v>7137</v>
      </c>
      <c r="R8" s="402" t="s">
        <v>7138</v>
      </c>
      <c r="S8" s="197" t="s">
        <v>7139</v>
      </c>
      <c r="T8" s="198" t="s">
        <v>7140</v>
      </c>
      <c r="U8" s="197"/>
      <c r="V8" s="198"/>
      <c r="W8" s="198"/>
      <c r="X8" s="198"/>
      <c r="Y8" s="198"/>
      <c r="Z8" s="198"/>
    </row>
    <row r="9">
      <c r="A9" s="403" t="s">
        <v>7141</v>
      </c>
      <c r="B9" s="198" t="s">
        <v>7142</v>
      </c>
      <c r="C9" s="403" t="s">
        <v>7143</v>
      </c>
      <c r="D9" s="155" t="s">
        <v>7144</v>
      </c>
      <c r="E9" s="404" t="s">
        <v>7145</v>
      </c>
      <c r="F9" s="155" t="s">
        <v>7146</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7147</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7148</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7149</v>
      </c>
      <c r="N9" s="202" t="s">
        <v>7150</v>
      </c>
      <c r="O9" s="404" t="s">
        <v>7151</v>
      </c>
      <c r="P9" s="155" t="s">
        <v>7152</v>
      </c>
      <c r="Q9" s="405" t="s">
        <v>7153</v>
      </c>
      <c r="R9" s="402" t="s">
        <v>7154</v>
      </c>
      <c r="S9" s="197" t="s">
        <v>7155</v>
      </c>
      <c r="T9" s="198" t="s">
        <v>7156</v>
      </c>
      <c r="U9" s="197"/>
      <c r="V9" s="198"/>
      <c r="W9" s="198"/>
      <c r="X9" s="198"/>
      <c r="Y9" s="198"/>
      <c r="Z9" s="198"/>
    </row>
    <row r="10">
      <c r="A10" s="400" t="s">
        <v>7157</v>
      </c>
      <c r="B10" s="202" t="s">
        <v>7158</v>
      </c>
      <c r="C10" s="400" t="s">
        <v>7159</v>
      </c>
      <c r="D10" s="202" t="s">
        <v>7160</v>
      </c>
      <c r="E10" s="400" t="s">
        <v>7161</v>
      </c>
      <c r="F10" s="202" t="s">
        <v>7162</v>
      </c>
      <c r="G10" s="400" t="str">
        <f>IFERROR(__xludf.DUMMYFUNCTION("GOOGLETRANSLATE(A10,""zh-tw"",""zh"")"),"巨大蟹钳")</f>
        <v>巨大蟹钳</v>
      </c>
      <c r="H10" s="202" t="str">
        <f>IFERROR(__xludf.DUMMYFUNCTION("GOOGLETRANSLATE(B10,""zh-tw"",""zh"")"),"物攻：15
夹住目标")</f>
        <v>物攻：15
夹住目标</v>
      </c>
      <c r="I10" s="399" t="s">
        <v>7163</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7164</v>
      </c>
      <c r="N10" s="202" t="s">
        <v>7165</v>
      </c>
      <c r="O10" s="400" t="s">
        <v>7166</v>
      </c>
      <c r="P10" s="202" t="s">
        <v>7167</v>
      </c>
      <c r="Q10" s="401" t="s">
        <v>7168</v>
      </c>
      <c r="R10" s="402" t="s">
        <v>7169</v>
      </c>
      <c r="S10" s="197" t="s">
        <v>7170</v>
      </c>
      <c r="T10" s="198" t="s">
        <v>7171</v>
      </c>
      <c r="U10" s="197"/>
      <c r="V10" s="198"/>
      <c r="W10" s="198"/>
      <c r="X10" s="198"/>
      <c r="Y10" s="198"/>
      <c r="Z10" s="198"/>
    </row>
    <row r="11">
      <c r="A11" s="400" t="s">
        <v>7172</v>
      </c>
      <c r="B11" s="202" t="s">
        <v>7173</v>
      </c>
      <c r="C11" s="400" t="s">
        <v>7174</v>
      </c>
      <c r="D11" s="202" t="s">
        <v>7175</v>
      </c>
      <c r="E11" s="400" t="s">
        <v>7176</v>
      </c>
      <c r="F11" s="202" t="s">
        <v>7177</v>
      </c>
      <c r="G11" s="400" t="str">
        <f>IFERROR(__xludf.DUMMYFUNCTION("GOOGLETRANSLATE(A11,""zh-tw"",""zh"")"),"香蕉?")</f>
        <v>香蕉?</v>
      </c>
      <c r="H11" s="202" t="str">
        <f>IFERROR(__xludf.DUMMYFUNCTION("GOOGLETRANSLATE(B11,""zh-tw"",""zh"")"),"物攻：10
爆炸")</f>
        <v>物攻：10
爆炸</v>
      </c>
      <c r="I11" s="399" t="s">
        <v>7178</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7179</v>
      </c>
      <c r="N11" s="202" t="s">
        <v>7180</v>
      </c>
      <c r="O11" s="400" t="s">
        <v>7181</v>
      </c>
      <c r="P11" s="202" t="s">
        <v>7182</v>
      </c>
      <c r="Q11" s="401" t="s">
        <v>7183</v>
      </c>
      <c r="R11" s="402" t="s">
        <v>7184</v>
      </c>
      <c r="S11" s="197" t="s">
        <v>7176</v>
      </c>
      <c r="T11" s="198" t="s">
        <v>7185</v>
      </c>
      <c r="U11" s="197"/>
      <c r="V11" s="198"/>
      <c r="W11" s="198"/>
      <c r="X11" s="198"/>
      <c r="Y11" s="198"/>
      <c r="Z11" s="198"/>
    </row>
    <row r="12">
      <c r="A12" s="404" t="s">
        <v>7186</v>
      </c>
      <c r="B12" s="167" t="s">
        <v>7187</v>
      </c>
      <c r="C12" s="399" t="s">
        <v>5718</v>
      </c>
      <c r="D12" s="167" t="s">
        <v>7188</v>
      </c>
      <c r="E12" s="399" t="s">
        <v>5739</v>
      </c>
      <c r="F12" s="167" t="s">
        <v>7189</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7190</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5744</v>
      </c>
      <c r="N12" s="202" t="s">
        <v>7191</v>
      </c>
      <c r="O12" s="399" t="s">
        <v>5746</v>
      </c>
      <c r="P12" s="167" t="s">
        <v>7192</v>
      </c>
      <c r="Q12" s="401" t="s">
        <v>5747</v>
      </c>
      <c r="R12" s="402" t="s">
        <v>7193</v>
      </c>
      <c r="S12" s="197" t="s">
        <v>5749</v>
      </c>
      <c r="T12" s="198" t="s">
        <v>7194</v>
      </c>
      <c r="U12" s="197"/>
      <c r="V12" s="198"/>
      <c r="W12" s="198"/>
      <c r="X12" s="198"/>
      <c r="Y12" s="198"/>
      <c r="Z12" s="198"/>
    </row>
    <row r="13">
      <c r="A13" s="400" t="s">
        <v>7195</v>
      </c>
      <c r="B13" s="202" t="s">
        <v>7196</v>
      </c>
      <c r="C13" s="400" t="s">
        <v>7197</v>
      </c>
      <c r="D13" s="202" t="s">
        <v>7198</v>
      </c>
      <c r="E13" s="400" t="s">
        <v>7199</v>
      </c>
      <c r="F13" s="202" t="s">
        <v>7200</v>
      </c>
      <c r="G13" s="400" t="str">
        <f>IFERROR(__xludf.DUMMYFUNCTION("GOOGLETRANSLATE(A13,""zh-tw"",""zh"")"),"棒球棍")</f>
        <v>棒球棍</v>
      </c>
      <c r="H13" s="202" t="str">
        <f>IFERROR(__xludf.DUMMYFUNCTION("GOOGLETRANSLATE(B13,""zh-tw"",""zh"")"),"物攻：20
反弹抛射物")</f>
        <v>物攻：20
反弹抛射物</v>
      </c>
      <c r="I13" s="399" t="s">
        <v>7201</v>
      </c>
      <c r="J13" s="198" t="str">
        <f>IFERROR(__xludf.DUMMYFUNCTION("GOOGLETRANSLATE(B13,""zh-tw"",""es-MX"")"),"Ataque físico: 20 Refleja proyectiles")</f>
        <v>Ataque físico: 20 Refleja proyectiles</v>
      </c>
      <c r="K13" s="399" t="s">
        <v>7202</v>
      </c>
      <c r="L13" s="167" t="s">
        <v>7203</v>
      </c>
      <c r="M13" s="400" t="s">
        <v>7204</v>
      </c>
      <c r="N13" s="202" t="s">
        <v>7205</v>
      </c>
      <c r="O13" s="400" t="s">
        <v>7206</v>
      </c>
      <c r="P13" s="202" t="s">
        <v>7207</v>
      </c>
      <c r="Q13" s="401" t="s">
        <v>7208</v>
      </c>
      <c r="R13" s="402" t="s">
        <v>7209</v>
      </c>
      <c r="S13" s="197" t="s">
        <v>7210</v>
      </c>
      <c r="T13" s="198" t="s">
        <v>7211</v>
      </c>
      <c r="U13" s="197"/>
      <c r="V13" s="198"/>
      <c r="W13" s="198"/>
      <c r="X13" s="198"/>
      <c r="Y13" s="198"/>
      <c r="Z13" s="198"/>
    </row>
    <row r="14">
      <c r="A14" s="399" t="s">
        <v>7212</v>
      </c>
      <c r="B14" s="167" t="s">
        <v>7213</v>
      </c>
      <c r="C14" s="399" t="s">
        <v>4470</v>
      </c>
      <c r="D14" s="167" t="s">
        <v>7214</v>
      </c>
      <c r="E14" s="399" t="s">
        <v>7215</v>
      </c>
      <c r="F14" s="167" t="s">
        <v>7216</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7217</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7218</v>
      </c>
      <c r="N14" s="202" t="s">
        <v>7219</v>
      </c>
      <c r="O14" s="399" t="s">
        <v>7220</v>
      </c>
      <c r="P14" s="167" t="s">
        <v>7221</v>
      </c>
      <c r="Q14" s="401" t="s">
        <v>7222</v>
      </c>
      <c r="R14" s="402" t="s">
        <v>7223</v>
      </c>
      <c r="S14" s="197" t="s">
        <v>7224</v>
      </c>
      <c r="T14" s="198" t="s">
        <v>7225</v>
      </c>
      <c r="U14" s="197"/>
      <c r="V14" s="198"/>
      <c r="W14" s="198"/>
      <c r="X14" s="198"/>
      <c r="Y14" s="198"/>
      <c r="Z14" s="198"/>
    </row>
    <row r="15">
      <c r="A15" s="399" t="s">
        <v>7226</v>
      </c>
      <c r="B15" s="167" t="s">
        <v>7227</v>
      </c>
      <c r="C15" s="399" t="s">
        <v>7228</v>
      </c>
      <c r="D15" s="167" t="s">
        <v>7229</v>
      </c>
      <c r="E15" s="399" t="s">
        <v>7230</v>
      </c>
      <c r="F15" s="167" t="s">
        <v>7231</v>
      </c>
      <c r="G15" s="400" t="str">
        <f>IFERROR(__xludf.DUMMYFUNCTION("GOOGLETRANSLATE(A15,""zh-tw"",""zh"")"),"锻造锤")</f>
        <v>锻造锤</v>
      </c>
      <c r="H15" s="202" t="str">
        <f>IFERROR(__xludf.DUMMYFUNCTION("GOOGLETRANSLATE(B15,""zh-tw"",""zh"")"),"物攻：6
锻造用途，详情于TIPS")</f>
        <v>物攻：6
锻造用途，详情于TIPS</v>
      </c>
      <c r="I15" s="399" t="s">
        <v>7232</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7233</v>
      </c>
      <c r="N15" s="202" t="s">
        <v>7234</v>
      </c>
      <c r="O15" s="399" t="s">
        <v>7235</v>
      </c>
      <c r="P15" s="167" t="s">
        <v>7236</v>
      </c>
      <c r="Q15" s="401" t="s">
        <v>7237</v>
      </c>
      <c r="R15" s="402" t="s">
        <v>7238</v>
      </c>
      <c r="S15" s="197" t="s">
        <v>7239</v>
      </c>
      <c r="T15" s="198" t="s">
        <v>7240</v>
      </c>
      <c r="U15" s="197"/>
      <c r="V15" s="198"/>
      <c r="W15" s="198"/>
      <c r="X15" s="198"/>
      <c r="Y15" s="198"/>
      <c r="Z15" s="198"/>
    </row>
    <row r="16">
      <c r="A16" s="400" t="s">
        <v>7241</v>
      </c>
      <c r="B16" s="202" t="s">
        <v>7242</v>
      </c>
      <c r="C16" s="400" t="s">
        <v>7243</v>
      </c>
      <c r="D16" s="202" t="s">
        <v>7244</v>
      </c>
      <c r="E16" s="400" t="s">
        <v>7245</v>
      </c>
      <c r="F16" s="202" t="s">
        <v>7246</v>
      </c>
      <c r="G16" s="400" t="str">
        <f>IFERROR(__xludf.DUMMYFUNCTION("GOOGLETRANSLATE(A16,""zh-tw"",""zh"")"),"木弓")</f>
        <v>木弓</v>
      </c>
      <c r="H16" s="202" t="str">
        <f>IFERROR(__xludf.DUMMYFUNCTION("GOOGLETRANSLATE(B16,""zh-tw"",""zh"")"),"物攻：20
穿透(伤害递减)")</f>
        <v>物攻：20
穿透(伤害递减)</v>
      </c>
      <c r="I16" s="399" t="s">
        <v>7247</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7248</v>
      </c>
      <c r="N16" s="202" t="s">
        <v>7249</v>
      </c>
      <c r="O16" s="400" t="s">
        <v>7250</v>
      </c>
      <c r="P16" s="202" t="s">
        <v>7251</v>
      </c>
      <c r="Q16" s="401" t="s">
        <v>7252</v>
      </c>
      <c r="R16" s="402" t="s">
        <v>7253</v>
      </c>
      <c r="S16" s="197" t="s">
        <v>7254</v>
      </c>
      <c r="T16" s="198" t="s">
        <v>7255</v>
      </c>
      <c r="U16" s="197"/>
      <c r="V16" s="198"/>
      <c r="W16" s="198"/>
      <c r="X16" s="198"/>
      <c r="Y16" s="198"/>
      <c r="Z16" s="198"/>
    </row>
    <row r="17">
      <c r="A17" s="166" t="s">
        <v>7256</v>
      </c>
      <c r="C17" s="166" t="str">
        <f>IFERROR(__xludf.DUMMYFUNCTION("GOOGLETRANSLATE(A17,""zh-tw"",""ja"")"),"ブルークオリティ")</f>
        <v>ブルークオリティ</v>
      </c>
      <c r="E17" s="166" t="s">
        <v>7257</v>
      </c>
      <c r="G17" s="166" t="s">
        <v>7258</v>
      </c>
      <c r="I17" s="166"/>
      <c r="K17" s="166"/>
      <c r="M17" s="166" t="s">
        <v>7259</v>
      </c>
      <c r="O17" s="166"/>
      <c r="Q17" s="166"/>
      <c r="S17" s="166" t="s">
        <v>7260</v>
      </c>
      <c r="U17" s="166"/>
      <c r="W17" s="198"/>
      <c r="X17" s="198"/>
      <c r="Y17" s="198"/>
      <c r="Z17" s="198"/>
    </row>
    <row r="18">
      <c r="A18" s="400" t="s">
        <v>6724</v>
      </c>
      <c r="B18" s="202" t="s">
        <v>7261</v>
      </c>
      <c r="C18" s="400" t="s">
        <v>7262</v>
      </c>
      <c r="D18" s="202" t="s">
        <v>7263</v>
      </c>
      <c r="E18" s="400" t="s">
        <v>6727</v>
      </c>
      <c r="F18" s="202" t="s">
        <v>7264</v>
      </c>
      <c r="G18" s="400" t="str">
        <f>IFERROR(__xludf.DUMMYFUNCTION("GOOGLETRANSLATE(A18,""zh-tw"",""zh"")"),"骑士之剑")</f>
        <v>骑士之剑</v>
      </c>
      <c r="H18" s="202" t="str">
        <f>IFERROR(__xludf.DUMMYFUNCTION("GOOGLETRANSLATE(B18,""zh-tw"",""zh"")"),"物攻：30
满足条件后翻倍")</f>
        <v>物攻：30
满足条件后翻倍</v>
      </c>
      <c r="I18" s="399" t="s">
        <v>7265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7266</v>
      </c>
      <c r="M18" s="400" t="s">
        <v>6731</v>
      </c>
      <c r="N18" s="202" t="s">
        <v>7267</v>
      </c>
      <c r="O18" s="400" t="s">
        <v>6733</v>
      </c>
      <c r="P18" s="202" t="s">
        <v>7268</v>
      </c>
      <c r="Q18" s="401" t="s">
        <v>7269</v>
      </c>
      <c r="R18" s="402" t="s">
        <v>7270</v>
      </c>
      <c r="S18" s="197" t="s">
        <v>6738</v>
      </c>
      <c r="T18" s="198" t="s">
        <v>7271</v>
      </c>
      <c r="U18" s="197"/>
      <c r="V18" s="198"/>
      <c r="W18" s="198"/>
      <c r="X18" s="198"/>
      <c r="Y18" s="198"/>
      <c r="Z18" s="198"/>
    </row>
    <row r="19">
      <c r="A19" s="400" t="s">
        <v>7272</v>
      </c>
      <c r="B19" s="202" t="s">
        <v>7273</v>
      </c>
      <c r="C19" s="400" t="s">
        <v>7274</v>
      </c>
      <c r="D19" s="202" t="s">
        <v>7275</v>
      </c>
      <c r="E19" s="400" t="s">
        <v>7276</v>
      </c>
      <c r="F19" s="202" t="s">
        <v>7277</v>
      </c>
      <c r="G19" s="400" t="str">
        <f>IFERROR(__xludf.DUMMYFUNCTION("GOOGLETRANSLATE(A19,""zh-tw"",""zh"")"),"臭鱼骨")</f>
        <v>臭鱼骨</v>
      </c>
      <c r="H19" s="202" t="str">
        <f>IFERROR(__xludf.DUMMYFUNCTION("GOOGLETRANSLATE(B19,""zh-tw"",""zh"")"),"物攻：14
散发恶臭")</f>
        <v>物攻：14
散发恶臭</v>
      </c>
      <c r="I19" s="399" t="s">
        <v>7278</v>
      </c>
      <c r="J19" s="198" t="str">
        <f>IFERROR(__xludf.DUMMYFUNCTION("GOOGLETRANSLATE(B19,""zh-tw"",""es-MX"")"),"Ataque físico: 14 Emite un hedor nauseabundo")</f>
        <v>Ataque físico: 14 Emite un hedor nauseabundo</v>
      </c>
      <c r="K19" s="403" t="str">
        <f>IFERROR(__xludf.DUMMYFUNCTION("GOOGLETRANSLATE(A19,""zh-tw"",""KO"")"),"냄새나는 생선 뼈")</f>
        <v>냄새나는 생선 뼈</v>
      </c>
      <c r="L19" s="167" t="s">
        <v>7279</v>
      </c>
      <c r="M19" s="400" t="s">
        <v>7280</v>
      </c>
      <c r="N19" s="202" t="s">
        <v>7281</v>
      </c>
      <c r="O19" s="400" t="s">
        <v>7282</v>
      </c>
      <c r="P19" s="202" t="s">
        <v>7283</v>
      </c>
      <c r="Q19" s="401" t="s">
        <v>7284</v>
      </c>
      <c r="R19" s="402" t="s">
        <v>7285</v>
      </c>
      <c r="S19" s="197" t="s">
        <v>7286</v>
      </c>
      <c r="T19" s="198" t="s">
        <v>7287</v>
      </c>
      <c r="U19" s="197"/>
      <c r="V19" s="198"/>
      <c r="W19" s="198"/>
      <c r="X19" s="198"/>
      <c r="Y19" s="198"/>
      <c r="Z19" s="198"/>
    </row>
    <row r="20">
      <c r="A20" s="400" t="s">
        <v>7288</v>
      </c>
      <c r="B20" s="202" t="s">
        <v>7289</v>
      </c>
      <c r="C20" s="400" t="s">
        <v>7288</v>
      </c>
      <c r="D20" s="202" t="s">
        <v>7290</v>
      </c>
      <c r="E20" s="400" t="s">
        <v>7291</v>
      </c>
      <c r="F20" s="202" t="s">
        <v>7292</v>
      </c>
      <c r="G20" s="400" t="str">
        <f>IFERROR(__xludf.DUMMYFUNCTION("GOOGLETRANSLATE(A20,""zh-tw"",""zh"")"),"阳炎")</f>
        <v>阳炎</v>
      </c>
      <c r="H20" s="202" t="str">
        <f>IFERROR(__xludf.DUMMYFUNCTION("GOOGLETRANSLATE(B20,""zh-tw"",""zh"")"),"物攻：24
魔攻：16
炎属性")</f>
        <v>物攻：24
魔攻：16
炎属性</v>
      </c>
      <c r="I20" s="399" t="s">
        <v>7293</v>
      </c>
      <c r="J20" s="198" t="str">
        <f>IFERROR(__xludf.DUMMYFUNCTION("GOOGLETRANSLATE(B20,""zh-tw"",""es-MX"")"),"Ataque físico: 24
Ataque mágico: 16
Atributo de fuego")</f>
        <v>Ataque físico: 24
Ataque mágico: 16
Atributo de fuego</v>
      </c>
      <c r="K20" s="400" t="s">
        <v>7294</v>
      </c>
      <c r="L20" s="167" t="s">
        <v>7295</v>
      </c>
      <c r="M20" s="400" t="s">
        <v>7296</v>
      </c>
      <c r="N20" s="202" t="s">
        <v>7297</v>
      </c>
      <c r="O20" s="400" t="s">
        <v>7298</v>
      </c>
      <c r="P20" s="202" t="s">
        <v>7299</v>
      </c>
      <c r="Q20" s="401" t="s">
        <v>7300</v>
      </c>
      <c r="R20" s="406" t="s">
        <v>7301</v>
      </c>
      <c r="S20" s="197" t="s">
        <v>7302</v>
      </c>
      <c r="T20" s="198" t="s">
        <v>7303</v>
      </c>
      <c r="U20" s="197"/>
      <c r="V20" s="198"/>
      <c r="W20" s="198"/>
      <c r="X20" s="198"/>
      <c r="Y20" s="198"/>
      <c r="Z20" s="198"/>
    </row>
    <row r="21">
      <c r="A21" s="400" t="s">
        <v>7304</v>
      </c>
      <c r="B21" s="202" t="s">
        <v>7305</v>
      </c>
      <c r="C21" s="400" t="s">
        <v>7304</v>
      </c>
      <c r="D21" s="202" t="s">
        <v>7306</v>
      </c>
      <c r="E21" s="400" t="s">
        <v>7307</v>
      </c>
      <c r="F21" s="202" t="s">
        <v>7308</v>
      </c>
      <c r="G21" s="400" t="str">
        <f>IFERROR(__xludf.DUMMYFUNCTION("GOOGLETRANSLATE(A21,""zh-tw"",""zh"")"),"霜月")</f>
        <v>霜月</v>
      </c>
      <c r="H21" s="202" t="str">
        <f>IFERROR(__xludf.DUMMYFUNCTION("GOOGLETRANSLATE(B21,""zh-tw"",""zh"")"),"物攻：20
魔攻：14
冰属性")</f>
        <v>物攻：20
魔攻：14
冰属性</v>
      </c>
      <c r="I21" s="399" t="s">
        <v>7309</v>
      </c>
      <c r="J21" s="198" t="str">
        <f>IFERROR(__xludf.DUMMYFUNCTION("GOOGLETRANSLATE(B21,""zh-tw"",""es-MX"")"),"Ataque físico: 20
Ataque mágico: 14
Atributo hielo")</f>
        <v>Ataque físico: 20
Ataque mágico: 14
Atributo hielo</v>
      </c>
      <c r="K21" s="399" t="s">
        <v>7310</v>
      </c>
      <c r="L21" s="167" t="s">
        <v>7311</v>
      </c>
      <c r="M21" s="400" t="s">
        <v>7312</v>
      </c>
      <c r="N21" s="202" t="s">
        <v>7313</v>
      </c>
      <c r="O21" s="400" t="s">
        <v>7314</v>
      </c>
      <c r="P21" s="202" t="s">
        <v>7315</v>
      </c>
      <c r="Q21" s="405" t="s">
        <v>7316</v>
      </c>
      <c r="R21" s="402" t="s">
        <v>7317</v>
      </c>
      <c r="S21" s="197" t="s">
        <v>7318</v>
      </c>
      <c r="T21" s="198" t="s">
        <v>7319</v>
      </c>
      <c r="U21" s="197"/>
      <c r="V21" s="198"/>
      <c r="W21" s="198"/>
      <c r="X21" s="198"/>
      <c r="Y21" s="198"/>
      <c r="Z21" s="198"/>
    </row>
    <row r="22">
      <c r="A22" s="400" t="s">
        <v>7320</v>
      </c>
      <c r="B22" s="202" t="s">
        <v>7321</v>
      </c>
      <c r="C22" s="400" t="s">
        <v>7322</v>
      </c>
      <c r="D22" s="202" t="s">
        <v>7323</v>
      </c>
      <c r="E22" s="400" t="s">
        <v>7324</v>
      </c>
      <c r="F22" s="202" t="s">
        <v>7325</v>
      </c>
      <c r="G22" s="400" t="str">
        <f>IFERROR(__xludf.DUMMYFUNCTION("GOOGLETRANSLATE(A22,""zh-tw"",""zh"")"),"会漏电的不良品")</f>
        <v>会漏电的不良品</v>
      </c>
      <c r="H22" s="202" t="str">
        <f>IFERROR(__xludf.DUMMYFUNCTION("GOOGLETRANSLATE(B22,""zh-tw"",""zh"")"),"物攻：28
魔攻：12
电属性")</f>
        <v>物攻：28
魔攻：12
电属性</v>
      </c>
      <c r="I22" s="399" t="s">
        <v>7326</v>
      </c>
      <c r="J22" s="198" t="str">
        <f>IFERROR(__xludf.DUMMYFUNCTION("GOOGLETRANSLATE(B22,""zh-tw"",""es-MX"")"),"Ataque físico: 28
Ataque mágico: 12
Atributo eléctrico")</f>
        <v>Ataque físico: 28
Ataque mágico: 12
Atributo eléctrico</v>
      </c>
      <c r="K22" s="399" t="s">
        <v>7327</v>
      </c>
      <c r="L22" s="198" t="str">
        <f>IFERROR(__xludf.DUMMYFUNCTION("GOOGLETRANSLATE(B22,""zh-tw"",""KO"")"),"물리 공격력: 28
마법 공격력: 12
속성: 전기")</f>
        <v>물리 공격력: 28
마법 공격력: 12
속성: 전기</v>
      </c>
      <c r="M22" s="400" t="s">
        <v>7328</v>
      </c>
      <c r="N22" s="202" t="s">
        <v>7329</v>
      </c>
      <c r="O22" s="400" t="s">
        <v>7330</v>
      </c>
      <c r="P22" s="202" t="s">
        <v>7331</v>
      </c>
      <c r="Q22" s="401" t="s">
        <v>7332</v>
      </c>
      <c r="R22" s="406" t="s">
        <v>7333</v>
      </c>
      <c r="S22" s="197" t="s">
        <v>7334</v>
      </c>
      <c r="T22" s="198" t="s">
        <v>7335</v>
      </c>
      <c r="U22" s="197"/>
      <c r="V22" s="198"/>
      <c r="W22" s="198"/>
      <c r="X22" s="198"/>
      <c r="Y22" s="198"/>
      <c r="Z22" s="198"/>
    </row>
    <row r="23">
      <c r="A23" s="400" t="s">
        <v>7336</v>
      </c>
      <c r="B23" s="202" t="s">
        <v>7337</v>
      </c>
      <c r="C23" s="400" t="s">
        <v>7338</v>
      </c>
      <c r="D23" s="202" t="s">
        <v>7339</v>
      </c>
      <c r="E23" s="400" t="s">
        <v>7340</v>
      </c>
      <c r="F23" s="202" t="s">
        <v>7341</v>
      </c>
      <c r="G23" s="400" t="str">
        <f>IFERROR(__xludf.DUMMYFUNCTION("GOOGLETRANSLATE(A23,""zh-tw"",""zh"")"),"毒孢针")</f>
        <v>毒孢针</v>
      </c>
      <c r="H23" s="202" t="str">
        <f>IFERROR(__xludf.DUMMYFUNCTION("GOOGLETRANSLATE(B23,""zh-tw"",""zh"")"),"物攻：14
毒属性")</f>
        <v>物攻：14
毒属性</v>
      </c>
      <c r="I23" s="399" t="s">
        <v>7342</v>
      </c>
      <c r="J23" s="198" t="str">
        <f>IFERROR(__xludf.DUMMYFUNCTION("GOOGLETRANSLATE(B23,""zh-tw"",""es-MX"")"),"Ataque físico: 14 Atributo Veneno")</f>
        <v>Ataque físico: 14 Atributo Veneno</v>
      </c>
      <c r="K23" s="399" t="s">
        <v>7343</v>
      </c>
      <c r="L23" s="198" t="str">
        <f>IFERROR(__xludf.DUMMYFUNCTION("GOOGLETRANSLATE(B23,""zh-tw"",""KO"")"),"물리 공격력: 14 독 속성")</f>
        <v>물리 공격력: 14 독 속성</v>
      </c>
      <c r="M23" s="400" t="s">
        <v>7344</v>
      </c>
      <c r="N23" s="202" t="s">
        <v>7345</v>
      </c>
      <c r="O23" s="400" t="s">
        <v>7346</v>
      </c>
      <c r="P23" s="202" t="s">
        <v>7347</v>
      </c>
      <c r="Q23" s="401" t="s">
        <v>7348</v>
      </c>
      <c r="R23" s="402" t="s">
        <v>7349</v>
      </c>
      <c r="S23" s="197" t="s">
        <v>7350</v>
      </c>
      <c r="T23" s="198" t="s">
        <v>7351</v>
      </c>
      <c r="U23" s="197"/>
      <c r="V23" s="198"/>
      <c r="W23" s="198"/>
      <c r="X23" s="198"/>
      <c r="Y23" s="198"/>
      <c r="Z23" s="198"/>
    </row>
    <row r="24">
      <c r="A24" s="400" t="s">
        <v>7352</v>
      </c>
      <c r="B24" s="202" t="s">
        <v>7353</v>
      </c>
      <c r="C24" s="400" t="s">
        <v>7354</v>
      </c>
      <c r="D24" s="202" t="s">
        <v>7355</v>
      </c>
      <c r="E24" s="400" t="s">
        <v>7356</v>
      </c>
      <c r="F24" s="202" t="s">
        <v>7357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7358</v>
      </c>
      <c r="J24" s="198" t="str">
        <f>IFERROR(__xludf.DUMMYFUNCTION("GOOGLETRANSLATE(B24,""zh-tw"",""es-MX"")"),"Ataque físico: 48
Resistencia mágica: 20
Tipo de arma que cumple con los requisitos")</f>
        <v>Ataque físico: 48
Resistencia mágica: 20
Tipo de arma que cumple con los requisitos</v>
      </c>
      <c r="K24" s="399" t="s">
        <v>7359</v>
      </c>
      <c r="L24" s="198" t="str">
        <f>IFERROR(__xludf.DUMMYFUNCTION("GOOGLETRANSLATE(B24,""zh-tw"",""KO"")"),"물리 공격력: 48
마법 저항력: 20
요구 조건을 충족하는 무기 유형")</f>
        <v>물리 공격력: 48
마법 저항력: 20
요구 조건을 충족하는 무기 유형</v>
      </c>
      <c r="M24" s="400" t="s">
        <v>7360</v>
      </c>
      <c r="N24" s="202" t="s">
        <v>7361</v>
      </c>
      <c r="O24" s="400" t="s">
        <v>7362</v>
      </c>
      <c r="P24" s="202" t="s">
        <v>7363</v>
      </c>
      <c r="Q24" s="401" t="s">
        <v>7364</v>
      </c>
      <c r="R24" s="402" t="s">
        <v>7365</v>
      </c>
      <c r="S24" s="197" t="s">
        <v>7366</v>
      </c>
      <c r="T24" s="198" t="s">
        <v>7367</v>
      </c>
      <c r="U24" s="197"/>
      <c r="V24" s="198"/>
      <c r="W24" s="198"/>
      <c r="X24" s="198"/>
      <c r="Y24" s="198"/>
      <c r="Z24" s="198"/>
    </row>
    <row r="25">
      <c r="A25" s="400" t="s">
        <v>7368</v>
      </c>
      <c r="B25" s="202" t="s">
        <v>7369</v>
      </c>
      <c r="C25" s="400" t="s">
        <v>7370</v>
      </c>
      <c r="D25" s="202" t="s">
        <v>7371</v>
      </c>
      <c r="E25" s="400" t="s">
        <v>7372</v>
      </c>
      <c r="F25" s="202" t="s">
        <v>7373</v>
      </c>
      <c r="G25" s="400" t="str">
        <f>IFERROR(__xludf.DUMMYFUNCTION("GOOGLETRANSLATE(A25,""zh-tw"",""zh"")"),"甜筒大剑")</f>
        <v>甜筒大剑</v>
      </c>
      <c r="H25" s="202" t="str">
        <f>IFERROR(__xludf.DUMMYFUNCTION("GOOGLETRANSLATE(B25,""zh-tw"",""zh"")"),"物攻：1
累计伤害型武器")</f>
        <v>物攻：1
累计伤害型武器</v>
      </c>
      <c r="I25" s="399" t="s">
        <v>7374</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공격력: 1 (누적 피해 유형 무기)")</f>
        <v>물리 공격력: 1 (누적 피해 유형 무기)</v>
      </c>
      <c r="M25" s="400" t="s">
        <v>7375</v>
      </c>
      <c r="N25" s="202" t="s">
        <v>7376</v>
      </c>
      <c r="O25" s="400" t="s">
        <v>7377</v>
      </c>
      <c r="P25" s="202" t="s">
        <v>7378</v>
      </c>
      <c r="Q25" s="401" t="s">
        <v>7379</v>
      </c>
      <c r="R25" s="402" t="s">
        <v>7380</v>
      </c>
      <c r="S25" s="197" t="s">
        <v>7381</v>
      </c>
      <c r="T25" s="198" t="s">
        <v>7382</v>
      </c>
      <c r="U25" s="197"/>
      <c r="V25" s="198"/>
      <c r="W25" s="198"/>
      <c r="X25" s="198"/>
      <c r="Y25" s="198"/>
      <c r="Z25" s="198"/>
    </row>
    <row r="26">
      <c r="A26" s="399" t="s">
        <v>7383</v>
      </c>
      <c r="B26" s="167" t="s">
        <v>7369</v>
      </c>
      <c r="C26" s="399" t="s">
        <v>7384</v>
      </c>
      <c r="D26" s="167" t="s">
        <v>7385</v>
      </c>
      <c r="E26" s="399" t="s">
        <v>7386</v>
      </c>
      <c r="F26" s="167" t="s">
        <v>7387</v>
      </c>
      <c r="G26" s="399" t="s">
        <v>7383</v>
      </c>
      <c r="H26" s="167" t="s">
        <v>7388</v>
      </c>
      <c r="I26" s="403"/>
      <c r="J26" s="198"/>
      <c r="K26" s="399" t="s">
        <v>7389</v>
      </c>
      <c r="L26" s="167" t="s">
        <v>7390</v>
      </c>
      <c r="M26" s="400" t="s">
        <v>7391</v>
      </c>
      <c r="N26" s="202" t="s">
        <v>7376</v>
      </c>
      <c r="O26" s="403"/>
      <c r="P26" s="198"/>
      <c r="Q26" s="407" t="s">
        <v>7392</v>
      </c>
      <c r="R26" s="408" t="s">
        <v>7393</v>
      </c>
      <c r="S26" s="165" t="s">
        <v>7394</v>
      </c>
      <c r="T26" s="167" t="s">
        <v>7395</v>
      </c>
      <c r="U26" s="165"/>
      <c r="V26" s="167"/>
      <c r="W26" s="198"/>
      <c r="X26" s="198"/>
      <c r="Y26" s="198"/>
      <c r="Z26" s="198"/>
    </row>
    <row r="27">
      <c r="A27" s="399" t="s">
        <v>7396</v>
      </c>
      <c r="B27" s="167" t="s">
        <v>7397</v>
      </c>
      <c r="C27" s="399" t="s">
        <v>7398</v>
      </c>
      <c r="D27" s="167" t="s">
        <v>7399</v>
      </c>
      <c r="E27" s="399" t="s">
        <v>5720</v>
      </c>
      <c r="F27" s="167" t="s">
        <v>7400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7401</v>
      </c>
      <c r="J27" s="198" t="str">
        <f>IFERROR(__xludf.DUMMYFUNCTION("GOOGLETRANSLATE(B27,""zh-tw"",""es-MX"")"),"Ataque físico: 26
Defensa física: 2
Efecto de congelación
Efecto de penetración al lanzar")</f>
        <v>Ataque físico: 26
Defensa física: 2
Efecto de congelación
Efecto de penetración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5725</v>
      </c>
      <c r="N27" s="202" t="s">
        <v>7402</v>
      </c>
      <c r="O27" s="399" t="s">
        <v>5727</v>
      </c>
      <c r="P27" s="167" t="s">
        <v>7403</v>
      </c>
      <c r="Q27" s="133" t="s">
        <v>7404</v>
      </c>
      <c r="R27" s="381" t="s">
        <v>7405</v>
      </c>
      <c r="S27" s="197" t="s">
        <v>7406</v>
      </c>
      <c r="T27" s="198" t="s">
        <v>7407</v>
      </c>
      <c r="U27" s="197"/>
      <c r="V27" s="198"/>
      <c r="W27" s="198"/>
      <c r="X27" s="198"/>
      <c r="Y27" s="198"/>
      <c r="Z27" s="198"/>
    </row>
    <row r="28">
      <c r="A28" s="399" t="s">
        <v>7408</v>
      </c>
      <c r="B28" s="167" t="s">
        <v>7409</v>
      </c>
      <c r="C28" s="399" t="s">
        <v>7410</v>
      </c>
      <c r="D28" s="167" t="s">
        <v>7411</v>
      </c>
      <c r="E28" s="399" t="s">
        <v>7412</v>
      </c>
      <c r="F28" s="167" t="s">
        <v>7413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7414</v>
      </c>
      <c r="J28" s="198" t="str">
        <f>IFERROR(__xludf.DUMMYFUNCTION("GOOGLETRANSLATE(B28,""zh-tw"",""es-MX"")"),"Ataque físico: 10
Ataque mágico: 10
Efecto venenoso
Efecto de penetración arrojadiza")</f>
        <v>Ataque físico: 10
Ataque mágico: 10
Efecto venenoso
Efecto de penetración arrojadiza</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7415</v>
      </c>
      <c r="N28" s="202" t="s">
        <v>7416</v>
      </c>
      <c r="O28" s="399" t="s">
        <v>7417</v>
      </c>
      <c r="P28" s="167" t="s">
        <v>7418</v>
      </c>
      <c r="Q28" s="133" t="s">
        <v>7419</v>
      </c>
      <c r="R28" s="381" t="s">
        <v>7420</v>
      </c>
      <c r="S28" s="197" t="s">
        <v>7421</v>
      </c>
      <c r="T28" s="198" t="s">
        <v>7422</v>
      </c>
      <c r="U28" s="197"/>
      <c r="V28" s="198"/>
      <c r="W28" s="198"/>
      <c r="X28" s="198"/>
      <c r="Y28" s="198"/>
      <c r="Z28" s="198"/>
    </row>
    <row r="29">
      <c r="A29" s="400" t="s">
        <v>7423</v>
      </c>
      <c r="B29" s="202" t="s">
        <v>7424</v>
      </c>
      <c r="C29" s="400" t="s">
        <v>7425</v>
      </c>
      <c r="D29" s="202" t="s">
        <v>7426</v>
      </c>
      <c r="E29" s="400" t="s">
        <v>7427</v>
      </c>
      <c r="F29" s="202" t="s">
        <v>7428</v>
      </c>
      <c r="G29" s="400" t="str">
        <f>IFERROR(__xludf.DUMMYFUNCTION("GOOGLETRANSLATE(A29,""zh-tw"",""zh"")"),"巨蜗吸尘器")</f>
        <v>巨蜗吸尘器</v>
      </c>
      <c r="H29" s="202" t="str">
        <f>IFERROR(__xludf.DUMMYFUNCTION("GOOGLETRANSLATE(B29,""zh-tw"",""zh"")"),"物攻：1
魔攻：1
吸取物品")</f>
        <v>物攻：1
魔攻：1
吸取物品</v>
      </c>
      <c r="I29" s="399" t="s">
        <v>7429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7430</v>
      </c>
      <c r="N29" s="202" t="s">
        <v>7431</v>
      </c>
      <c r="O29" s="400" t="s">
        <v>7432</v>
      </c>
      <c r="P29" s="202" t="s">
        <v>7433</v>
      </c>
      <c r="Q29" s="401" t="s">
        <v>7434</v>
      </c>
      <c r="R29" s="402" t="s">
        <v>7435</v>
      </c>
      <c r="S29" s="197" t="s">
        <v>7436</v>
      </c>
      <c r="T29" s="198" t="s">
        <v>7437</v>
      </c>
      <c r="U29" s="197"/>
      <c r="V29" s="198"/>
      <c r="W29" s="198"/>
      <c r="X29" s="198"/>
      <c r="Y29" s="198"/>
      <c r="Z29" s="198"/>
    </row>
    <row r="30">
      <c r="A30" s="400" t="s">
        <v>7438</v>
      </c>
      <c r="B30" s="202" t="s">
        <v>7439</v>
      </c>
      <c r="C30" s="400" t="s">
        <v>6980</v>
      </c>
      <c r="D30" s="202" t="s">
        <v>7440</v>
      </c>
      <c r="E30" s="400" t="s">
        <v>7441</v>
      </c>
      <c r="F30" s="202" t="s">
        <v>7442</v>
      </c>
      <c r="G30" s="400" t="str">
        <f>IFERROR(__xludf.DUMMYFUNCTION("GOOGLETRANSLATE(A30,""zh-tw"",""zh"")"),"熔岩杖")</f>
        <v>熔岩杖</v>
      </c>
      <c r="H30" s="202" t="str">
        <f>IFERROR(__xludf.DUMMYFUNCTION("GOOGLETRANSLATE(B30,""zh-tw"",""zh"")"),"物攻：1
魔攻：66
炎属性")</f>
        <v>物攻：1
魔攻：66
炎属性</v>
      </c>
      <c r="I30" s="399" t="s">
        <v>7443</v>
      </c>
      <c r="J30" s="198" t="str">
        <f>IFERROR(__xludf.DUMMYFUNCTION("GOOGLETRANSLATE(B30,""zh-tw"",""es-MX"")"),"Ataque físico: 1
Ataque mágico: 66
Atributo de fuego")</f>
        <v>Ataque físico: 1
Ataque mágico: 66
Atributo de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7444</v>
      </c>
      <c r="N30" s="202" t="s">
        <v>7445</v>
      </c>
      <c r="O30" s="400" t="s">
        <v>6987</v>
      </c>
      <c r="P30" s="202" t="s">
        <v>7446</v>
      </c>
      <c r="Q30" s="401" t="s">
        <v>7447</v>
      </c>
      <c r="R30" s="406" t="s">
        <v>7448</v>
      </c>
      <c r="S30" s="197" t="s">
        <v>7449</v>
      </c>
      <c r="T30" s="198" t="s">
        <v>7450</v>
      </c>
      <c r="U30" s="197"/>
      <c r="V30" s="198"/>
      <c r="W30" s="198"/>
      <c r="X30" s="198"/>
      <c r="Y30" s="198"/>
      <c r="Z30" s="198"/>
    </row>
    <row r="31">
      <c r="A31" s="400" t="s">
        <v>7451</v>
      </c>
      <c r="B31" s="202" t="s">
        <v>7452</v>
      </c>
      <c r="C31" s="400" t="s">
        <v>7453</v>
      </c>
      <c r="D31" s="202" t="s">
        <v>7454</v>
      </c>
      <c r="E31" s="400" t="s">
        <v>7455</v>
      </c>
      <c r="F31" s="202" t="s">
        <v>7456</v>
      </c>
      <c r="G31" s="400" t="str">
        <f>IFERROR(__xludf.DUMMYFUNCTION("GOOGLETRANSLATE(A31,""zh-tw"",""zh"")"),"寒冰杖")</f>
        <v>寒冰杖</v>
      </c>
      <c r="H31" s="202" t="str">
        <f>IFERROR(__xludf.DUMMYFUNCTION("GOOGLETRANSLATE(B31,""zh-tw"",""zh"")"),"物攻：1
魔攻：55
冰属性")</f>
        <v>物攻：1
魔攻：55
冰属性</v>
      </c>
      <c r="I31" s="399" t="s">
        <v>7457</v>
      </c>
      <c r="J31" s="198" t="str">
        <f>IFERROR(__xludf.DUMMYFUNCTION("GOOGLETRANSLATE(B31,""zh-tw"",""es-MX"")"),"Ataque físico: 1 Ataque mágico: 55 Atributo de hielo")</f>
        <v>Ataque físico: 1 Ataque mágico: 55 Atributo de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7458</v>
      </c>
      <c r="N31" s="202" t="s">
        <v>7459</v>
      </c>
      <c r="O31" s="400" t="s">
        <v>7460</v>
      </c>
      <c r="P31" s="202" t="s">
        <v>7461</v>
      </c>
      <c r="Q31" s="401" t="s">
        <v>7462</v>
      </c>
      <c r="R31" s="402" t="s">
        <v>7463</v>
      </c>
      <c r="S31" s="197" t="s">
        <v>7464</v>
      </c>
      <c r="T31" s="198" t="s">
        <v>7465</v>
      </c>
      <c r="U31" s="197"/>
      <c r="V31" s="198"/>
      <c r="W31" s="198"/>
      <c r="X31" s="198"/>
      <c r="Y31" s="198"/>
      <c r="Z31" s="198"/>
    </row>
    <row r="32">
      <c r="A32" s="403" t="s">
        <v>7466</v>
      </c>
      <c r="B32" s="167" t="s">
        <v>7467</v>
      </c>
      <c r="C32" s="403" t="s">
        <v>7468</v>
      </c>
      <c r="D32" s="167" t="s">
        <v>7469</v>
      </c>
      <c r="E32" s="403" t="s">
        <v>7470</v>
      </c>
      <c r="F32" s="167" t="s">
        <v>7471</v>
      </c>
      <c r="G32" s="403" t="s">
        <v>7472</v>
      </c>
      <c r="H32" s="167" t="s">
        <v>7473</v>
      </c>
      <c r="I32" s="399" t="s">
        <v>7474</v>
      </c>
      <c r="J32" s="198" t="str">
        <f>IFERROR(__xludf.DUMMYFUNCTION("GOOGLETRANSLATE(B32,""zh-tw"",""es-MX"")"),"Ataque mágico: 40 Exterminio de insectos")</f>
        <v>Ataque mágico: 40 Exterminio de insectos</v>
      </c>
      <c r="K32" s="403" t="str">
        <f>IFERROR(__xludf.DUMMYFUNCTION("GOOGLETRANSLATE(A32,""zh-tw"",""KO"")"),"살충제 스틱")</f>
        <v>살충제 스틱</v>
      </c>
      <c r="L32" s="198" t="str">
        <f>IFERROR(__xludf.DUMMYFUNCTION("GOOGLETRANSLATE(B32,""zh-tw"",""KO"")"),"마법 공격: 곤충 박멸 40")</f>
        <v>마법 공격: 곤충 박멸 40</v>
      </c>
      <c r="M32" s="400" t="s">
        <v>7475</v>
      </c>
      <c r="N32" s="202" t="s">
        <v>7476</v>
      </c>
      <c r="O32" s="399" t="s">
        <v>7477</v>
      </c>
      <c r="P32" s="167" t="s">
        <v>7478</v>
      </c>
      <c r="Q32" s="212" t="s">
        <v>7479</v>
      </c>
      <c r="R32" s="408" t="s">
        <v>7480</v>
      </c>
      <c r="S32" s="197" t="s">
        <v>7481</v>
      </c>
      <c r="T32" s="167" t="s">
        <v>7482</v>
      </c>
      <c r="U32" s="197"/>
      <c r="V32" s="198"/>
      <c r="W32" s="198"/>
      <c r="X32" s="198"/>
      <c r="Y32" s="198"/>
      <c r="Z32" s="198"/>
    </row>
    <row r="33">
      <c r="A33" s="400" t="s">
        <v>7483</v>
      </c>
      <c r="B33" s="202" t="s">
        <v>7484</v>
      </c>
      <c r="C33" s="400" t="s">
        <v>7485</v>
      </c>
      <c r="D33" s="202" t="s">
        <v>7486</v>
      </c>
      <c r="E33" s="400" t="s">
        <v>7487</v>
      </c>
      <c r="F33" s="202" t="s">
        <v>7488</v>
      </c>
      <c r="G33" s="400" t="str">
        <f>IFERROR(__xludf.DUMMYFUNCTION("GOOGLETRANSLATE(A33,""zh-tw"",""zh"")"),"猎人之弓")</f>
        <v>猎人之弓</v>
      </c>
      <c r="H33" s="202" t="str">
        <f>IFERROR(__xludf.DUMMYFUNCTION("GOOGLETRANSLATE(B33,""zh-tw"",""zh"")"),"物攻：24
穿透")</f>
        <v>物攻：24
穿透</v>
      </c>
      <c r="I33" s="399" t="s">
        <v>7489</v>
      </c>
      <c r="J33" s="198" t="str">
        <f>IFERROR(__xludf.DUMMYFUNCTION("GOOGLETRANSLATE(B33,""zh-tw"",""es-MX"")"),"Ataque físico: 24 penetración")</f>
        <v>Ataque físico: 24 penetración</v>
      </c>
      <c r="K33" s="403" t="str">
        <f>IFERROR(__xludf.DUMMYFUNCTION("GOOGLETRANSLATE(A33,""zh-tw"",""KO"")"),"사냥꾼의 활")</f>
        <v>사냥꾼의 활</v>
      </c>
      <c r="L33" s="198" t="str">
        <f>IFERROR(__xludf.DUMMYFUNCTION("GOOGLETRANSLATE(B33,""zh-tw"",""KO"")"),"물리적 공격: 관통력 24")</f>
        <v>물리적 공격: 관통력 24</v>
      </c>
      <c r="M33" s="400" t="s">
        <v>7490</v>
      </c>
      <c r="N33" s="202" t="s">
        <v>7491</v>
      </c>
      <c r="O33" s="400" t="s">
        <v>7492</v>
      </c>
      <c r="P33" s="202" t="s">
        <v>7493</v>
      </c>
      <c r="Q33" s="401" t="s">
        <v>7494</v>
      </c>
      <c r="R33" s="402" t="s">
        <v>7495</v>
      </c>
      <c r="S33" s="197" t="s">
        <v>7496</v>
      </c>
      <c r="T33" s="198" t="s">
        <v>7497</v>
      </c>
      <c r="U33" s="197"/>
      <c r="V33" s="198"/>
      <c r="W33" s="198"/>
      <c r="X33" s="198"/>
      <c r="Y33" s="198"/>
      <c r="Z33" s="198"/>
    </row>
    <row r="34">
      <c r="A34" s="166" t="s">
        <v>7498</v>
      </c>
      <c r="C34" s="166" t="str">
        <f>IFERROR(__xludf.DUMMYFUNCTION("GOOGLETRANSLATE(A34,""zh-tw"",""ja"")"),"紫色の質")</f>
        <v>紫色の質</v>
      </c>
      <c r="E34" s="166" t="s">
        <v>7499</v>
      </c>
      <c r="G34" s="166" t="s">
        <v>7500</v>
      </c>
      <c r="I34" s="166"/>
      <c r="K34" s="166"/>
      <c r="M34" s="166" t="s">
        <v>7501</v>
      </c>
      <c r="O34" s="166"/>
      <c r="Q34" s="166"/>
      <c r="S34" s="166" t="s">
        <v>7502</v>
      </c>
      <c r="U34" s="166"/>
      <c r="W34" s="198"/>
      <c r="X34" s="198"/>
      <c r="Y34" s="198"/>
      <c r="Z34" s="198"/>
    </row>
    <row r="35">
      <c r="A35" s="400" t="s">
        <v>7503</v>
      </c>
      <c r="B35" s="202" t="s">
        <v>7504</v>
      </c>
      <c r="C35" s="400" t="s">
        <v>7505</v>
      </c>
      <c r="D35" s="202" t="s">
        <v>7506</v>
      </c>
      <c r="E35" s="400" t="s">
        <v>7507</v>
      </c>
      <c r="F35" s="202" t="s">
        <v>7508</v>
      </c>
      <c r="G35" s="400" t="str">
        <f>IFERROR(__xludf.DUMMYFUNCTION("GOOGLETRANSLATE(A35,""zh-tw"",""zh"")"),"古树残骸")</f>
        <v>古树残骸</v>
      </c>
      <c r="H35" s="202" t="str">
        <f>IFERROR(__xludf.DUMMYFUNCTION("GOOGLETRANSLATE(B35,""zh-tw"",""zh"")"),"物攻：20
物抗：2
累计素质型武器")</f>
        <v>物攻：20
物抗：2
累计素质型武器</v>
      </c>
      <c r="I35" s="399" t="s">
        <v>7509</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7510</v>
      </c>
      <c r="N35" s="202" t="s">
        <v>7511</v>
      </c>
      <c r="O35" s="400" t="s">
        <v>7512</v>
      </c>
      <c r="P35" s="202" t="s">
        <v>7513</v>
      </c>
      <c r="Q35" s="401" t="s">
        <v>7514</v>
      </c>
      <c r="R35" s="402" t="s">
        <v>7515</v>
      </c>
      <c r="S35" s="197" t="s">
        <v>7516</v>
      </c>
      <c r="T35" s="198" t="s">
        <v>7517</v>
      </c>
      <c r="U35" s="197"/>
      <c r="V35" s="198"/>
      <c r="W35" s="198"/>
      <c r="X35" s="198"/>
      <c r="Y35" s="198"/>
      <c r="Z35" s="198"/>
    </row>
    <row r="36">
      <c r="A36" s="400" t="s">
        <v>7518</v>
      </c>
      <c r="B36" s="202" t="s">
        <v>7519</v>
      </c>
      <c r="C36" s="400" t="s">
        <v>7520</v>
      </c>
      <c r="D36" s="202" t="s">
        <v>7521</v>
      </c>
      <c r="E36" s="400" t="s">
        <v>7522</v>
      </c>
      <c r="F36" s="202" t="s">
        <v>7523</v>
      </c>
      <c r="G36" s="400" t="str">
        <f>IFERROR(__xludf.DUMMYFUNCTION("GOOGLETRANSLATE(A36,""zh-tw"",""zh"")"),"来自地狱")</f>
        <v>来自地狱</v>
      </c>
      <c r="H36" s="202" t="str">
        <f>IFERROR(__xludf.DUMMYFUNCTION("GOOGLETRANSLATE(B36,""zh-tw"",""zh"")"),"物攻：30
出血")</f>
        <v>物攻：30
出血</v>
      </c>
      <c r="I36" s="399" t="s">
        <v>7524</v>
      </c>
      <c r="J36" s="198" t="str">
        <f>IFERROR(__xludf.DUMMYFUNCTION("GOOGLETRANSLATE(B36,""zh-tw"",""es-MX"")"),"Ataque físico: 30 sangrado")</f>
        <v>Ataque físico: 30 sangrado</v>
      </c>
      <c r="K36" s="399" t="s">
        <v>7525</v>
      </c>
      <c r="L36" s="198" t="str">
        <f>IFERROR(__xludf.DUMMYFUNCTION("GOOGLETRANSLATE(B36,""zh-tw"",""KO"")"),"물리 공격: 출혈 30")</f>
        <v>물리 공격: 출혈 30</v>
      </c>
      <c r="M36" s="400" t="s">
        <v>7526</v>
      </c>
      <c r="N36" s="202" t="s">
        <v>7527</v>
      </c>
      <c r="O36" s="400" t="s">
        <v>7528</v>
      </c>
      <c r="P36" s="202" t="s">
        <v>7529</v>
      </c>
      <c r="Q36" s="401" t="s">
        <v>7530</v>
      </c>
      <c r="R36" s="402" t="s">
        <v>7531</v>
      </c>
      <c r="S36" s="197" t="s">
        <v>7532</v>
      </c>
      <c r="T36" s="198" t="s">
        <v>7533</v>
      </c>
      <c r="U36" s="197"/>
      <c r="V36" s="198"/>
      <c r="W36" s="198"/>
      <c r="X36" s="198"/>
      <c r="Y36" s="198"/>
      <c r="Z36" s="198"/>
    </row>
    <row r="37">
      <c r="A37" s="400" t="s">
        <v>7534</v>
      </c>
      <c r="B37" s="202" t="s">
        <v>7535</v>
      </c>
      <c r="C37" s="400" t="s">
        <v>7536</v>
      </c>
      <c r="D37" s="202" t="s">
        <v>7537</v>
      </c>
      <c r="E37" s="400" t="s">
        <v>7538</v>
      </c>
      <c r="F37" s="202" t="s">
        <v>7539</v>
      </c>
      <c r="G37" s="400" t="str">
        <f>IFERROR(__xludf.DUMMYFUNCTION("GOOGLETRANSLATE(A37,""zh-tw"",""zh"")"),"寄生刃")</f>
        <v>寄生刃</v>
      </c>
      <c r="H37" s="202" t="str">
        <f>IFERROR(__xludf.DUMMYFUNCTION("GOOGLETRANSLATE(B37,""zh-tw"",""zh"")"),"物攻：32
击倒回复")</f>
        <v>物攻：32
击倒回复</v>
      </c>
      <c r="I37" s="399" t="s">
        <v>7540</v>
      </c>
      <c r="J37" s="198" t="str">
        <f>IFERROR(__xludf.DUMMYFUNCTION("GOOGLETRANSLATE(B37,""zh-tw"",""es-MX"")"),"Ataque físico: 32 Recuperación de derribo")</f>
        <v>Ataque físico: 32 Recuperación de derribo</v>
      </c>
      <c r="K37" s="399" t="s">
        <v>7541</v>
      </c>
      <c r="L37" s="167" t="s">
        <v>7542</v>
      </c>
      <c r="M37" s="400" t="s">
        <v>7543</v>
      </c>
      <c r="N37" s="202" t="s">
        <v>7544</v>
      </c>
      <c r="O37" s="400" t="s">
        <v>7545</v>
      </c>
      <c r="P37" s="202" t="s">
        <v>7546</v>
      </c>
      <c r="Q37" s="401" t="s">
        <v>7547</v>
      </c>
      <c r="R37" s="402" t="s">
        <v>7548</v>
      </c>
      <c r="S37" s="197" t="s">
        <v>7549</v>
      </c>
      <c r="T37" s="198" t="s">
        <v>7550</v>
      </c>
      <c r="U37" s="197"/>
      <c r="V37" s="198"/>
      <c r="W37" s="198"/>
      <c r="X37" s="198"/>
      <c r="Y37" s="198"/>
      <c r="Z37" s="198"/>
    </row>
    <row r="38">
      <c r="A38" s="403" t="s">
        <v>7551</v>
      </c>
      <c r="B38" s="198" t="s">
        <v>7552</v>
      </c>
      <c r="C38" s="403" t="s">
        <v>7551</v>
      </c>
      <c r="D38" s="167" t="s">
        <v>7553</v>
      </c>
      <c r="E38" s="403" t="s">
        <v>7554</v>
      </c>
      <c r="F38" s="167" t="s">
        <v>7555</v>
      </c>
      <c r="G38" s="400" t="str">
        <f>IFERROR(__xludf.DUMMYFUNCTION("GOOGLETRANSLATE(A38,""zh-tw"",""zh"")"),"日轮")</f>
        <v>日轮</v>
      </c>
      <c r="H38" s="202" t="str">
        <f>IFERROR(__xludf.DUMMYFUNCTION("GOOGLETRANSLATE(B38,""zh-tw"",""zh"")"),"物攻：12
魔攻：30
魔防：30
召唤陨石")</f>
        <v>物攻：12
魔攻：30
魔防：30
召唤陨石</v>
      </c>
      <c r="I38" s="399" t="s">
        <v>7554</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운석")</f>
        <v>물리 공격력: 12
마법 공격력: 30
마법 방어력: 30
소환 운석</v>
      </c>
      <c r="M38" s="400" t="s">
        <v>7556</v>
      </c>
      <c r="N38" s="202" t="s">
        <v>7557</v>
      </c>
      <c r="O38" s="404" t="s">
        <v>7558</v>
      </c>
      <c r="P38" s="155" t="s">
        <v>7559</v>
      </c>
      <c r="Q38" s="401" t="s">
        <v>7560</v>
      </c>
      <c r="R38" s="402" t="s">
        <v>7561</v>
      </c>
      <c r="S38" s="197" t="s">
        <v>7554</v>
      </c>
      <c r="T38" s="198" t="s">
        <v>7562</v>
      </c>
      <c r="U38" s="197"/>
      <c r="V38" s="198"/>
      <c r="W38" s="198"/>
      <c r="X38" s="198"/>
      <c r="Y38" s="198"/>
      <c r="Z38" s="198"/>
    </row>
    <row r="39">
      <c r="A39" s="403" t="s">
        <v>7563</v>
      </c>
      <c r="B39" s="167" t="s">
        <v>7564</v>
      </c>
      <c r="C39" s="403" t="s">
        <v>7565</v>
      </c>
      <c r="D39" s="198" t="s">
        <v>7566</v>
      </c>
      <c r="E39" s="403" t="s">
        <v>7567</v>
      </c>
      <c r="F39" s="198" t="s">
        <v>7568</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7569</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7570</v>
      </c>
      <c r="N39" s="202" t="s">
        <v>7571</v>
      </c>
      <c r="O39" s="404" t="s">
        <v>7572</v>
      </c>
      <c r="P39" s="155" t="s">
        <v>7573</v>
      </c>
      <c r="Q39" s="401" t="s">
        <v>7574</v>
      </c>
      <c r="R39" s="402" t="s">
        <v>7575</v>
      </c>
      <c r="S39" s="197" t="s">
        <v>7576</v>
      </c>
      <c r="T39" s="198" t="s">
        <v>7577</v>
      </c>
      <c r="U39" s="197"/>
      <c r="V39" s="198"/>
      <c r="W39" s="198"/>
      <c r="X39" s="198"/>
      <c r="Y39" s="198"/>
      <c r="Z39" s="198"/>
    </row>
    <row r="40">
      <c r="A40" s="400" t="s">
        <v>7578</v>
      </c>
      <c r="B40" s="202" t="s">
        <v>7579</v>
      </c>
      <c r="C40" s="400" t="s">
        <v>7580</v>
      </c>
      <c r="D40" s="202" t="s">
        <v>7581</v>
      </c>
      <c r="E40" s="400" t="s">
        <v>7582</v>
      </c>
      <c r="F40" s="202" t="s">
        <v>7583</v>
      </c>
      <c r="G40" s="400" t="str">
        <f>IFERROR(__xludf.DUMMYFUNCTION("GOOGLETRANSLATE(A40,""zh-tw"",""zh"")"),"星月夜")</f>
        <v>星月夜</v>
      </c>
      <c r="H40" s="202" t="str">
        <f>IFERROR(__xludf.DUMMYFUNCTION("GOOGLETRANSLATE(B40,""zh-tw"",""zh"")"),"物攻：1
魔攻：68
黑洞")</f>
        <v>物攻：1
魔攻：68
黑洞</v>
      </c>
      <c r="I40" s="399" t="s">
        <v>7584</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7585</v>
      </c>
      <c r="N40" s="202" t="s">
        <v>7586</v>
      </c>
      <c r="O40" s="400" t="s">
        <v>7587</v>
      </c>
      <c r="P40" s="202" t="s">
        <v>7588</v>
      </c>
      <c r="Q40" s="401" t="s">
        <v>7589</v>
      </c>
      <c r="R40" s="402" t="s">
        <v>7590</v>
      </c>
      <c r="S40" s="197" t="s">
        <v>7591</v>
      </c>
      <c r="T40" s="198" t="s">
        <v>7592</v>
      </c>
      <c r="U40" s="197"/>
      <c r="V40" s="198"/>
      <c r="W40" s="198"/>
      <c r="X40" s="198"/>
      <c r="Y40" s="198"/>
      <c r="Z40" s="198"/>
    </row>
    <row r="41">
      <c r="A41" s="399" t="s">
        <v>7593</v>
      </c>
      <c r="B41" s="167" t="s">
        <v>7594</v>
      </c>
      <c r="C41" s="399" t="s">
        <v>7595</v>
      </c>
      <c r="D41" s="167" t="s">
        <v>7596</v>
      </c>
      <c r="E41" s="399" t="s">
        <v>7597</v>
      </c>
      <c r="F41" s="167" t="s">
        <v>7598</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7599</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7600</v>
      </c>
      <c r="N41" s="202" t="s">
        <v>7601</v>
      </c>
      <c r="O41" s="399" t="s">
        <v>7602</v>
      </c>
      <c r="P41" s="167" t="s">
        <v>7603</v>
      </c>
      <c r="Q41" s="118" t="s">
        <v>7604</v>
      </c>
      <c r="R41" s="409" t="s">
        <v>7605</v>
      </c>
      <c r="S41" s="410" t="s">
        <v>7606</v>
      </c>
      <c r="T41" s="198" t="s">
        <v>7607</v>
      </c>
      <c r="U41" s="197"/>
      <c r="V41" s="198"/>
      <c r="W41" s="198"/>
      <c r="X41" s="198"/>
      <c r="Y41" s="198"/>
      <c r="Z41" s="198"/>
    </row>
    <row r="42">
      <c r="A42" s="404" t="s">
        <v>7608</v>
      </c>
      <c r="B42" s="167" t="s">
        <v>7609</v>
      </c>
      <c r="C42" s="404" t="s">
        <v>7608</v>
      </c>
      <c r="D42" s="167" t="s">
        <v>7610</v>
      </c>
      <c r="E42" s="404" t="s">
        <v>7611</v>
      </c>
      <c r="F42" s="167" t="s">
        <v>7612</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7613</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7614</v>
      </c>
      <c r="N42" s="202" t="s">
        <v>7615</v>
      </c>
      <c r="O42" s="404" t="s">
        <v>7616</v>
      </c>
      <c r="P42" s="167" t="s">
        <v>7617</v>
      </c>
      <c r="Q42" s="401" t="s">
        <v>7618</v>
      </c>
      <c r="R42" s="406" t="s">
        <v>7619</v>
      </c>
      <c r="S42" s="197" t="s">
        <v>7620</v>
      </c>
      <c r="T42" s="198" t="s">
        <v>7621</v>
      </c>
      <c r="U42" s="197"/>
      <c r="V42" s="198"/>
      <c r="W42" s="198"/>
      <c r="X42" s="198"/>
      <c r="Y42" s="198"/>
      <c r="Z42" s="198"/>
    </row>
    <row r="43">
      <c r="A43" s="400" t="s">
        <v>7622</v>
      </c>
      <c r="B43" s="202" t="s">
        <v>7623</v>
      </c>
      <c r="C43" s="400" t="s">
        <v>7622</v>
      </c>
      <c r="D43" s="202" t="s">
        <v>7624</v>
      </c>
      <c r="E43" s="400" t="s">
        <v>7625</v>
      </c>
      <c r="F43" s="202" t="s">
        <v>7626</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7627</v>
      </c>
      <c r="N43" s="202" t="s">
        <v>7628</v>
      </c>
      <c r="O43" s="400" t="s">
        <v>7629</v>
      </c>
      <c r="P43" s="202" t="s">
        <v>7630</v>
      </c>
      <c r="Q43" s="401" t="s">
        <v>7631</v>
      </c>
      <c r="R43" s="402" t="s">
        <v>7632</v>
      </c>
      <c r="S43" s="197" t="s">
        <v>7625</v>
      </c>
      <c r="T43" s="198" t="s">
        <v>7633</v>
      </c>
      <c r="U43" s="197"/>
      <c r="V43" s="198"/>
      <c r="W43" s="198"/>
      <c r="X43" s="198"/>
      <c r="Y43" s="198"/>
      <c r="Z43" s="198"/>
    </row>
    <row r="44">
      <c r="A44" s="400" t="s">
        <v>7634</v>
      </c>
      <c r="B44" s="202" t="s">
        <v>7635</v>
      </c>
      <c r="C44" s="400" t="s">
        <v>7636</v>
      </c>
      <c r="D44" s="202" t="s">
        <v>7637</v>
      </c>
      <c r="E44" s="400" t="s">
        <v>7638</v>
      </c>
      <c r="F44" s="202" t="s">
        <v>7639</v>
      </c>
      <c r="G44" s="400" t="str">
        <f>IFERROR(__xludf.DUMMYFUNCTION("GOOGLETRANSLATE(A44,""zh-tw"",""zh"")"),"火烧云")</f>
        <v>火烧云</v>
      </c>
      <c r="H44" s="202" t="str">
        <f>IFERROR(__xludf.DUMMYFUNCTION("GOOGLETRANSLATE(B44,""zh-tw"",""zh"")"),"物攻：18
魔攻：18
炎属性")</f>
        <v>物攻：18
魔攻：18
炎属性</v>
      </c>
      <c r="I44" s="399" t="s">
        <v>7640</v>
      </c>
      <c r="J44" s="198" t="str">
        <f>IFERROR(__xludf.DUMMYFUNCTION("GOOGLETRANSLATE(B44,""zh-tw"",""es-MX"")"),"Ataque físico: 18
Ataque mágico: 18
Atributo de fuego")</f>
        <v>Ataque físico: 18
Ataque mágico: 18
Atributo de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7641</v>
      </c>
      <c r="N44" s="202" t="s">
        <v>7642</v>
      </c>
      <c r="O44" s="400" t="s">
        <v>7643</v>
      </c>
      <c r="P44" s="202" t="s">
        <v>7644</v>
      </c>
      <c r="Q44" s="401" t="s">
        <v>7645</v>
      </c>
      <c r="R44" s="402" t="s">
        <v>7646</v>
      </c>
      <c r="S44" s="165" t="s">
        <v>7647</v>
      </c>
      <c r="T44" s="198" t="s">
        <v>7648</v>
      </c>
      <c r="U44" s="197"/>
      <c r="V44" s="198"/>
      <c r="W44" s="198"/>
      <c r="X44" s="198"/>
      <c r="Y44" s="198"/>
      <c r="Z44" s="198"/>
    </row>
    <row r="45">
      <c r="A45" s="400" t="s">
        <v>7649</v>
      </c>
      <c r="B45" s="202" t="s">
        <v>7650</v>
      </c>
      <c r="C45" s="400" t="s">
        <v>7649</v>
      </c>
      <c r="D45" s="202" t="s">
        <v>7651</v>
      </c>
      <c r="E45" s="400" t="s">
        <v>7652</v>
      </c>
      <c r="F45" s="202" t="s">
        <v>7653</v>
      </c>
      <c r="G45" s="400" t="str">
        <f>IFERROR(__xludf.DUMMYFUNCTION("GOOGLETRANSLATE(A45,""zh-tw"",""zh"")"),"雪见")</f>
        <v>雪见</v>
      </c>
      <c r="H45" s="202" t="str">
        <f>IFERROR(__xludf.DUMMYFUNCTION("GOOGLETRANSLATE(B45,""zh-tw"",""zh"")"),"物攻：16
魔攻：16
冰属性")</f>
        <v>物攻：16
魔攻：16
冰属性</v>
      </c>
      <c r="I45" s="399" t="s">
        <v>7654</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7655</v>
      </c>
      <c r="N45" s="202" t="s">
        <v>7656</v>
      </c>
      <c r="O45" s="400" t="s">
        <v>7657</v>
      </c>
      <c r="P45" s="202" t="s">
        <v>7658</v>
      </c>
      <c r="Q45" s="401" t="s">
        <v>7659</v>
      </c>
      <c r="R45" s="402" t="s">
        <v>7660</v>
      </c>
      <c r="S45" s="197" t="s">
        <v>7661</v>
      </c>
      <c r="T45" s="198" t="s">
        <v>7662</v>
      </c>
      <c r="U45" s="197"/>
      <c r="V45" s="198"/>
      <c r="W45" s="198"/>
      <c r="X45" s="198"/>
      <c r="Y45" s="198"/>
      <c r="Z45" s="198"/>
    </row>
    <row r="46">
      <c r="A46" s="166" t="s">
        <v>7663</v>
      </c>
      <c r="C46" s="166" t="str">
        <f>IFERROR(__xludf.DUMMYFUNCTION("GOOGLETRANSLATE(A46,""zh-tw"",""ja"")"),"ピンクの品質")</f>
        <v>ピンクの品質</v>
      </c>
      <c r="E46" s="166" t="s">
        <v>7664</v>
      </c>
      <c r="G46" s="166" t="s">
        <v>7665</v>
      </c>
      <c r="I46" s="166"/>
      <c r="K46" s="166"/>
      <c r="M46" s="166" t="s">
        <v>7666</v>
      </c>
      <c r="O46" s="166"/>
      <c r="Q46" s="166"/>
      <c r="S46" s="166" t="s">
        <v>7667</v>
      </c>
      <c r="U46" s="166"/>
      <c r="W46" s="198"/>
      <c r="X46" s="198"/>
      <c r="Y46" s="198"/>
      <c r="Z46" s="198"/>
    </row>
    <row r="47">
      <c r="A47" s="400" t="s">
        <v>7668</v>
      </c>
      <c r="B47" s="202" t="s">
        <v>7669</v>
      </c>
      <c r="C47" s="400" t="s">
        <v>7670</v>
      </c>
      <c r="D47" s="202" t="s">
        <v>7671</v>
      </c>
      <c r="E47" s="399" t="s">
        <v>7672</v>
      </c>
      <c r="F47" s="167" t="s">
        <v>7673</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7674</v>
      </c>
      <c r="N47" s="202" t="s">
        <v>7675</v>
      </c>
      <c r="O47" s="400" t="s">
        <v>7676</v>
      </c>
      <c r="P47" s="202" t="s">
        <v>7677</v>
      </c>
      <c r="Q47" s="401" t="s">
        <v>7678</v>
      </c>
      <c r="R47" s="406" t="s">
        <v>7679</v>
      </c>
      <c r="S47" s="197" t="s">
        <v>7680</v>
      </c>
      <c r="T47" s="198" t="s">
        <v>7681</v>
      </c>
      <c r="U47" s="197"/>
      <c r="V47" s="198"/>
      <c r="W47" s="198"/>
      <c r="X47" s="198"/>
      <c r="Y47" s="198"/>
      <c r="Z47" s="198"/>
    </row>
    <row r="48">
      <c r="A48" s="400" t="s">
        <v>7682</v>
      </c>
      <c r="B48" s="202" t="s">
        <v>7683</v>
      </c>
      <c r="C48" s="400" t="s">
        <v>7684</v>
      </c>
      <c r="D48" s="202" t="s">
        <v>7685</v>
      </c>
      <c r="E48" s="400" t="s">
        <v>7686</v>
      </c>
      <c r="F48" s="202" t="s">
        <v>7687</v>
      </c>
      <c r="G48" s="400" t="str">
        <f>IFERROR(__xludf.DUMMYFUNCTION("GOOGLETRANSLATE(A48,""zh-tw"",""zh"")"),"斩裂剑提尔锋")</f>
        <v>斩裂剑提尔锋</v>
      </c>
      <c r="H48" s="202" t="str">
        <f>IFERROR(__xludf.DUMMYFUNCTION("GOOGLETRANSLATE(B48,""zh-tw"",""zh"")"),"物攻：40
发射剑波")</f>
        <v>物攻：40
发射剑波</v>
      </c>
      <c r="I48" s="399" t="s">
        <v>7688</v>
      </c>
      <c r="J48" s="198" t="str">
        <f>IFERROR(__xludf.DUMMYFUNCTION("GOOGLETRANSLATE(B48,""zh-tw"",""es-MX"")"),"Ataque físico: 40 Lanza onda de espada")</f>
        <v>Ataque físico: 40 Lanza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7689</v>
      </c>
      <c r="N48" s="202" t="s">
        <v>7690</v>
      </c>
      <c r="O48" s="400" t="s">
        <v>7691</v>
      </c>
      <c r="P48" s="202" t="s">
        <v>7692</v>
      </c>
      <c r="Q48" s="401" t="s">
        <v>7693</v>
      </c>
      <c r="R48" s="402" t="s">
        <v>7694</v>
      </c>
      <c r="S48" s="197" t="s">
        <v>7686</v>
      </c>
      <c r="T48" s="198" t="s">
        <v>7695</v>
      </c>
      <c r="U48" s="197"/>
      <c r="V48" s="198"/>
      <c r="W48" s="198"/>
      <c r="X48" s="198"/>
      <c r="Y48" s="198"/>
      <c r="Z48" s="198"/>
    </row>
    <row r="49">
      <c r="A49" s="404" t="s">
        <v>7696</v>
      </c>
      <c r="B49" s="155" t="s">
        <v>7697</v>
      </c>
      <c r="C49" s="404" t="s">
        <v>7698</v>
      </c>
      <c r="D49" s="155" t="s">
        <v>7699</v>
      </c>
      <c r="E49" s="404" t="s">
        <v>7700</v>
      </c>
      <c r="F49" s="155" t="s">
        <v>7701</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7702</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9" t="s">
        <v>7703</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7704</v>
      </c>
      <c r="N49" s="202" t="s">
        <v>7705</v>
      </c>
      <c r="O49" s="404" t="s">
        <v>7706</v>
      </c>
      <c r="P49" s="155" t="s">
        <v>7707</v>
      </c>
      <c r="Q49" s="401" t="s">
        <v>7708</v>
      </c>
      <c r="R49" s="406" t="s">
        <v>7709</v>
      </c>
      <c r="S49" s="197" t="s">
        <v>7710</v>
      </c>
      <c r="T49" s="198" t="s">
        <v>7711</v>
      </c>
      <c r="U49" s="197"/>
      <c r="V49" s="198"/>
      <c r="W49" s="198"/>
      <c r="X49" s="198"/>
      <c r="Y49" s="198"/>
      <c r="Z49" s="198"/>
    </row>
    <row r="50">
      <c r="A50" s="400" t="s">
        <v>7712</v>
      </c>
      <c r="B50" s="202" t="s">
        <v>7713</v>
      </c>
      <c r="C50" s="400" t="s">
        <v>7714</v>
      </c>
      <c r="D50" s="202" t="s">
        <v>7715</v>
      </c>
      <c r="E50" s="400" t="s">
        <v>7716</v>
      </c>
      <c r="F50" s="202" t="s">
        <v>7717</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7718</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7719</v>
      </c>
      <c r="N50" s="202" t="s">
        <v>7720</v>
      </c>
      <c r="O50" s="400" t="s">
        <v>7721</v>
      </c>
      <c r="P50" s="202" t="s">
        <v>7722</v>
      </c>
      <c r="Q50" s="401" t="s">
        <v>7723</v>
      </c>
      <c r="R50" s="402" t="s">
        <v>7724</v>
      </c>
      <c r="S50" s="197" t="s">
        <v>7725</v>
      </c>
      <c r="T50" s="198" t="s">
        <v>7726</v>
      </c>
      <c r="U50" s="197"/>
      <c r="V50" s="198"/>
      <c r="W50" s="198"/>
      <c r="X50" s="198"/>
      <c r="Y50" s="198"/>
      <c r="Z50" s="198"/>
    </row>
    <row r="51">
      <c r="A51" s="400" t="s">
        <v>7727</v>
      </c>
      <c r="B51" s="202" t="s">
        <v>7728</v>
      </c>
      <c r="C51" s="400" t="s">
        <v>7729</v>
      </c>
      <c r="D51" s="202" t="s">
        <v>7730</v>
      </c>
      <c r="E51" s="400" t="s">
        <v>7731</v>
      </c>
      <c r="F51" s="202" t="s">
        <v>7732</v>
      </c>
      <c r="G51" s="400" t="str">
        <f>IFERROR(__xludf.DUMMYFUNCTION("GOOGLETRANSLATE(A51,""zh-tw"",""zh"")"),"三头连弓地狱犬")</f>
        <v>三头连弓地狱犬</v>
      </c>
      <c r="H51" s="202" t="str">
        <f>IFERROR(__xludf.DUMMYFUNCTION("GOOGLETRANSLATE(B51,""zh-tw"",""zh"")"),"物攻：32
连发")</f>
        <v>物攻：32
连发</v>
      </c>
      <c r="I51" s="399" t="s">
        <v>7733</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7734</v>
      </c>
      <c r="N51" s="202" t="s">
        <v>7735</v>
      </c>
      <c r="O51" s="400" t="s">
        <v>7736</v>
      </c>
      <c r="P51" s="202" t="s">
        <v>7737</v>
      </c>
      <c r="Q51" s="401" t="s">
        <v>7738</v>
      </c>
      <c r="R51" s="402" t="s">
        <v>7739</v>
      </c>
      <c r="S51" s="197" t="s">
        <v>7740</v>
      </c>
      <c r="T51" s="198" t="s">
        <v>7741</v>
      </c>
      <c r="U51" s="197"/>
      <c r="V51" s="198"/>
      <c r="W51" s="198"/>
      <c r="X51" s="198"/>
      <c r="Y51" s="198"/>
      <c r="Z51" s="198"/>
    </row>
    <row r="52">
      <c r="A52" s="166" t="s">
        <v>7742</v>
      </c>
      <c r="C52" s="166" t="str">
        <f>IFERROR(__xludf.DUMMYFUNCTION("GOOGLETRANSLATE(A52,""zh-tw"",""ja"")"),"ゴールド品質")</f>
        <v>ゴールド品質</v>
      </c>
      <c r="E52" s="166" t="s">
        <v>7743</v>
      </c>
      <c r="G52" s="166" t="s">
        <v>7744</v>
      </c>
      <c r="I52" s="166"/>
      <c r="K52" s="166"/>
      <c r="M52" s="166" t="s">
        <v>7745</v>
      </c>
      <c r="O52" s="166"/>
      <c r="Q52" s="166"/>
      <c r="S52" s="166" t="s">
        <v>7746</v>
      </c>
      <c r="U52" s="166"/>
      <c r="W52" s="198"/>
      <c r="X52" s="198"/>
      <c r="Y52" s="198"/>
      <c r="Z52" s="198"/>
    </row>
    <row r="53">
      <c r="A53" s="400" t="s">
        <v>7747</v>
      </c>
      <c r="B53" s="202" t="s">
        <v>7748</v>
      </c>
      <c r="C53" s="400" t="s">
        <v>7749</v>
      </c>
      <c r="D53" s="202" t="s">
        <v>7750</v>
      </c>
      <c r="E53" s="400" t="s">
        <v>7751</v>
      </c>
      <c r="F53" s="202" t="s">
        <v>7752</v>
      </c>
      <c r="G53" s="400" t="str">
        <f>IFERROR(__xludf.DUMMYFUNCTION("GOOGLETRANSLATE(A53,""zh-tw"",""zh"")"),"克里乌之光")</f>
        <v>克里乌之光</v>
      </c>
      <c r="H53" s="202" t="s">
        <v>7753</v>
      </c>
      <c r="I53" s="399" t="s">
        <v>7751</v>
      </c>
      <c r="J53" s="198" t="str">
        <f>IFERROR(__xludf.DUMMYFUNCTION("GOOGLETRANSLATE(B53,""zh-tw"",""es-MX"")"),"Ataque físico: 32
Ataque mágico: 36
Ignora defensa, Espada invisible
*Objeto raro de Gacha")</f>
        <v>Ataque físico: 32
Ataque mágico: 36
Ignora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7754</v>
      </c>
      <c r="N53" s="202" t="s">
        <v>7755</v>
      </c>
      <c r="O53" s="400" t="s">
        <v>7756</v>
      </c>
      <c r="P53" s="202" t="s">
        <v>7757</v>
      </c>
      <c r="Q53" s="401" t="s">
        <v>7758</v>
      </c>
      <c r="R53" s="402" t="s">
        <v>7759</v>
      </c>
      <c r="S53" s="197" t="s">
        <v>7751</v>
      </c>
      <c r="T53" s="198" t="s">
        <v>7760</v>
      </c>
      <c r="U53" s="197"/>
      <c r="V53" s="198"/>
      <c r="W53" s="198"/>
      <c r="X53" s="198"/>
      <c r="Y53" s="198"/>
      <c r="Z53" s="198"/>
    </row>
    <row r="54">
      <c r="A54" s="400" t="s">
        <v>7761</v>
      </c>
      <c r="B54" s="202" t="s">
        <v>7762</v>
      </c>
      <c r="C54" s="400" t="s">
        <v>7763</v>
      </c>
      <c r="D54" s="202" t="s">
        <v>7764</v>
      </c>
      <c r="E54" s="400" t="s">
        <v>7765</v>
      </c>
      <c r="F54" s="202" t="s">
        <v>7766</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7767</v>
      </c>
      <c r="N54" s="202" t="s">
        <v>7768</v>
      </c>
      <c r="O54" s="400" t="s">
        <v>7769</v>
      </c>
      <c r="P54" s="202" t="s">
        <v>7770</v>
      </c>
      <c r="Q54" s="401" t="s">
        <v>7771</v>
      </c>
      <c r="R54" s="402" t="s">
        <v>7772</v>
      </c>
      <c r="S54" s="197" t="s">
        <v>7773</v>
      </c>
      <c r="T54" s="198" t="s">
        <v>7774</v>
      </c>
      <c r="U54" s="197"/>
      <c r="V54" s="198"/>
      <c r="W54" s="198"/>
      <c r="X54" s="198"/>
      <c r="Y54" s="198"/>
      <c r="Z54" s="198"/>
    </row>
    <row r="55">
      <c r="A55" s="399" t="s">
        <v>7775</v>
      </c>
      <c r="B55" s="167" t="s">
        <v>7776</v>
      </c>
      <c r="C55" s="399" t="s">
        <v>7777</v>
      </c>
      <c r="D55" s="167" t="s">
        <v>7778</v>
      </c>
      <c r="E55" s="399" t="s">
        <v>7779</v>
      </c>
      <c r="F55" s="167" t="s">
        <v>7780</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7781</v>
      </c>
      <c r="N55" s="202" t="s">
        <v>7782</v>
      </c>
      <c r="O55" s="403" t="s">
        <v>7783</v>
      </c>
      <c r="P55" s="198" t="s">
        <v>7784</v>
      </c>
      <c r="Q55" s="407" t="str">
        <f>IFERROR(__xludf.DUMMYFUNCTION("GOOGLETRANSLATE(A55,""zh-tw"",""vi"")"),"Cột nghi lễ")</f>
        <v>Cột nghi lễ</v>
      </c>
      <c r="R55" s="408" t="s">
        <v>7785</v>
      </c>
      <c r="S55" s="165" t="s">
        <v>7786</v>
      </c>
      <c r="T55" s="167" t="s">
        <v>7787</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1"/>
      <c r="J56" s="142"/>
      <c r="K56" s="411"/>
      <c r="L56" s="142"/>
      <c r="M56" s="411"/>
      <c r="N56" s="142"/>
      <c r="O56" s="403"/>
      <c r="P56" s="198"/>
      <c r="Q56" s="197"/>
      <c r="R56" s="198"/>
      <c r="S56" s="197"/>
      <c r="T56" s="198"/>
      <c r="U56" s="197"/>
      <c r="V56" s="198"/>
      <c r="W56" s="198"/>
      <c r="X56" s="198"/>
      <c r="Y56" s="198"/>
      <c r="Z56" s="198"/>
    </row>
    <row r="57">
      <c r="A57" s="403"/>
      <c r="B57" s="198"/>
      <c r="C57" s="403"/>
      <c r="D57" s="142"/>
      <c r="E57" s="403"/>
      <c r="F57" s="198"/>
      <c r="G57" s="403"/>
      <c r="H57" s="198"/>
      <c r="I57" s="411"/>
      <c r="J57" s="142"/>
      <c r="K57" s="411"/>
      <c r="L57" s="142"/>
      <c r="M57" s="411"/>
      <c r="N57" s="142"/>
      <c r="O57" s="403"/>
      <c r="P57" s="198"/>
      <c r="Q57" s="197"/>
      <c r="R57" s="198"/>
      <c r="S57" s="197"/>
      <c r="T57" s="198"/>
      <c r="U57" s="197"/>
      <c r="V57" s="198"/>
      <c r="W57" s="198"/>
      <c r="X57" s="198"/>
      <c r="Y57" s="198"/>
      <c r="Z57" s="198"/>
    </row>
    <row r="58">
      <c r="A58" s="403"/>
      <c r="B58" s="198"/>
      <c r="C58" s="403"/>
      <c r="D58" s="142"/>
      <c r="E58" s="403"/>
      <c r="F58" s="198"/>
      <c r="G58" s="403"/>
      <c r="H58" s="198"/>
      <c r="I58" s="411"/>
      <c r="J58" s="142"/>
      <c r="K58" s="411"/>
      <c r="L58" s="142"/>
      <c r="M58" s="411"/>
      <c r="N58" s="142"/>
      <c r="O58" s="403"/>
      <c r="P58" s="198"/>
      <c r="Q58" s="197"/>
      <c r="R58" s="198"/>
      <c r="S58" s="197"/>
      <c r="T58" s="198"/>
      <c r="U58" s="197"/>
      <c r="V58" s="198"/>
      <c r="W58" s="198"/>
      <c r="X58" s="198"/>
      <c r="Y58" s="198"/>
      <c r="Z58" s="198"/>
    </row>
    <row r="59">
      <c r="A59" s="403"/>
      <c r="B59" s="198"/>
      <c r="C59" s="403"/>
      <c r="D59" s="142"/>
      <c r="E59" s="403"/>
      <c r="F59" s="198"/>
      <c r="G59" s="403"/>
      <c r="H59" s="198"/>
      <c r="I59" s="411"/>
      <c r="J59" s="142"/>
      <c r="K59" s="411"/>
      <c r="L59" s="142"/>
      <c r="M59" s="411"/>
      <c r="N59" s="142"/>
      <c r="O59" s="403"/>
      <c r="P59" s="198"/>
      <c r="Q59" s="197"/>
      <c r="R59" s="198"/>
      <c r="S59" s="197"/>
      <c r="T59" s="198"/>
      <c r="U59" s="197"/>
      <c r="V59" s="198"/>
      <c r="W59" s="198"/>
      <c r="X59" s="198"/>
      <c r="Y59" s="198"/>
      <c r="Z59" s="198"/>
    </row>
    <row r="60">
      <c r="A60" s="403"/>
      <c r="B60" s="198"/>
      <c r="C60" s="403"/>
      <c r="D60" s="142"/>
      <c r="E60" s="403"/>
      <c r="F60" s="198"/>
      <c r="G60" s="403"/>
      <c r="H60" s="198"/>
      <c r="I60" s="411"/>
      <c r="J60" s="142"/>
      <c r="K60" s="411"/>
      <c r="L60" s="142"/>
      <c r="M60" s="411"/>
      <c r="N60" s="142"/>
      <c r="O60" s="403"/>
      <c r="P60" s="198"/>
      <c r="Q60" s="197"/>
      <c r="R60" s="198"/>
      <c r="S60" s="197"/>
      <c r="T60" s="198"/>
      <c r="U60" s="197"/>
      <c r="V60" s="198"/>
      <c r="W60" s="198"/>
      <c r="X60" s="198"/>
      <c r="Y60" s="198"/>
      <c r="Z60" s="198"/>
    </row>
    <row r="61">
      <c r="A61" s="403"/>
      <c r="B61" s="198"/>
      <c r="C61" s="403"/>
      <c r="D61" s="142"/>
      <c r="E61" s="403"/>
      <c r="F61" s="198"/>
      <c r="G61" s="403"/>
      <c r="H61" s="198"/>
      <c r="I61" s="411"/>
      <c r="J61" s="142"/>
      <c r="K61" s="411"/>
      <c r="L61" s="142"/>
      <c r="M61" s="411"/>
      <c r="N61" s="142"/>
      <c r="O61" s="403"/>
      <c r="P61" s="198"/>
      <c r="Q61" s="197"/>
      <c r="R61" s="198"/>
      <c r="S61" s="197"/>
      <c r="T61" s="198"/>
      <c r="U61" s="197"/>
      <c r="V61" s="198"/>
      <c r="W61" s="198"/>
      <c r="X61" s="198"/>
      <c r="Y61" s="198"/>
      <c r="Z61" s="198"/>
    </row>
    <row r="62">
      <c r="A62" s="403"/>
      <c r="B62" s="198"/>
      <c r="C62" s="403"/>
      <c r="D62" s="142"/>
      <c r="E62" s="403"/>
      <c r="F62" s="198"/>
      <c r="G62" s="403"/>
      <c r="H62" s="198"/>
      <c r="I62" s="411"/>
      <c r="J62" s="142"/>
      <c r="K62" s="411"/>
      <c r="L62" s="142"/>
      <c r="M62" s="411"/>
      <c r="N62" s="142"/>
      <c r="O62" s="403"/>
      <c r="P62" s="198"/>
      <c r="Q62" s="197"/>
      <c r="R62" s="198"/>
      <c r="S62" s="197"/>
      <c r="T62" s="198"/>
      <c r="U62" s="197"/>
      <c r="V62" s="198"/>
      <c r="W62" s="198"/>
      <c r="X62" s="198"/>
      <c r="Y62" s="198"/>
      <c r="Z62" s="198"/>
    </row>
    <row r="63">
      <c r="A63" s="403"/>
      <c r="B63" s="198"/>
      <c r="C63" s="403"/>
      <c r="D63" s="142"/>
      <c r="E63" s="403"/>
      <c r="F63" s="198"/>
      <c r="G63" s="403"/>
      <c r="H63" s="198"/>
      <c r="I63" s="411"/>
      <c r="J63" s="142"/>
      <c r="K63" s="411"/>
      <c r="L63" s="142"/>
      <c r="M63" s="411"/>
      <c r="N63" s="142"/>
      <c r="O63" s="403"/>
      <c r="P63" s="198"/>
      <c r="Q63" s="197"/>
      <c r="R63" s="198"/>
      <c r="S63" s="197"/>
      <c r="T63" s="198"/>
      <c r="U63" s="197"/>
      <c r="V63" s="198"/>
      <c r="W63" s="198"/>
      <c r="X63" s="198"/>
      <c r="Y63" s="198"/>
      <c r="Z63" s="198"/>
    </row>
    <row r="64">
      <c r="A64" s="403"/>
      <c r="B64" s="198"/>
      <c r="C64" s="403"/>
      <c r="D64" s="142"/>
      <c r="E64" s="403"/>
      <c r="F64" s="198"/>
      <c r="G64" s="403"/>
      <c r="H64" s="198"/>
      <c r="I64" s="411"/>
      <c r="J64" s="142"/>
      <c r="K64" s="411"/>
      <c r="L64" s="142"/>
      <c r="M64" s="411"/>
      <c r="N64" s="142"/>
      <c r="O64" s="403"/>
      <c r="P64" s="198"/>
      <c r="Q64" s="197"/>
      <c r="R64" s="198"/>
      <c r="S64" s="197"/>
      <c r="T64" s="198"/>
      <c r="U64" s="197"/>
      <c r="V64" s="198"/>
      <c r="W64" s="198"/>
      <c r="X64" s="198"/>
      <c r="Y64" s="198"/>
      <c r="Z64" s="198"/>
    </row>
    <row r="65">
      <c r="A65" s="403"/>
      <c r="B65" s="198"/>
      <c r="C65" s="403"/>
      <c r="D65" s="142"/>
      <c r="E65" s="403"/>
      <c r="F65" s="198"/>
      <c r="G65" s="403"/>
      <c r="H65" s="198"/>
      <c r="I65" s="411"/>
      <c r="J65" s="142"/>
      <c r="K65" s="411"/>
      <c r="L65" s="142"/>
      <c r="M65" s="411"/>
      <c r="N65" s="142"/>
      <c r="O65" s="403"/>
      <c r="P65" s="198"/>
      <c r="Q65" s="197"/>
      <c r="R65" s="198"/>
      <c r="S65" s="197"/>
      <c r="T65" s="198"/>
      <c r="U65" s="197"/>
      <c r="V65" s="198"/>
      <c r="W65" s="198"/>
      <c r="X65" s="198"/>
      <c r="Y65" s="198"/>
      <c r="Z65" s="198"/>
    </row>
    <row r="66">
      <c r="A66" s="403"/>
      <c r="B66" s="198"/>
      <c r="C66" s="403"/>
      <c r="D66" s="142"/>
      <c r="E66" s="403"/>
      <c r="F66" s="198"/>
      <c r="G66" s="403"/>
      <c r="H66" s="198"/>
      <c r="I66" s="411"/>
      <c r="J66" s="142"/>
      <c r="K66" s="411"/>
      <c r="L66" s="142"/>
      <c r="M66" s="411"/>
      <c r="N66" s="142"/>
      <c r="O66" s="403"/>
      <c r="P66" s="198"/>
      <c r="Q66" s="197"/>
      <c r="R66" s="198"/>
      <c r="S66" s="197"/>
      <c r="T66" s="198"/>
      <c r="U66" s="197"/>
      <c r="V66" s="198"/>
      <c r="W66" s="198"/>
      <c r="X66" s="198"/>
      <c r="Y66" s="198"/>
      <c r="Z66" s="198"/>
    </row>
    <row r="67">
      <c r="A67" s="403"/>
      <c r="B67" s="198"/>
      <c r="C67" s="403"/>
      <c r="D67" s="142"/>
      <c r="E67" s="403"/>
      <c r="F67" s="198"/>
      <c r="G67" s="403"/>
      <c r="H67" s="198"/>
      <c r="I67" s="411"/>
      <c r="J67" s="142"/>
      <c r="K67" s="411"/>
      <c r="L67" s="142"/>
      <c r="M67" s="411"/>
      <c r="N67" s="142"/>
      <c r="O67" s="403"/>
      <c r="P67" s="198"/>
      <c r="Q67" s="197"/>
      <c r="R67" s="198"/>
      <c r="S67" s="197"/>
      <c r="T67" s="198"/>
      <c r="U67" s="197"/>
      <c r="V67" s="198"/>
      <c r="W67" s="198"/>
      <c r="X67" s="198"/>
      <c r="Y67" s="198"/>
      <c r="Z67" s="198"/>
    </row>
    <row r="68">
      <c r="A68" s="403"/>
      <c r="B68" s="198"/>
      <c r="C68" s="403"/>
      <c r="D68" s="142"/>
      <c r="E68" s="403"/>
      <c r="F68" s="198"/>
      <c r="G68" s="403"/>
      <c r="H68" s="198"/>
      <c r="I68" s="411"/>
      <c r="J68" s="142"/>
      <c r="K68" s="411"/>
      <c r="L68" s="142"/>
      <c r="M68" s="411"/>
      <c r="N68" s="142"/>
      <c r="O68" s="403"/>
      <c r="P68" s="198"/>
      <c r="Q68" s="197"/>
      <c r="R68" s="198"/>
      <c r="S68" s="197"/>
      <c r="T68" s="198"/>
      <c r="U68" s="197"/>
      <c r="V68" s="198"/>
      <c r="W68" s="198"/>
      <c r="X68" s="198"/>
      <c r="Y68" s="198"/>
      <c r="Z68" s="198"/>
    </row>
    <row r="69">
      <c r="A69" s="403"/>
      <c r="B69" s="198"/>
      <c r="C69" s="403"/>
      <c r="D69" s="142"/>
      <c r="E69" s="403"/>
      <c r="F69" s="198"/>
      <c r="G69" s="403"/>
      <c r="H69" s="198"/>
      <c r="I69" s="411"/>
      <c r="J69" s="142"/>
      <c r="K69" s="411"/>
      <c r="L69" s="142"/>
      <c r="M69" s="411"/>
      <c r="N69" s="142"/>
      <c r="O69" s="403"/>
      <c r="P69" s="198"/>
      <c r="Q69" s="197"/>
      <c r="R69" s="198"/>
      <c r="S69" s="197"/>
      <c r="T69" s="198"/>
      <c r="U69" s="197"/>
      <c r="V69" s="198"/>
      <c r="W69" s="198"/>
      <c r="X69" s="198"/>
      <c r="Y69" s="198"/>
      <c r="Z69" s="198"/>
    </row>
    <row r="70">
      <c r="A70" s="403"/>
      <c r="B70" s="198"/>
      <c r="C70" s="403"/>
      <c r="D70" s="142"/>
      <c r="E70" s="403"/>
      <c r="F70" s="198"/>
      <c r="G70" s="403"/>
      <c r="H70" s="198"/>
      <c r="I70" s="411"/>
      <c r="J70" s="142"/>
      <c r="K70" s="411"/>
      <c r="L70" s="142"/>
      <c r="M70" s="411"/>
      <c r="N70" s="142"/>
      <c r="O70" s="403"/>
      <c r="P70" s="198"/>
      <c r="Q70" s="197"/>
      <c r="R70" s="198"/>
      <c r="S70" s="197"/>
      <c r="T70" s="198"/>
      <c r="U70" s="197"/>
      <c r="V70" s="198"/>
      <c r="W70" s="198"/>
      <c r="X70" s="198"/>
      <c r="Y70" s="198"/>
      <c r="Z70" s="198"/>
    </row>
    <row r="71">
      <c r="A71" s="403"/>
      <c r="B71" s="198"/>
      <c r="C71" s="403"/>
      <c r="D71" s="142"/>
      <c r="E71" s="403"/>
      <c r="F71" s="198"/>
      <c r="G71" s="403"/>
      <c r="H71" s="198"/>
      <c r="I71" s="411"/>
      <c r="J71" s="142"/>
      <c r="K71" s="411"/>
      <c r="L71" s="142"/>
      <c r="M71" s="411"/>
      <c r="N71" s="142"/>
      <c r="O71" s="403"/>
      <c r="P71" s="198"/>
      <c r="Q71" s="197"/>
      <c r="R71" s="198"/>
      <c r="S71" s="197"/>
      <c r="T71" s="198"/>
      <c r="U71" s="197"/>
      <c r="V71" s="198"/>
      <c r="W71" s="198"/>
      <c r="X71" s="198"/>
      <c r="Y71" s="198"/>
      <c r="Z71" s="198"/>
    </row>
    <row r="72">
      <c r="A72" s="403"/>
      <c r="B72" s="198"/>
      <c r="C72" s="403"/>
      <c r="D72" s="142"/>
      <c r="E72" s="403"/>
      <c r="F72" s="198"/>
      <c r="G72" s="403"/>
      <c r="H72" s="198"/>
      <c r="I72" s="411"/>
      <c r="J72" s="142"/>
      <c r="K72" s="411"/>
      <c r="L72" s="142"/>
      <c r="M72" s="411"/>
      <c r="N72" s="142"/>
      <c r="O72" s="403"/>
      <c r="P72" s="198"/>
      <c r="Q72" s="197"/>
      <c r="R72" s="198"/>
      <c r="S72" s="197"/>
      <c r="T72" s="198"/>
      <c r="U72" s="197"/>
      <c r="V72" s="198"/>
      <c r="W72" s="198"/>
      <c r="X72" s="198"/>
      <c r="Y72" s="198"/>
      <c r="Z72" s="198"/>
    </row>
    <row r="73">
      <c r="A73" s="403"/>
      <c r="B73" s="198"/>
      <c r="C73" s="403"/>
      <c r="D73" s="142"/>
      <c r="E73" s="403"/>
      <c r="F73" s="198"/>
      <c r="G73" s="403"/>
      <c r="H73" s="198"/>
      <c r="I73" s="411"/>
      <c r="J73" s="142"/>
      <c r="K73" s="411"/>
      <c r="L73" s="142"/>
      <c r="M73" s="411"/>
      <c r="N73" s="142"/>
      <c r="O73" s="403"/>
      <c r="P73" s="198"/>
      <c r="Q73" s="197"/>
      <c r="R73" s="198"/>
      <c r="S73" s="197"/>
      <c r="T73" s="198"/>
      <c r="U73" s="197"/>
      <c r="V73" s="198"/>
      <c r="W73" s="198"/>
      <c r="X73" s="198"/>
      <c r="Y73" s="198"/>
      <c r="Z73" s="198"/>
    </row>
    <row r="74">
      <c r="A74" s="403"/>
      <c r="B74" s="198"/>
      <c r="C74" s="403"/>
      <c r="D74" s="142"/>
      <c r="E74" s="403"/>
      <c r="F74" s="198"/>
      <c r="G74" s="403"/>
      <c r="H74" s="198"/>
      <c r="I74" s="411"/>
      <c r="J74" s="142"/>
      <c r="K74" s="411"/>
      <c r="L74" s="142"/>
      <c r="M74" s="411"/>
      <c r="N74" s="142"/>
      <c r="O74" s="403"/>
      <c r="P74" s="198"/>
      <c r="Q74" s="197"/>
      <c r="R74" s="198"/>
      <c r="S74" s="197"/>
      <c r="T74" s="198"/>
      <c r="U74" s="197"/>
      <c r="V74" s="198"/>
      <c r="W74" s="198"/>
      <c r="X74" s="198"/>
      <c r="Y74" s="198"/>
      <c r="Z74" s="198"/>
    </row>
    <row r="75">
      <c r="A75" s="403"/>
      <c r="B75" s="198"/>
      <c r="C75" s="403"/>
      <c r="D75" s="142"/>
      <c r="E75" s="403"/>
      <c r="F75" s="198"/>
      <c r="G75" s="403"/>
      <c r="H75" s="198"/>
      <c r="I75" s="411"/>
      <c r="J75" s="142"/>
      <c r="K75" s="411"/>
      <c r="L75" s="142"/>
      <c r="M75" s="411"/>
      <c r="N75" s="142"/>
      <c r="O75" s="403"/>
      <c r="P75" s="198"/>
      <c r="Q75" s="197"/>
      <c r="R75" s="198"/>
      <c r="S75" s="197"/>
      <c r="T75" s="198"/>
      <c r="U75" s="197"/>
      <c r="V75" s="198"/>
      <c r="W75" s="198"/>
      <c r="X75" s="198"/>
      <c r="Y75" s="198"/>
      <c r="Z75" s="198"/>
    </row>
    <row r="76">
      <c r="A76" s="403"/>
      <c r="B76" s="198"/>
      <c r="C76" s="403"/>
      <c r="D76" s="142"/>
      <c r="E76" s="403"/>
      <c r="F76" s="198"/>
      <c r="G76" s="403"/>
      <c r="H76" s="198"/>
      <c r="I76" s="411"/>
      <c r="J76" s="142"/>
      <c r="K76" s="411"/>
      <c r="L76" s="142"/>
      <c r="M76" s="411"/>
      <c r="N76" s="142"/>
      <c r="O76" s="403"/>
      <c r="P76" s="198"/>
      <c r="Q76" s="197"/>
      <c r="R76" s="198"/>
      <c r="S76" s="197"/>
      <c r="T76" s="198"/>
      <c r="U76" s="197"/>
      <c r="V76" s="198"/>
      <c r="W76" s="198"/>
      <c r="X76" s="198"/>
      <c r="Y76" s="198"/>
      <c r="Z76" s="198"/>
    </row>
    <row r="77">
      <c r="A77" s="403"/>
      <c r="B77" s="198"/>
      <c r="C77" s="403"/>
      <c r="D77" s="142"/>
      <c r="E77" s="403"/>
      <c r="F77" s="198"/>
      <c r="G77" s="403"/>
      <c r="H77" s="198"/>
      <c r="I77" s="411"/>
      <c r="J77" s="142"/>
      <c r="K77" s="411"/>
      <c r="L77" s="142"/>
      <c r="M77" s="411"/>
      <c r="N77" s="142"/>
      <c r="O77" s="403"/>
      <c r="P77" s="198"/>
      <c r="Q77" s="197"/>
      <c r="R77" s="198"/>
      <c r="S77" s="197"/>
      <c r="T77" s="198"/>
      <c r="U77" s="197"/>
      <c r="V77" s="198"/>
      <c r="W77" s="198"/>
      <c r="X77" s="198"/>
      <c r="Y77" s="198"/>
      <c r="Z77" s="198"/>
    </row>
    <row r="78">
      <c r="A78" s="403"/>
      <c r="B78" s="198"/>
      <c r="C78" s="403"/>
      <c r="D78" s="142"/>
      <c r="E78" s="403"/>
      <c r="F78" s="198"/>
      <c r="G78" s="403"/>
      <c r="H78" s="198"/>
      <c r="I78" s="411"/>
      <c r="J78" s="142"/>
      <c r="K78" s="411"/>
      <c r="L78" s="142"/>
      <c r="M78" s="411"/>
      <c r="N78" s="142"/>
      <c r="O78" s="403"/>
      <c r="P78" s="198"/>
      <c r="Q78" s="197"/>
      <c r="R78" s="198"/>
      <c r="S78" s="197"/>
      <c r="T78" s="198"/>
      <c r="U78" s="197"/>
      <c r="V78" s="198"/>
      <c r="W78" s="198"/>
      <c r="X78" s="198"/>
      <c r="Y78" s="198"/>
      <c r="Z78" s="198"/>
    </row>
    <row r="79">
      <c r="A79" s="403"/>
      <c r="B79" s="198"/>
      <c r="C79" s="403"/>
      <c r="D79" s="142"/>
      <c r="E79" s="403"/>
      <c r="F79" s="198"/>
      <c r="G79" s="403"/>
      <c r="H79" s="198"/>
      <c r="I79" s="411"/>
      <c r="J79" s="142"/>
      <c r="K79" s="411"/>
      <c r="L79" s="142"/>
      <c r="M79" s="411"/>
      <c r="N79" s="142"/>
      <c r="O79" s="403"/>
      <c r="P79" s="198"/>
      <c r="Q79" s="197"/>
      <c r="R79" s="198"/>
      <c r="S79" s="197"/>
      <c r="T79" s="198"/>
      <c r="U79" s="197"/>
      <c r="V79" s="198"/>
      <c r="W79" s="198"/>
      <c r="X79" s="198"/>
      <c r="Y79" s="198"/>
      <c r="Z79" s="198"/>
    </row>
    <row r="80">
      <c r="A80" s="403"/>
      <c r="B80" s="198"/>
      <c r="C80" s="403"/>
      <c r="D80" s="142"/>
      <c r="E80" s="403"/>
      <c r="F80" s="198"/>
      <c r="G80" s="403"/>
      <c r="H80" s="198"/>
      <c r="I80" s="411"/>
      <c r="J80" s="142"/>
      <c r="K80" s="411"/>
      <c r="L80" s="142"/>
      <c r="M80" s="411"/>
      <c r="N80" s="142"/>
      <c r="O80" s="403"/>
      <c r="P80" s="198"/>
      <c r="Q80" s="197"/>
      <c r="R80" s="198"/>
      <c r="S80" s="197"/>
      <c r="T80" s="198"/>
      <c r="U80" s="197"/>
      <c r="V80" s="198"/>
      <c r="W80" s="198"/>
      <c r="X80" s="198"/>
      <c r="Y80" s="198"/>
      <c r="Z80" s="198"/>
    </row>
    <row r="81">
      <c r="A81" s="403"/>
      <c r="B81" s="198"/>
      <c r="C81" s="403"/>
      <c r="D81" s="142"/>
      <c r="E81" s="403"/>
      <c r="F81" s="198"/>
      <c r="G81" s="403"/>
      <c r="H81" s="198"/>
      <c r="I81" s="411"/>
      <c r="J81" s="142"/>
      <c r="K81" s="411"/>
      <c r="L81" s="142"/>
      <c r="M81" s="411"/>
      <c r="N81" s="142"/>
      <c r="O81" s="403"/>
      <c r="P81" s="198"/>
      <c r="Q81" s="197"/>
      <c r="R81" s="198"/>
      <c r="S81" s="197"/>
      <c r="T81" s="198"/>
      <c r="U81" s="197"/>
      <c r="V81" s="198"/>
      <c r="W81" s="198"/>
      <c r="X81" s="198"/>
      <c r="Y81" s="198"/>
      <c r="Z81" s="198"/>
    </row>
    <row r="82">
      <c r="A82" s="403"/>
      <c r="B82" s="198"/>
      <c r="C82" s="403"/>
      <c r="D82" s="142"/>
      <c r="E82" s="403"/>
      <c r="F82" s="198"/>
      <c r="G82" s="403"/>
      <c r="H82" s="198"/>
      <c r="I82" s="411"/>
      <c r="J82" s="142"/>
      <c r="K82" s="411"/>
      <c r="L82" s="142"/>
      <c r="M82" s="411"/>
      <c r="N82" s="142"/>
      <c r="O82" s="403"/>
      <c r="P82" s="198"/>
      <c r="Q82" s="197"/>
      <c r="R82" s="198"/>
      <c r="S82" s="197"/>
      <c r="T82" s="198"/>
      <c r="U82" s="197"/>
      <c r="V82" s="198"/>
      <c r="W82" s="198"/>
      <c r="X82" s="198"/>
      <c r="Y82" s="198"/>
      <c r="Z82" s="198"/>
    </row>
    <row r="83">
      <c r="A83" s="403"/>
      <c r="B83" s="198"/>
      <c r="C83" s="403"/>
      <c r="D83" s="142"/>
      <c r="E83" s="403"/>
      <c r="F83" s="198"/>
      <c r="G83" s="403"/>
      <c r="H83" s="198"/>
      <c r="I83" s="411"/>
      <c r="J83" s="142"/>
      <c r="K83" s="411"/>
      <c r="L83" s="142"/>
      <c r="M83" s="411"/>
      <c r="N83" s="142"/>
      <c r="O83" s="403"/>
      <c r="P83" s="198"/>
      <c r="Q83" s="197"/>
      <c r="R83" s="198"/>
      <c r="S83" s="197"/>
      <c r="T83" s="198"/>
      <c r="U83" s="197"/>
      <c r="V83" s="198"/>
      <c r="W83" s="198"/>
      <c r="X83" s="198"/>
      <c r="Y83" s="198"/>
      <c r="Z83" s="198"/>
    </row>
    <row r="84">
      <c r="A84" s="403"/>
      <c r="B84" s="198"/>
      <c r="C84" s="403"/>
      <c r="D84" s="142"/>
      <c r="E84" s="403"/>
      <c r="F84" s="198"/>
      <c r="G84" s="403"/>
      <c r="H84" s="198"/>
      <c r="I84" s="411"/>
      <c r="J84" s="142"/>
      <c r="K84" s="411"/>
      <c r="L84" s="142"/>
      <c r="M84" s="411"/>
      <c r="N84" s="142"/>
      <c r="O84" s="403"/>
      <c r="P84" s="198"/>
      <c r="Q84" s="197"/>
      <c r="R84" s="198"/>
      <c r="S84" s="197"/>
      <c r="T84" s="198"/>
      <c r="U84" s="197"/>
      <c r="V84" s="198"/>
      <c r="W84" s="198"/>
      <c r="X84" s="198"/>
      <c r="Y84" s="198"/>
      <c r="Z84" s="198"/>
    </row>
    <row r="85">
      <c r="A85" s="403"/>
      <c r="B85" s="198"/>
      <c r="C85" s="403"/>
      <c r="D85" s="142"/>
      <c r="E85" s="403"/>
      <c r="F85" s="198"/>
      <c r="G85" s="403"/>
      <c r="H85" s="198"/>
      <c r="I85" s="411"/>
      <c r="J85" s="142"/>
      <c r="K85" s="411"/>
      <c r="L85" s="142"/>
      <c r="M85" s="411"/>
      <c r="N85" s="142"/>
      <c r="O85" s="403"/>
      <c r="P85" s="198"/>
      <c r="Q85" s="197"/>
      <c r="R85" s="198"/>
      <c r="S85" s="197"/>
      <c r="T85" s="198"/>
      <c r="U85" s="197"/>
      <c r="V85" s="198"/>
      <c r="W85" s="198"/>
      <c r="X85" s="198"/>
      <c r="Y85" s="198"/>
      <c r="Z85" s="198"/>
    </row>
    <row r="86">
      <c r="A86" s="403"/>
      <c r="B86" s="198"/>
      <c r="C86" s="403"/>
      <c r="D86" s="142"/>
      <c r="E86" s="403"/>
      <c r="F86" s="198"/>
      <c r="G86" s="403"/>
      <c r="H86" s="198"/>
      <c r="I86" s="411"/>
      <c r="J86" s="142"/>
      <c r="K86" s="411"/>
      <c r="L86" s="142"/>
      <c r="M86" s="411"/>
      <c r="N86" s="142"/>
      <c r="O86" s="403"/>
      <c r="P86" s="198"/>
      <c r="Q86" s="197"/>
      <c r="R86" s="198"/>
      <c r="S86" s="197"/>
      <c r="T86" s="198"/>
      <c r="U86" s="197"/>
      <c r="V86" s="198"/>
      <c r="W86" s="198"/>
      <c r="X86" s="198"/>
      <c r="Y86" s="198"/>
      <c r="Z86" s="198"/>
    </row>
    <row r="87">
      <c r="A87" s="403"/>
      <c r="B87" s="198"/>
      <c r="C87" s="403"/>
      <c r="D87" s="142"/>
      <c r="E87" s="403"/>
      <c r="F87" s="198"/>
      <c r="G87" s="403"/>
      <c r="H87" s="198"/>
      <c r="I87" s="411"/>
      <c r="J87" s="142"/>
      <c r="K87" s="411"/>
      <c r="L87" s="142"/>
      <c r="M87" s="411"/>
      <c r="N87" s="142"/>
      <c r="O87" s="403"/>
      <c r="P87" s="198"/>
      <c r="Q87" s="197"/>
      <c r="R87" s="198"/>
      <c r="S87" s="197"/>
      <c r="T87" s="198"/>
      <c r="U87" s="197"/>
      <c r="V87" s="198"/>
      <c r="W87" s="198"/>
      <c r="X87" s="198"/>
      <c r="Y87" s="198"/>
      <c r="Z87" s="198"/>
    </row>
    <row r="88">
      <c r="A88" s="403"/>
      <c r="B88" s="198"/>
      <c r="C88" s="403"/>
      <c r="D88" s="142"/>
      <c r="E88" s="403"/>
      <c r="F88" s="198"/>
      <c r="G88" s="403"/>
      <c r="H88" s="198"/>
      <c r="I88" s="411"/>
      <c r="J88" s="142"/>
      <c r="K88" s="411"/>
      <c r="L88" s="142"/>
      <c r="M88" s="411"/>
      <c r="N88" s="142"/>
      <c r="O88" s="403"/>
      <c r="P88" s="198"/>
      <c r="Q88" s="197"/>
      <c r="R88" s="198"/>
      <c r="S88" s="197"/>
      <c r="T88" s="198"/>
      <c r="U88" s="197"/>
      <c r="V88" s="198"/>
      <c r="W88" s="198"/>
      <c r="X88" s="198"/>
      <c r="Y88" s="198"/>
      <c r="Z88" s="198"/>
    </row>
    <row r="89">
      <c r="A89" s="403"/>
      <c r="B89" s="198"/>
      <c r="C89" s="403"/>
      <c r="D89" s="142"/>
      <c r="E89" s="403"/>
      <c r="F89" s="198"/>
      <c r="G89" s="403"/>
      <c r="H89" s="198"/>
      <c r="I89" s="411"/>
      <c r="J89" s="142"/>
      <c r="K89" s="411"/>
      <c r="L89" s="142"/>
      <c r="M89" s="411"/>
      <c r="N89" s="142"/>
      <c r="O89" s="403"/>
      <c r="P89" s="198"/>
      <c r="Q89" s="197"/>
      <c r="R89" s="198"/>
      <c r="S89" s="197"/>
      <c r="T89" s="198"/>
      <c r="U89" s="197"/>
      <c r="V89" s="198"/>
      <c r="W89" s="198"/>
      <c r="X89" s="198"/>
      <c r="Y89" s="198"/>
      <c r="Z89" s="198"/>
    </row>
    <row r="90">
      <c r="A90" s="403"/>
      <c r="B90" s="198"/>
      <c r="C90" s="403"/>
      <c r="D90" s="142"/>
      <c r="E90" s="403"/>
      <c r="F90" s="198"/>
      <c r="G90" s="403"/>
      <c r="H90" s="198"/>
      <c r="I90" s="411"/>
      <c r="J90" s="142"/>
      <c r="K90" s="411"/>
      <c r="L90" s="142"/>
      <c r="M90" s="411"/>
      <c r="N90" s="142"/>
      <c r="O90" s="403"/>
      <c r="P90" s="198"/>
      <c r="Q90" s="197"/>
      <c r="R90" s="198"/>
      <c r="S90" s="197"/>
      <c r="T90" s="198"/>
      <c r="U90" s="197"/>
      <c r="V90" s="198"/>
      <c r="W90" s="198"/>
      <c r="X90" s="198"/>
      <c r="Y90" s="198"/>
      <c r="Z90" s="198"/>
    </row>
    <row r="91">
      <c r="A91" s="403"/>
      <c r="B91" s="198"/>
      <c r="C91" s="403"/>
      <c r="D91" s="142"/>
      <c r="E91" s="403"/>
      <c r="F91" s="198"/>
      <c r="G91" s="403"/>
      <c r="H91" s="198"/>
      <c r="I91" s="411"/>
      <c r="J91" s="142"/>
      <c r="K91" s="411"/>
      <c r="L91" s="142"/>
      <c r="M91" s="411"/>
      <c r="N91" s="142"/>
      <c r="O91" s="403"/>
      <c r="P91" s="198"/>
      <c r="Q91" s="197"/>
      <c r="R91" s="198"/>
      <c r="S91" s="197"/>
      <c r="T91" s="198"/>
      <c r="U91" s="197"/>
      <c r="V91" s="198"/>
      <c r="W91" s="198"/>
      <c r="X91" s="198"/>
      <c r="Y91" s="198"/>
      <c r="Z91" s="198"/>
    </row>
    <row r="92">
      <c r="A92" s="403"/>
      <c r="B92" s="198"/>
      <c r="C92" s="403"/>
      <c r="D92" s="142"/>
      <c r="E92" s="403"/>
      <c r="F92" s="198"/>
      <c r="G92" s="403"/>
      <c r="H92" s="198"/>
      <c r="I92" s="411"/>
      <c r="J92" s="142"/>
      <c r="K92" s="411"/>
      <c r="L92" s="142"/>
      <c r="M92" s="411"/>
      <c r="N92" s="142"/>
      <c r="O92" s="403"/>
      <c r="P92" s="198"/>
      <c r="Q92" s="197"/>
      <c r="R92" s="198"/>
      <c r="S92" s="197"/>
      <c r="T92" s="198"/>
      <c r="U92" s="197"/>
      <c r="V92" s="198"/>
      <c r="W92" s="198"/>
      <c r="X92" s="198"/>
      <c r="Y92" s="198"/>
      <c r="Z92" s="198"/>
    </row>
    <row r="93">
      <c r="A93" s="403"/>
      <c r="B93" s="198"/>
      <c r="C93" s="403"/>
      <c r="D93" s="142"/>
      <c r="E93" s="403"/>
      <c r="F93" s="198"/>
      <c r="G93" s="403"/>
      <c r="H93" s="198"/>
      <c r="I93" s="411"/>
      <c r="J93" s="142"/>
      <c r="K93" s="411"/>
      <c r="L93" s="142"/>
      <c r="M93" s="411"/>
      <c r="N93" s="142"/>
      <c r="O93" s="403"/>
      <c r="P93" s="198"/>
      <c r="Q93" s="412"/>
      <c r="R93" s="76"/>
      <c r="S93" s="197"/>
      <c r="T93" s="198"/>
      <c r="U93" s="197"/>
      <c r="V93" s="198"/>
      <c r="W93" s="198"/>
      <c r="X93" s="198"/>
      <c r="Y93" s="198"/>
      <c r="Z93" s="198"/>
    </row>
    <row r="94">
      <c r="A94" s="403"/>
      <c r="B94" s="198"/>
      <c r="C94" s="403"/>
      <c r="D94" s="142"/>
      <c r="E94" s="403"/>
      <c r="F94" s="198"/>
      <c r="G94" s="403"/>
      <c r="H94" s="198"/>
      <c r="I94" s="411"/>
      <c r="J94" s="142"/>
      <c r="K94" s="411"/>
      <c r="L94" s="142"/>
      <c r="M94" s="411"/>
      <c r="N94" s="142"/>
      <c r="O94" s="403"/>
      <c r="P94" s="198"/>
      <c r="Q94" s="412"/>
      <c r="R94" s="76"/>
      <c r="S94" s="197"/>
      <c r="T94" s="198"/>
      <c r="U94" s="197"/>
      <c r="V94" s="198"/>
      <c r="W94" s="198"/>
      <c r="X94" s="198"/>
      <c r="Y94" s="198"/>
      <c r="Z94" s="198"/>
    </row>
    <row r="95">
      <c r="A95" s="403"/>
      <c r="B95" s="198"/>
      <c r="C95" s="403"/>
      <c r="D95" s="142"/>
      <c r="E95" s="403"/>
      <c r="F95" s="198"/>
      <c r="G95" s="403"/>
      <c r="H95" s="198"/>
      <c r="I95" s="411"/>
      <c r="J95" s="142"/>
      <c r="K95" s="411"/>
      <c r="L95" s="142"/>
      <c r="M95" s="411"/>
      <c r="N95" s="142"/>
      <c r="O95" s="403"/>
      <c r="P95" s="198"/>
      <c r="Q95" s="412"/>
      <c r="R95" s="76"/>
      <c r="S95" s="197"/>
      <c r="T95" s="198"/>
      <c r="U95" s="197"/>
      <c r="V95" s="198"/>
      <c r="W95" s="198"/>
      <c r="X95" s="198"/>
      <c r="Y95" s="198"/>
      <c r="Z95" s="198"/>
    </row>
    <row r="96">
      <c r="A96" s="403"/>
      <c r="B96" s="198"/>
      <c r="C96" s="403"/>
      <c r="D96" s="142"/>
      <c r="E96" s="403"/>
      <c r="F96" s="198"/>
      <c r="G96" s="403"/>
      <c r="H96" s="198"/>
      <c r="I96" s="411"/>
      <c r="J96" s="142"/>
      <c r="K96" s="411"/>
      <c r="L96" s="142"/>
      <c r="M96" s="411"/>
      <c r="N96" s="142"/>
      <c r="O96" s="403"/>
      <c r="P96" s="198"/>
      <c r="Q96" s="412"/>
      <c r="R96" s="76"/>
      <c r="S96" s="197"/>
      <c r="T96" s="198"/>
      <c r="U96" s="197"/>
      <c r="V96" s="198"/>
      <c r="W96" s="198"/>
      <c r="X96" s="198"/>
      <c r="Y96" s="198"/>
      <c r="Z96" s="198"/>
    </row>
    <row r="97">
      <c r="A97" s="403"/>
      <c r="B97" s="198"/>
      <c r="C97" s="403"/>
      <c r="D97" s="142"/>
      <c r="E97" s="403"/>
      <c r="F97" s="198"/>
      <c r="G97" s="403"/>
      <c r="H97" s="198"/>
      <c r="I97" s="411"/>
      <c r="J97" s="142"/>
      <c r="K97" s="411"/>
      <c r="L97" s="142"/>
      <c r="M97" s="411"/>
      <c r="N97" s="142"/>
      <c r="O97" s="403"/>
      <c r="P97" s="198"/>
      <c r="Q97" s="412"/>
      <c r="R97" s="76"/>
      <c r="S97" s="197"/>
      <c r="T97" s="198"/>
      <c r="U97" s="197"/>
      <c r="V97" s="198"/>
      <c r="W97" s="198"/>
      <c r="X97" s="198"/>
      <c r="Y97" s="198"/>
      <c r="Z97" s="198"/>
    </row>
    <row r="98">
      <c r="A98" s="403"/>
      <c r="B98" s="198"/>
      <c r="C98" s="403"/>
      <c r="D98" s="142"/>
      <c r="E98" s="403"/>
      <c r="F98" s="198"/>
      <c r="G98" s="403"/>
      <c r="H98" s="198"/>
      <c r="I98" s="411"/>
      <c r="J98" s="142"/>
      <c r="K98" s="411"/>
      <c r="L98" s="142"/>
      <c r="M98" s="411"/>
      <c r="N98" s="142"/>
      <c r="O98" s="403"/>
      <c r="P98" s="198"/>
      <c r="Q98" s="412"/>
      <c r="R98" s="76"/>
      <c r="S98" s="197"/>
      <c r="T98" s="198"/>
      <c r="U98" s="197"/>
      <c r="V98" s="198"/>
      <c r="W98" s="198"/>
      <c r="X98" s="198"/>
      <c r="Y98" s="198"/>
      <c r="Z98" s="198"/>
    </row>
    <row r="99">
      <c r="A99" s="403"/>
      <c r="B99" s="198"/>
      <c r="C99" s="403"/>
      <c r="D99" s="142"/>
      <c r="E99" s="403"/>
      <c r="F99" s="198"/>
      <c r="G99" s="403"/>
      <c r="H99" s="198"/>
      <c r="I99" s="411"/>
      <c r="J99" s="142"/>
      <c r="K99" s="411"/>
      <c r="L99" s="142"/>
      <c r="M99" s="411"/>
      <c r="N99" s="142"/>
      <c r="O99" s="403"/>
      <c r="P99" s="198"/>
      <c r="Q99" s="412"/>
      <c r="R99" s="76"/>
      <c r="S99" s="197"/>
      <c r="T99" s="198"/>
      <c r="U99" s="197"/>
      <c r="V99" s="198"/>
      <c r="W99" s="198"/>
      <c r="X99" s="198"/>
      <c r="Y99" s="198"/>
      <c r="Z99" s="198"/>
    </row>
    <row r="100">
      <c r="A100" s="403"/>
      <c r="B100" s="198"/>
      <c r="C100" s="403"/>
      <c r="D100" s="142"/>
      <c r="E100" s="403"/>
      <c r="F100" s="198"/>
      <c r="G100" s="403"/>
      <c r="H100" s="198"/>
      <c r="I100" s="411"/>
      <c r="J100" s="142"/>
      <c r="K100" s="411"/>
      <c r="L100" s="142"/>
      <c r="M100" s="411"/>
      <c r="N100" s="142"/>
      <c r="O100" s="403"/>
      <c r="P100" s="198"/>
      <c r="Q100" s="412"/>
      <c r="R100" s="76"/>
      <c r="S100" s="197"/>
      <c r="T100" s="198"/>
      <c r="U100" s="197"/>
      <c r="V100" s="198"/>
      <c r="W100" s="198"/>
      <c r="X100" s="198"/>
      <c r="Y100" s="198"/>
      <c r="Z100" s="198"/>
    </row>
    <row r="101">
      <c r="A101" s="403"/>
      <c r="B101" s="198"/>
      <c r="C101" s="403"/>
      <c r="D101" s="142"/>
      <c r="E101" s="403"/>
      <c r="F101" s="198"/>
      <c r="G101" s="403"/>
      <c r="H101" s="198"/>
      <c r="I101" s="411"/>
      <c r="J101" s="142"/>
      <c r="K101" s="411"/>
      <c r="L101" s="142"/>
      <c r="M101" s="411"/>
      <c r="N101" s="142"/>
      <c r="O101" s="403"/>
      <c r="P101" s="198"/>
      <c r="Q101" s="412"/>
      <c r="R101" s="76"/>
      <c r="S101" s="197"/>
      <c r="T101" s="198"/>
      <c r="U101" s="197"/>
      <c r="V101" s="198"/>
      <c r="W101" s="198"/>
      <c r="X101" s="198"/>
      <c r="Y101" s="198"/>
      <c r="Z101" s="198"/>
    </row>
    <row r="102">
      <c r="A102" s="403"/>
      <c r="B102" s="198"/>
      <c r="C102" s="403"/>
      <c r="D102" s="142"/>
      <c r="E102" s="403"/>
      <c r="F102" s="198"/>
      <c r="G102" s="403"/>
      <c r="H102" s="198"/>
      <c r="I102" s="411"/>
      <c r="J102" s="142"/>
      <c r="K102" s="411"/>
      <c r="L102" s="142"/>
      <c r="M102" s="411"/>
      <c r="N102" s="142"/>
      <c r="O102" s="403"/>
      <c r="P102" s="198"/>
      <c r="Q102" s="412"/>
      <c r="R102" s="76"/>
      <c r="S102" s="197"/>
      <c r="T102" s="198"/>
      <c r="U102" s="197"/>
      <c r="V102" s="198"/>
      <c r="W102" s="198"/>
      <c r="X102" s="198"/>
      <c r="Y102" s="198"/>
      <c r="Z102" s="198"/>
    </row>
    <row r="103">
      <c r="A103" s="403"/>
      <c r="B103" s="198"/>
      <c r="C103" s="403"/>
      <c r="D103" s="142"/>
      <c r="E103" s="403"/>
      <c r="F103" s="198"/>
      <c r="G103" s="403"/>
      <c r="H103" s="198"/>
      <c r="I103" s="411"/>
      <c r="J103" s="142"/>
      <c r="K103" s="411"/>
      <c r="L103" s="142"/>
      <c r="M103" s="411"/>
      <c r="N103" s="142"/>
      <c r="O103" s="403"/>
      <c r="P103" s="198"/>
      <c r="Q103" s="412"/>
      <c r="R103" s="76"/>
      <c r="S103" s="197"/>
      <c r="T103" s="198"/>
      <c r="U103" s="197"/>
      <c r="V103" s="198"/>
      <c r="W103" s="198"/>
      <c r="X103" s="198"/>
      <c r="Y103" s="198"/>
      <c r="Z103" s="198"/>
    </row>
    <row r="104">
      <c r="A104" s="403"/>
      <c r="B104" s="198"/>
      <c r="C104" s="403"/>
      <c r="D104" s="142"/>
      <c r="E104" s="403"/>
      <c r="F104" s="198"/>
      <c r="G104" s="403"/>
      <c r="H104" s="198"/>
      <c r="I104" s="411"/>
      <c r="J104" s="142"/>
      <c r="K104" s="411"/>
      <c r="L104" s="142"/>
      <c r="M104" s="411"/>
      <c r="N104" s="142"/>
      <c r="O104" s="403"/>
      <c r="P104" s="198"/>
      <c r="Q104" s="412"/>
      <c r="R104" s="76"/>
      <c r="S104" s="197"/>
      <c r="T104" s="198"/>
      <c r="U104" s="197"/>
      <c r="V104" s="198"/>
      <c r="W104" s="198"/>
      <c r="X104" s="198"/>
      <c r="Y104" s="198"/>
      <c r="Z104" s="198"/>
    </row>
    <row r="105">
      <c r="A105" s="403"/>
      <c r="B105" s="198"/>
      <c r="C105" s="403"/>
      <c r="D105" s="142"/>
      <c r="E105" s="403"/>
      <c r="F105" s="198"/>
      <c r="G105" s="403"/>
      <c r="H105" s="198"/>
      <c r="I105" s="411"/>
      <c r="J105" s="142"/>
      <c r="K105" s="411"/>
      <c r="L105" s="142"/>
      <c r="M105" s="411"/>
      <c r="N105" s="142"/>
      <c r="O105" s="403"/>
      <c r="P105" s="198"/>
      <c r="Q105" s="412"/>
      <c r="R105" s="76"/>
      <c r="S105" s="197"/>
      <c r="T105" s="198"/>
      <c r="U105" s="197"/>
      <c r="V105" s="198"/>
      <c r="W105" s="198"/>
      <c r="X105" s="198"/>
      <c r="Y105" s="198"/>
      <c r="Z105" s="198"/>
    </row>
    <row r="106">
      <c r="A106" s="403"/>
      <c r="B106" s="198"/>
      <c r="C106" s="403"/>
      <c r="D106" s="142"/>
      <c r="E106" s="403"/>
      <c r="F106" s="198"/>
      <c r="G106" s="403"/>
      <c r="H106" s="198"/>
      <c r="I106" s="411"/>
      <c r="J106" s="142"/>
      <c r="K106" s="411"/>
      <c r="L106" s="142"/>
      <c r="M106" s="411"/>
      <c r="N106" s="142"/>
      <c r="O106" s="403"/>
      <c r="P106" s="198"/>
      <c r="Q106" s="412"/>
      <c r="R106" s="76"/>
      <c r="S106" s="197"/>
      <c r="T106" s="198"/>
      <c r="U106" s="197"/>
      <c r="V106" s="198"/>
      <c r="W106" s="198"/>
      <c r="X106" s="198"/>
      <c r="Y106" s="198"/>
      <c r="Z106" s="198"/>
    </row>
    <row r="107">
      <c r="A107" s="403"/>
      <c r="B107" s="198"/>
      <c r="C107" s="403"/>
      <c r="D107" s="142"/>
      <c r="E107" s="403"/>
      <c r="F107" s="198"/>
      <c r="G107" s="403"/>
      <c r="H107" s="198"/>
      <c r="I107" s="411"/>
      <c r="J107" s="142"/>
      <c r="K107" s="411"/>
      <c r="L107" s="142"/>
      <c r="M107" s="411"/>
      <c r="N107" s="142"/>
      <c r="O107" s="403"/>
      <c r="P107" s="198"/>
      <c r="Q107" s="412"/>
      <c r="R107" s="76"/>
      <c r="S107" s="197"/>
      <c r="T107" s="198"/>
      <c r="U107" s="197"/>
      <c r="V107" s="198"/>
      <c r="W107" s="198"/>
      <c r="X107" s="198"/>
      <c r="Y107" s="198"/>
      <c r="Z107" s="198"/>
    </row>
    <row r="108">
      <c r="A108" s="403"/>
      <c r="B108" s="198"/>
      <c r="C108" s="403"/>
      <c r="D108" s="142"/>
      <c r="E108" s="403"/>
      <c r="F108" s="198"/>
      <c r="G108" s="403"/>
      <c r="H108" s="198"/>
      <c r="I108" s="411"/>
      <c r="J108" s="142"/>
      <c r="K108" s="411"/>
      <c r="L108" s="142"/>
      <c r="M108" s="411"/>
      <c r="N108" s="142"/>
      <c r="O108" s="403"/>
      <c r="P108" s="198"/>
      <c r="Q108" s="412"/>
      <c r="R108" s="76"/>
      <c r="S108" s="197"/>
      <c r="T108" s="198"/>
      <c r="U108" s="197"/>
      <c r="V108" s="198"/>
      <c r="W108" s="198"/>
      <c r="X108" s="198"/>
      <c r="Y108" s="198"/>
      <c r="Z108" s="198"/>
    </row>
    <row r="109">
      <c r="A109" s="403"/>
      <c r="B109" s="198"/>
      <c r="C109" s="403"/>
      <c r="D109" s="142"/>
      <c r="E109" s="403"/>
      <c r="F109" s="198"/>
      <c r="G109" s="403"/>
      <c r="H109" s="198"/>
      <c r="I109" s="411"/>
      <c r="J109" s="142"/>
      <c r="K109" s="411"/>
      <c r="L109" s="142"/>
      <c r="M109" s="411"/>
      <c r="N109" s="142"/>
      <c r="O109" s="403"/>
      <c r="P109" s="198"/>
      <c r="Q109" s="412"/>
      <c r="R109" s="76"/>
      <c r="S109" s="197"/>
      <c r="T109" s="198"/>
      <c r="U109" s="197"/>
      <c r="V109" s="198"/>
      <c r="W109" s="198"/>
      <c r="X109" s="198"/>
      <c r="Y109" s="198"/>
      <c r="Z109" s="198"/>
    </row>
    <row r="110">
      <c r="A110" s="403"/>
      <c r="B110" s="198"/>
      <c r="C110" s="403"/>
      <c r="D110" s="142"/>
      <c r="E110" s="403"/>
      <c r="F110" s="198"/>
      <c r="G110" s="403"/>
      <c r="H110" s="198"/>
      <c r="I110" s="411"/>
      <c r="J110" s="142"/>
      <c r="K110" s="411"/>
      <c r="L110" s="142"/>
      <c r="M110" s="411"/>
      <c r="N110" s="142"/>
      <c r="O110" s="403"/>
      <c r="P110" s="198"/>
      <c r="Q110" s="412"/>
      <c r="R110" s="76"/>
      <c r="S110" s="197"/>
      <c r="T110" s="198"/>
      <c r="U110" s="197"/>
      <c r="V110" s="198"/>
      <c r="W110" s="198"/>
      <c r="X110" s="198"/>
      <c r="Y110" s="198"/>
      <c r="Z110" s="198"/>
    </row>
    <row r="111">
      <c r="A111" s="403"/>
      <c r="B111" s="198"/>
      <c r="C111" s="403"/>
      <c r="D111" s="142"/>
      <c r="E111" s="403"/>
      <c r="F111" s="198"/>
      <c r="G111" s="403"/>
      <c r="H111" s="198"/>
      <c r="I111" s="411"/>
      <c r="J111" s="142"/>
      <c r="K111" s="411"/>
      <c r="L111" s="142"/>
      <c r="M111" s="411"/>
      <c r="N111" s="142"/>
      <c r="O111" s="403"/>
      <c r="P111" s="198"/>
      <c r="Q111" s="412"/>
      <c r="R111" s="76"/>
      <c r="S111" s="197"/>
      <c r="T111" s="198"/>
      <c r="U111" s="197"/>
      <c r="V111" s="198"/>
      <c r="W111" s="198"/>
      <c r="X111" s="198"/>
      <c r="Y111" s="198"/>
      <c r="Z111" s="198"/>
    </row>
    <row r="112">
      <c r="A112" s="403"/>
      <c r="B112" s="198"/>
      <c r="C112" s="403"/>
      <c r="D112" s="142"/>
      <c r="E112" s="403"/>
      <c r="F112" s="198"/>
      <c r="G112" s="403"/>
      <c r="H112" s="198"/>
      <c r="I112" s="411"/>
      <c r="J112" s="142"/>
      <c r="K112" s="411"/>
      <c r="L112" s="142"/>
      <c r="M112" s="411"/>
      <c r="N112" s="142"/>
      <c r="O112" s="403"/>
      <c r="P112" s="198"/>
      <c r="Q112" s="412"/>
      <c r="R112" s="76"/>
      <c r="S112" s="197"/>
      <c r="T112" s="198"/>
      <c r="U112" s="197"/>
      <c r="V112" s="198"/>
      <c r="W112" s="198"/>
      <c r="X112" s="198"/>
      <c r="Y112" s="198"/>
      <c r="Z112" s="198"/>
    </row>
    <row r="113">
      <c r="A113" s="403"/>
      <c r="B113" s="198"/>
      <c r="C113" s="403"/>
      <c r="D113" s="142"/>
      <c r="E113" s="403"/>
      <c r="F113" s="198"/>
      <c r="G113" s="403"/>
      <c r="H113" s="198"/>
      <c r="I113" s="411"/>
      <c r="J113" s="142"/>
      <c r="K113" s="411"/>
      <c r="L113" s="142"/>
      <c r="M113" s="411"/>
      <c r="N113" s="142"/>
      <c r="O113" s="403"/>
      <c r="P113" s="198"/>
      <c r="Q113" s="412"/>
      <c r="R113" s="76"/>
      <c r="S113" s="197"/>
      <c r="T113" s="198"/>
      <c r="U113" s="197"/>
      <c r="V113" s="198"/>
      <c r="W113" s="198"/>
      <c r="X113" s="198"/>
      <c r="Y113" s="198"/>
      <c r="Z113" s="198"/>
    </row>
    <row r="114">
      <c r="A114" s="403"/>
      <c r="B114" s="198"/>
      <c r="C114" s="403"/>
      <c r="D114" s="142"/>
      <c r="E114" s="403"/>
      <c r="F114" s="198"/>
      <c r="G114" s="403"/>
      <c r="H114" s="198"/>
      <c r="I114" s="411"/>
      <c r="J114" s="142"/>
      <c r="K114" s="411"/>
      <c r="L114" s="142"/>
      <c r="M114" s="411"/>
      <c r="N114" s="142"/>
      <c r="O114" s="403"/>
      <c r="P114" s="198"/>
      <c r="Q114" s="412"/>
      <c r="R114" s="76"/>
      <c r="S114" s="197"/>
      <c r="T114" s="198"/>
      <c r="U114" s="197"/>
      <c r="V114" s="198"/>
      <c r="W114" s="198"/>
      <c r="X114" s="198"/>
      <c r="Y114" s="198"/>
      <c r="Z114" s="198"/>
    </row>
    <row r="115">
      <c r="A115" s="403"/>
      <c r="B115" s="198"/>
      <c r="C115" s="403"/>
      <c r="D115" s="142"/>
      <c r="E115" s="403"/>
      <c r="F115" s="198"/>
      <c r="G115" s="403"/>
      <c r="H115" s="198"/>
      <c r="I115" s="411"/>
      <c r="J115" s="142"/>
      <c r="K115" s="411"/>
      <c r="L115" s="142"/>
      <c r="M115" s="411"/>
      <c r="N115" s="142"/>
      <c r="O115" s="403"/>
      <c r="P115" s="198"/>
      <c r="Q115" s="412"/>
      <c r="R115" s="76"/>
      <c r="S115" s="197"/>
      <c r="T115" s="198"/>
      <c r="U115" s="197"/>
      <c r="V115" s="198"/>
      <c r="W115" s="198"/>
      <c r="X115" s="198"/>
      <c r="Y115" s="198"/>
      <c r="Z115" s="198"/>
    </row>
    <row r="116">
      <c r="A116" s="403"/>
      <c r="B116" s="198"/>
      <c r="C116" s="403"/>
      <c r="D116" s="142"/>
      <c r="E116" s="403"/>
      <c r="F116" s="198"/>
      <c r="G116" s="403"/>
      <c r="H116" s="198"/>
      <c r="I116" s="411"/>
      <c r="J116" s="142"/>
      <c r="K116" s="411"/>
      <c r="L116" s="142"/>
      <c r="M116" s="411"/>
      <c r="N116" s="142"/>
      <c r="O116" s="403"/>
      <c r="P116" s="198"/>
      <c r="Q116" s="412"/>
      <c r="R116" s="76"/>
      <c r="S116" s="197"/>
      <c r="T116" s="198"/>
      <c r="U116" s="197"/>
      <c r="V116" s="198"/>
      <c r="W116" s="198"/>
      <c r="X116" s="198"/>
      <c r="Y116" s="198"/>
      <c r="Z116" s="198"/>
    </row>
    <row r="117">
      <c r="A117" s="403"/>
      <c r="B117" s="198"/>
      <c r="C117" s="403"/>
      <c r="D117" s="142"/>
      <c r="E117" s="403"/>
      <c r="F117" s="198"/>
      <c r="G117" s="403"/>
      <c r="H117" s="198"/>
      <c r="I117" s="411"/>
      <c r="J117" s="142"/>
      <c r="K117" s="411"/>
      <c r="L117" s="142"/>
      <c r="M117" s="411"/>
      <c r="N117" s="142"/>
      <c r="O117" s="403"/>
      <c r="P117" s="198"/>
      <c r="Q117" s="412"/>
      <c r="R117" s="76"/>
      <c r="S117" s="197"/>
      <c r="T117" s="198"/>
      <c r="U117" s="197"/>
      <c r="V117" s="198"/>
      <c r="W117" s="198"/>
      <c r="X117" s="198"/>
      <c r="Y117" s="198"/>
      <c r="Z117" s="198"/>
    </row>
    <row r="118">
      <c r="A118" s="403"/>
      <c r="B118" s="198"/>
      <c r="C118" s="403"/>
      <c r="D118" s="142"/>
      <c r="E118" s="403"/>
      <c r="F118" s="198"/>
      <c r="G118" s="403"/>
      <c r="H118" s="198"/>
      <c r="I118" s="411"/>
      <c r="J118" s="142"/>
      <c r="K118" s="411"/>
      <c r="L118" s="142"/>
      <c r="M118" s="411"/>
      <c r="N118" s="142"/>
      <c r="O118" s="403"/>
      <c r="P118" s="198"/>
      <c r="Q118" s="412"/>
      <c r="R118" s="76"/>
      <c r="S118" s="197"/>
      <c r="T118" s="198"/>
      <c r="U118" s="197"/>
      <c r="V118" s="198"/>
      <c r="W118" s="198"/>
      <c r="X118" s="198"/>
      <c r="Y118" s="198"/>
      <c r="Z118" s="198"/>
    </row>
    <row r="119">
      <c r="A119" s="403"/>
      <c r="B119" s="198"/>
      <c r="C119" s="403"/>
      <c r="D119" s="142"/>
      <c r="E119" s="403"/>
      <c r="F119" s="198"/>
      <c r="G119" s="403"/>
      <c r="H119" s="198"/>
      <c r="I119" s="411"/>
      <c r="J119" s="142"/>
      <c r="K119" s="411"/>
      <c r="L119" s="142"/>
      <c r="M119" s="411"/>
      <c r="N119" s="142"/>
      <c r="O119" s="403"/>
      <c r="P119" s="198"/>
      <c r="Q119" s="412"/>
      <c r="R119" s="76"/>
      <c r="S119" s="197"/>
      <c r="T119" s="198"/>
      <c r="U119" s="197"/>
      <c r="V119" s="198"/>
      <c r="W119" s="198"/>
      <c r="X119" s="198"/>
      <c r="Y119" s="198"/>
      <c r="Z119" s="198"/>
    </row>
    <row r="120">
      <c r="A120" s="403"/>
      <c r="B120" s="198"/>
      <c r="C120" s="403"/>
      <c r="D120" s="142"/>
      <c r="E120" s="403"/>
      <c r="F120" s="198"/>
      <c r="G120" s="403"/>
      <c r="H120" s="198"/>
      <c r="I120" s="411"/>
      <c r="J120" s="142"/>
      <c r="K120" s="411"/>
      <c r="L120" s="142"/>
      <c r="M120" s="411"/>
      <c r="N120" s="142"/>
      <c r="O120" s="403"/>
      <c r="P120" s="198"/>
      <c r="Q120" s="412"/>
      <c r="R120" s="76"/>
      <c r="S120" s="197"/>
      <c r="T120" s="198"/>
      <c r="U120" s="197"/>
      <c r="V120" s="198"/>
      <c r="W120" s="198"/>
      <c r="X120" s="198"/>
      <c r="Y120" s="198"/>
      <c r="Z120" s="198"/>
    </row>
    <row r="121">
      <c r="A121" s="403"/>
      <c r="B121" s="198"/>
      <c r="C121" s="403"/>
      <c r="D121" s="142"/>
      <c r="E121" s="403"/>
      <c r="F121" s="198"/>
      <c r="G121" s="403"/>
      <c r="H121" s="198"/>
      <c r="I121" s="411"/>
      <c r="J121" s="142"/>
      <c r="K121" s="411"/>
      <c r="L121" s="142"/>
      <c r="M121" s="411"/>
      <c r="N121" s="142"/>
      <c r="O121" s="403"/>
      <c r="P121" s="198"/>
      <c r="Q121" s="412"/>
      <c r="R121" s="76"/>
      <c r="S121" s="197"/>
      <c r="T121" s="198"/>
      <c r="U121" s="197"/>
      <c r="V121" s="198"/>
      <c r="W121" s="198"/>
      <c r="X121" s="198"/>
      <c r="Y121" s="198"/>
      <c r="Z121" s="198"/>
    </row>
    <row r="122">
      <c r="A122" s="403"/>
      <c r="B122" s="198"/>
      <c r="C122" s="403"/>
      <c r="D122" s="142"/>
      <c r="E122" s="403"/>
      <c r="F122" s="198"/>
      <c r="G122" s="403"/>
      <c r="H122" s="198"/>
      <c r="I122" s="411"/>
      <c r="J122" s="142"/>
      <c r="K122" s="411"/>
      <c r="L122" s="142"/>
      <c r="M122" s="411"/>
      <c r="N122" s="142"/>
      <c r="O122" s="403"/>
      <c r="P122" s="198"/>
      <c r="Q122" s="412"/>
      <c r="R122" s="76"/>
      <c r="S122" s="197"/>
      <c r="T122" s="198"/>
      <c r="U122" s="197"/>
      <c r="V122" s="198"/>
      <c r="W122" s="198"/>
      <c r="X122" s="198"/>
      <c r="Y122" s="198"/>
      <c r="Z122" s="198"/>
    </row>
    <row r="123">
      <c r="A123" s="403"/>
      <c r="B123" s="198"/>
      <c r="C123" s="403"/>
      <c r="D123" s="142"/>
      <c r="E123" s="403"/>
      <c r="F123" s="198"/>
      <c r="G123" s="403"/>
      <c r="H123" s="198"/>
      <c r="I123" s="411"/>
      <c r="J123" s="142"/>
      <c r="K123" s="411"/>
      <c r="L123" s="142"/>
      <c r="M123" s="411"/>
      <c r="N123" s="142"/>
      <c r="O123" s="403"/>
      <c r="P123" s="198"/>
      <c r="Q123" s="412"/>
      <c r="R123" s="76"/>
      <c r="S123" s="197"/>
      <c r="T123" s="198"/>
      <c r="U123" s="197"/>
      <c r="V123" s="198"/>
      <c r="W123" s="198"/>
      <c r="X123" s="198"/>
      <c r="Y123" s="198"/>
      <c r="Z123" s="198"/>
    </row>
    <row r="124">
      <c r="A124" s="403"/>
      <c r="B124" s="198"/>
      <c r="C124" s="403"/>
      <c r="D124" s="142"/>
      <c r="E124" s="403"/>
      <c r="F124" s="198"/>
      <c r="G124" s="403"/>
      <c r="H124" s="198"/>
      <c r="I124" s="411"/>
      <c r="J124" s="142"/>
      <c r="K124" s="411"/>
      <c r="L124" s="142"/>
      <c r="M124" s="411"/>
      <c r="N124" s="142"/>
      <c r="O124" s="403"/>
      <c r="P124" s="198"/>
      <c r="Q124" s="412"/>
      <c r="R124" s="76"/>
      <c r="S124" s="197"/>
      <c r="T124" s="198"/>
      <c r="U124" s="197"/>
      <c r="V124" s="198"/>
      <c r="W124" s="198"/>
      <c r="X124" s="198"/>
      <c r="Y124" s="198"/>
      <c r="Z124" s="198"/>
    </row>
    <row r="125">
      <c r="A125" s="403"/>
      <c r="B125" s="198"/>
      <c r="C125" s="403"/>
      <c r="D125" s="142"/>
      <c r="E125" s="403"/>
      <c r="F125" s="198"/>
      <c r="G125" s="403"/>
      <c r="H125" s="198"/>
      <c r="I125" s="411"/>
      <c r="J125" s="142"/>
      <c r="K125" s="411"/>
      <c r="L125" s="142"/>
      <c r="M125" s="411"/>
      <c r="N125" s="142"/>
      <c r="O125" s="403"/>
      <c r="P125" s="198"/>
      <c r="Q125" s="412"/>
      <c r="R125" s="76"/>
      <c r="S125" s="197"/>
      <c r="T125" s="198"/>
      <c r="U125" s="197"/>
      <c r="V125" s="198"/>
      <c r="W125" s="198"/>
      <c r="X125" s="198"/>
      <c r="Y125" s="198"/>
      <c r="Z125" s="198"/>
    </row>
    <row r="126">
      <c r="A126" s="403"/>
      <c r="B126" s="198"/>
      <c r="C126" s="403"/>
      <c r="D126" s="142"/>
      <c r="E126" s="403"/>
      <c r="F126" s="198"/>
      <c r="G126" s="403"/>
      <c r="H126" s="198"/>
      <c r="I126" s="411"/>
      <c r="J126" s="142"/>
      <c r="K126" s="411"/>
      <c r="L126" s="142"/>
      <c r="M126" s="411"/>
      <c r="N126" s="142"/>
      <c r="O126" s="403"/>
      <c r="P126" s="198"/>
      <c r="Q126" s="412"/>
      <c r="R126" s="76"/>
      <c r="S126" s="197"/>
      <c r="T126" s="198"/>
      <c r="U126" s="197"/>
      <c r="V126" s="198"/>
      <c r="W126" s="198"/>
      <c r="X126" s="198"/>
      <c r="Y126" s="198"/>
      <c r="Z126" s="198"/>
    </row>
    <row r="127">
      <c r="A127" s="403"/>
      <c r="B127" s="198"/>
      <c r="C127" s="403"/>
      <c r="D127" s="142"/>
      <c r="E127" s="403"/>
      <c r="F127" s="198"/>
      <c r="G127" s="403"/>
      <c r="H127" s="198"/>
      <c r="I127" s="411"/>
      <c r="J127" s="142"/>
      <c r="K127" s="411"/>
      <c r="L127" s="142"/>
      <c r="M127" s="411"/>
      <c r="N127" s="142"/>
      <c r="O127" s="403"/>
      <c r="P127" s="198"/>
      <c r="Q127" s="412"/>
      <c r="R127" s="76"/>
      <c r="S127" s="197"/>
      <c r="T127" s="198"/>
      <c r="U127" s="197"/>
      <c r="V127" s="198"/>
      <c r="W127" s="198"/>
      <c r="X127" s="198"/>
      <c r="Y127" s="198"/>
      <c r="Z127" s="198"/>
    </row>
    <row r="128">
      <c r="A128" s="403"/>
      <c r="B128" s="198"/>
      <c r="C128" s="403"/>
      <c r="D128" s="142"/>
      <c r="E128" s="403"/>
      <c r="F128" s="198"/>
      <c r="G128" s="403"/>
      <c r="H128" s="198"/>
      <c r="I128" s="411"/>
      <c r="J128" s="142"/>
      <c r="K128" s="411"/>
      <c r="L128" s="142"/>
      <c r="M128" s="411"/>
      <c r="N128" s="142"/>
      <c r="O128" s="403"/>
      <c r="P128" s="198"/>
      <c r="Q128" s="412"/>
      <c r="R128" s="76"/>
      <c r="S128" s="197"/>
      <c r="T128" s="198"/>
      <c r="U128" s="197"/>
      <c r="V128" s="198"/>
      <c r="W128" s="198"/>
      <c r="X128" s="198"/>
      <c r="Y128" s="198"/>
      <c r="Z128" s="198"/>
    </row>
    <row r="129">
      <c r="A129" s="403"/>
      <c r="B129" s="198"/>
      <c r="C129" s="403"/>
      <c r="D129" s="142"/>
      <c r="E129" s="403"/>
      <c r="F129" s="198"/>
      <c r="G129" s="403"/>
      <c r="H129" s="198"/>
      <c r="I129" s="411"/>
      <c r="J129" s="142"/>
      <c r="K129" s="411"/>
      <c r="L129" s="142"/>
      <c r="M129" s="411"/>
      <c r="N129" s="142"/>
      <c r="O129" s="403"/>
      <c r="P129" s="198"/>
      <c r="Q129" s="412"/>
      <c r="R129" s="76"/>
      <c r="S129" s="197"/>
      <c r="T129" s="198"/>
      <c r="U129" s="197"/>
      <c r="V129" s="198"/>
      <c r="W129" s="198"/>
      <c r="X129" s="198"/>
      <c r="Y129" s="198"/>
      <c r="Z129" s="198"/>
    </row>
    <row r="130">
      <c r="A130" s="403"/>
      <c r="B130" s="198"/>
      <c r="C130" s="403"/>
      <c r="D130" s="142"/>
      <c r="E130" s="403"/>
      <c r="F130" s="198"/>
      <c r="G130" s="403"/>
      <c r="H130" s="198"/>
      <c r="I130" s="411"/>
      <c r="J130" s="142"/>
      <c r="K130" s="411"/>
      <c r="L130" s="142"/>
      <c r="M130" s="411"/>
      <c r="N130" s="142"/>
      <c r="O130" s="403"/>
      <c r="P130" s="198"/>
      <c r="Q130" s="412"/>
      <c r="R130" s="76"/>
      <c r="S130" s="197"/>
      <c r="T130" s="198"/>
      <c r="U130" s="197"/>
      <c r="V130" s="198"/>
      <c r="W130" s="198"/>
      <c r="X130" s="198"/>
      <c r="Y130" s="198"/>
      <c r="Z130" s="198"/>
    </row>
    <row r="131">
      <c r="A131" s="403"/>
      <c r="B131" s="198"/>
      <c r="C131" s="403"/>
      <c r="D131" s="142"/>
      <c r="E131" s="403"/>
      <c r="F131" s="198"/>
      <c r="G131" s="403"/>
      <c r="H131" s="198"/>
      <c r="I131" s="411"/>
      <c r="J131" s="142"/>
      <c r="K131" s="411"/>
      <c r="L131" s="142"/>
      <c r="M131" s="411"/>
      <c r="N131" s="142"/>
      <c r="O131" s="403"/>
      <c r="P131" s="198"/>
      <c r="Q131" s="412"/>
      <c r="R131" s="76"/>
      <c r="S131" s="197"/>
      <c r="T131" s="198"/>
      <c r="U131" s="197"/>
      <c r="V131" s="198"/>
      <c r="W131" s="198"/>
      <c r="X131" s="198"/>
      <c r="Y131" s="198"/>
      <c r="Z131" s="198"/>
    </row>
    <row r="132">
      <c r="A132" s="403"/>
      <c r="B132" s="198"/>
      <c r="C132" s="403"/>
      <c r="D132" s="142"/>
      <c r="E132" s="403"/>
      <c r="F132" s="198"/>
      <c r="G132" s="403"/>
      <c r="H132" s="198"/>
      <c r="I132" s="411"/>
      <c r="J132" s="142"/>
      <c r="K132" s="411"/>
      <c r="L132" s="142"/>
      <c r="M132" s="411"/>
      <c r="N132" s="142"/>
      <c r="O132" s="403"/>
      <c r="P132" s="198"/>
      <c r="Q132" s="412"/>
      <c r="R132" s="76"/>
      <c r="S132" s="197"/>
      <c r="T132" s="198"/>
      <c r="U132" s="197"/>
      <c r="V132" s="198"/>
      <c r="W132" s="198"/>
      <c r="X132" s="198"/>
      <c r="Y132" s="198"/>
      <c r="Z132" s="198"/>
    </row>
    <row r="133">
      <c r="A133" s="403"/>
      <c r="B133" s="198"/>
      <c r="C133" s="403"/>
      <c r="D133" s="142"/>
      <c r="E133" s="403"/>
      <c r="F133" s="198"/>
      <c r="G133" s="403"/>
      <c r="H133" s="198"/>
      <c r="I133" s="411"/>
      <c r="J133" s="142"/>
      <c r="K133" s="411"/>
      <c r="L133" s="142"/>
      <c r="M133" s="411"/>
      <c r="N133" s="142"/>
      <c r="O133" s="403"/>
      <c r="P133" s="198"/>
      <c r="Q133" s="412"/>
      <c r="R133" s="76"/>
      <c r="S133" s="197"/>
      <c r="T133" s="198"/>
      <c r="U133" s="197"/>
      <c r="V133" s="198"/>
      <c r="W133" s="198"/>
      <c r="X133" s="198"/>
      <c r="Y133" s="198"/>
      <c r="Z133" s="198"/>
    </row>
    <row r="134">
      <c r="A134" s="403"/>
      <c r="B134" s="198"/>
      <c r="C134" s="403"/>
      <c r="D134" s="142"/>
      <c r="E134" s="403"/>
      <c r="F134" s="198"/>
      <c r="G134" s="403"/>
      <c r="H134" s="198"/>
      <c r="I134" s="411"/>
      <c r="J134" s="142"/>
      <c r="K134" s="411"/>
      <c r="L134" s="142"/>
      <c r="M134" s="411"/>
      <c r="N134" s="142"/>
      <c r="O134" s="403"/>
      <c r="P134" s="198"/>
      <c r="Q134" s="412"/>
      <c r="R134" s="76"/>
      <c r="S134" s="197"/>
      <c r="T134" s="198"/>
      <c r="U134" s="197"/>
      <c r="V134" s="198"/>
      <c r="W134" s="198"/>
      <c r="X134" s="198"/>
      <c r="Y134" s="198"/>
      <c r="Z134" s="198"/>
    </row>
    <row r="135">
      <c r="A135" s="403"/>
      <c r="B135" s="198"/>
      <c r="C135" s="403"/>
      <c r="D135" s="142"/>
      <c r="E135" s="403"/>
      <c r="F135" s="198"/>
      <c r="G135" s="403"/>
      <c r="H135" s="198"/>
      <c r="I135" s="411"/>
      <c r="J135" s="142"/>
      <c r="K135" s="411"/>
      <c r="L135" s="142"/>
      <c r="M135" s="411"/>
      <c r="N135" s="142"/>
      <c r="O135" s="403"/>
      <c r="P135" s="198"/>
      <c r="Q135" s="412"/>
      <c r="R135" s="76"/>
      <c r="S135" s="197"/>
      <c r="T135" s="198"/>
      <c r="U135" s="197"/>
      <c r="V135" s="198"/>
      <c r="W135" s="198"/>
      <c r="X135" s="198"/>
      <c r="Y135" s="198"/>
      <c r="Z135" s="198"/>
    </row>
    <row r="136">
      <c r="A136" s="403"/>
      <c r="B136" s="198"/>
      <c r="C136" s="403"/>
      <c r="D136" s="142"/>
      <c r="E136" s="403"/>
      <c r="F136" s="198"/>
      <c r="G136" s="403"/>
      <c r="H136" s="198"/>
      <c r="I136" s="411"/>
      <c r="J136" s="142"/>
      <c r="K136" s="411"/>
      <c r="L136" s="142"/>
      <c r="M136" s="411"/>
      <c r="N136" s="142"/>
      <c r="O136" s="403"/>
      <c r="P136" s="198"/>
      <c r="Q136" s="412"/>
      <c r="R136" s="76"/>
      <c r="S136" s="197"/>
      <c r="T136" s="198"/>
      <c r="U136" s="197"/>
      <c r="V136" s="198"/>
      <c r="W136" s="198"/>
      <c r="X136" s="198"/>
      <c r="Y136" s="198"/>
      <c r="Z136" s="198"/>
    </row>
    <row r="137">
      <c r="A137" s="403"/>
      <c r="B137" s="198"/>
      <c r="C137" s="403"/>
      <c r="D137" s="142"/>
      <c r="E137" s="403"/>
      <c r="F137" s="198"/>
      <c r="G137" s="403"/>
      <c r="H137" s="198"/>
      <c r="I137" s="411"/>
      <c r="J137" s="142"/>
      <c r="K137" s="411"/>
      <c r="L137" s="142"/>
      <c r="M137" s="411"/>
      <c r="N137" s="142"/>
      <c r="O137" s="403"/>
      <c r="P137" s="198"/>
      <c r="Q137" s="412"/>
      <c r="R137" s="76"/>
      <c r="S137" s="197"/>
      <c r="T137" s="198"/>
      <c r="U137" s="197"/>
      <c r="V137" s="198"/>
      <c r="W137" s="198"/>
      <c r="X137" s="198"/>
      <c r="Y137" s="198"/>
      <c r="Z137" s="198"/>
    </row>
    <row r="138">
      <c r="A138" s="403"/>
      <c r="B138" s="198"/>
      <c r="C138" s="403"/>
      <c r="D138" s="142"/>
      <c r="E138" s="403"/>
      <c r="F138" s="198"/>
      <c r="G138" s="403"/>
      <c r="H138" s="198"/>
      <c r="I138" s="411"/>
      <c r="J138" s="142"/>
      <c r="K138" s="411"/>
      <c r="L138" s="142"/>
      <c r="M138" s="411"/>
      <c r="N138" s="142"/>
      <c r="O138" s="403"/>
      <c r="P138" s="198"/>
      <c r="Q138" s="412"/>
      <c r="R138" s="76"/>
      <c r="S138" s="197"/>
      <c r="T138" s="198"/>
      <c r="U138" s="197"/>
      <c r="V138" s="198"/>
      <c r="W138" s="198"/>
      <c r="X138" s="198"/>
      <c r="Y138" s="198"/>
      <c r="Z138" s="198"/>
    </row>
    <row r="139">
      <c r="A139" s="403"/>
      <c r="B139" s="198"/>
      <c r="C139" s="403"/>
      <c r="D139" s="142"/>
      <c r="E139" s="403"/>
      <c r="F139" s="198"/>
      <c r="G139" s="403"/>
      <c r="H139" s="198"/>
      <c r="I139" s="411"/>
      <c r="J139" s="142"/>
      <c r="K139" s="411"/>
      <c r="L139" s="142"/>
      <c r="M139" s="411"/>
      <c r="N139" s="142"/>
      <c r="O139" s="403"/>
      <c r="P139" s="198"/>
      <c r="Q139" s="412"/>
      <c r="R139" s="76"/>
      <c r="S139" s="197"/>
      <c r="T139" s="198"/>
      <c r="U139" s="197"/>
      <c r="V139" s="198"/>
      <c r="W139" s="198"/>
      <c r="X139" s="198"/>
      <c r="Y139" s="198"/>
      <c r="Z139" s="198"/>
    </row>
    <row r="140">
      <c r="A140" s="403"/>
      <c r="B140" s="198"/>
      <c r="C140" s="403"/>
      <c r="D140" s="142"/>
      <c r="E140" s="403"/>
      <c r="F140" s="198"/>
      <c r="G140" s="403"/>
      <c r="H140" s="198"/>
      <c r="I140" s="411"/>
      <c r="J140" s="142"/>
      <c r="K140" s="411"/>
      <c r="L140" s="142"/>
      <c r="M140" s="411"/>
      <c r="N140" s="142"/>
      <c r="O140" s="403"/>
      <c r="P140" s="198"/>
      <c r="Q140" s="412"/>
      <c r="R140" s="76"/>
      <c r="S140" s="197"/>
      <c r="T140" s="198"/>
      <c r="U140" s="197"/>
      <c r="V140" s="198"/>
      <c r="W140" s="198"/>
      <c r="X140" s="198"/>
      <c r="Y140" s="198"/>
      <c r="Z140" s="198"/>
    </row>
    <row r="141">
      <c r="A141" s="403"/>
      <c r="B141" s="198"/>
      <c r="C141" s="403"/>
      <c r="D141" s="142"/>
      <c r="E141" s="403"/>
      <c r="F141" s="198"/>
      <c r="G141" s="403"/>
      <c r="H141" s="198"/>
      <c r="I141" s="411"/>
      <c r="J141" s="142"/>
      <c r="K141" s="411"/>
      <c r="L141" s="142"/>
      <c r="M141" s="411"/>
      <c r="N141" s="142"/>
      <c r="O141" s="403"/>
      <c r="P141" s="198"/>
      <c r="Q141" s="412"/>
      <c r="R141" s="76"/>
      <c r="S141" s="197"/>
      <c r="T141" s="198"/>
      <c r="U141" s="197"/>
      <c r="V141" s="198"/>
      <c r="W141" s="198"/>
      <c r="X141" s="198"/>
      <c r="Y141" s="198"/>
      <c r="Z141" s="198"/>
    </row>
    <row r="142">
      <c r="A142" s="403"/>
      <c r="B142" s="198"/>
      <c r="C142" s="403"/>
      <c r="D142" s="142"/>
      <c r="E142" s="403"/>
      <c r="F142" s="198"/>
      <c r="G142" s="403"/>
      <c r="H142" s="198"/>
      <c r="I142" s="411"/>
      <c r="J142" s="142"/>
      <c r="K142" s="411"/>
      <c r="L142" s="142"/>
      <c r="M142" s="411"/>
      <c r="N142" s="142"/>
      <c r="O142" s="403"/>
      <c r="P142" s="198"/>
      <c r="Q142" s="412"/>
      <c r="R142" s="76"/>
      <c r="S142" s="197"/>
      <c r="T142" s="198"/>
      <c r="U142" s="197"/>
      <c r="V142" s="198"/>
      <c r="W142" s="198"/>
      <c r="X142" s="198"/>
      <c r="Y142" s="198"/>
      <c r="Z142" s="198"/>
    </row>
    <row r="143">
      <c r="A143" s="403"/>
      <c r="B143" s="198"/>
      <c r="C143" s="403"/>
      <c r="D143" s="142"/>
      <c r="E143" s="403"/>
      <c r="F143" s="198"/>
      <c r="G143" s="403"/>
      <c r="H143" s="198"/>
      <c r="I143" s="411"/>
      <c r="J143" s="142"/>
      <c r="K143" s="411"/>
      <c r="L143" s="142"/>
      <c r="M143" s="411"/>
      <c r="N143" s="142"/>
      <c r="O143" s="403"/>
      <c r="P143" s="198"/>
      <c r="Q143" s="412"/>
      <c r="R143" s="76"/>
      <c r="S143" s="197"/>
      <c r="T143" s="198"/>
      <c r="U143" s="197"/>
      <c r="V143" s="198"/>
      <c r="W143" s="198"/>
      <c r="X143" s="198"/>
      <c r="Y143" s="198"/>
      <c r="Z143" s="198"/>
    </row>
    <row r="144">
      <c r="A144" s="403"/>
      <c r="B144" s="198"/>
      <c r="C144" s="403"/>
      <c r="D144" s="142"/>
      <c r="E144" s="403"/>
      <c r="F144" s="198"/>
      <c r="G144" s="403"/>
      <c r="H144" s="198"/>
      <c r="I144" s="411"/>
      <c r="J144" s="142"/>
      <c r="K144" s="411"/>
      <c r="L144" s="142"/>
      <c r="M144" s="411"/>
      <c r="N144" s="142"/>
      <c r="O144" s="403"/>
      <c r="P144" s="198"/>
      <c r="Q144" s="412"/>
      <c r="R144" s="76"/>
      <c r="S144" s="197"/>
      <c r="T144" s="198"/>
      <c r="U144" s="197"/>
      <c r="V144" s="198"/>
      <c r="W144" s="198"/>
      <c r="X144" s="198"/>
      <c r="Y144" s="198"/>
      <c r="Z144" s="198"/>
    </row>
    <row r="145">
      <c r="A145" s="403"/>
      <c r="B145" s="198"/>
      <c r="C145" s="403"/>
      <c r="D145" s="142"/>
      <c r="E145" s="403"/>
      <c r="F145" s="198"/>
      <c r="G145" s="403"/>
      <c r="H145" s="198"/>
      <c r="I145" s="411"/>
      <c r="J145" s="142"/>
      <c r="K145" s="411"/>
      <c r="L145" s="142"/>
      <c r="M145" s="411"/>
      <c r="N145" s="142"/>
      <c r="O145" s="403"/>
      <c r="P145" s="198"/>
      <c r="Q145" s="412"/>
      <c r="R145" s="76"/>
      <c r="S145" s="197"/>
      <c r="T145" s="198"/>
      <c r="U145" s="197"/>
      <c r="V145" s="198"/>
      <c r="W145" s="198"/>
      <c r="X145" s="198"/>
      <c r="Y145" s="198"/>
      <c r="Z145" s="198"/>
    </row>
    <row r="146">
      <c r="A146" s="403"/>
      <c r="B146" s="198"/>
      <c r="C146" s="403"/>
      <c r="D146" s="142"/>
      <c r="E146" s="403"/>
      <c r="F146" s="198"/>
      <c r="G146" s="403"/>
      <c r="H146" s="198"/>
      <c r="I146" s="411"/>
      <c r="J146" s="142"/>
      <c r="K146" s="411"/>
      <c r="L146" s="142"/>
      <c r="M146" s="411"/>
      <c r="N146" s="142"/>
      <c r="O146" s="403"/>
      <c r="P146" s="198"/>
      <c r="Q146" s="412"/>
      <c r="R146" s="76"/>
      <c r="S146" s="197"/>
      <c r="T146" s="198"/>
      <c r="U146" s="197"/>
      <c r="V146" s="198"/>
      <c r="W146" s="198"/>
      <c r="X146" s="198"/>
      <c r="Y146" s="198"/>
      <c r="Z146" s="198"/>
    </row>
    <row r="147">
      <c r="A147" s="403"/>
      <c r="B147" s="198"/>
      <c r="C147" s="403"/>
      <c r="D147" s="142"/>
      <c r="E147" s="403"/>
      <c r="F147" s="198"/>
      <c r="G147" s="403"/>
      <c r="H147" s="198"/>
      <c r="I147" s="411"/>
      <c r="J147" s="142"/>
      <c r="K147" s="411"/>
      <c r="L147" s="142"/>
      <c r="M147" s="411"/>
      <c r="N147" s="142"/>
      <c r="O147" s="403"/>
      <c r="P147" s="198"/>
      <c r="Q147" s="412"/>
      <c r="R147" s="76"/>
      <c r="S147" s="197"/>
      <c r="T147" s="198"/>
      <c r="U147" s="197"/>
      <c r="V147" s="198"/>
      <c r="W147" s="198"/>
      <c r="X147" s="198"/>
      <c r="Y147" s="198"/>
      <c r="Z147" s="198"/>
    </row>
    <row r="148">
      <c r="A148" s="403"/>
      <c r="B148" s="198"/>
      <c r="C148" s="403"/>
      <c r="D148" s="142"/>
      <c r="E148" s="403"/>
      <c r="F148" s="198"/>
      <c r="G148" s="403"/>
      <c r="H148" s="198"/>
      <c r="I148" s="411"/>
      <c r="J148" s="142"/>
      <c r="K148" s="411"/>
      <c r="L148" s="142"/>
      <c r="M148" s="411"/>
      <c r="N148" s="142"/>
      <c r="O148" s="403"/>
      <c r="P148" s="198"/>
      <c r="Q148" s="412"/>
      <c r="R148" s="76"/>
      <c r="S148" s="197"/>
      <c r="T148" s="198"/>
      <c r="U148" s="197"/>
      <c r="V148" s="198"/>
      <c r="W148" s="198"/>
      <c r="X148" s="198"/>
      <c r="Y148" s="198"/>
      <c r="Z148" s="198"/>
    </row>
    <row r="149">
      <c r="A149" s="403"/>
      <c r="B149" s="198"/>
      <c r="C149" s="403"/>
      <c r="D149" s="142"/>
      <c r="E149" s="403"/>
      <c r="F149" s="198"/>
      <c r="G149" s="403"/>
      <c r="H149" s="198"/>
      <c r="I149" s="411"/>
      <c r="J149" s="142"/>
      <c r="K149" s="411"/>
      <c r="L149" s="142"/>
      <c r="M149" s="411"/>
      <c r="N149" s="142"/>
      <c r="O149" s="403"/>
      <c r="P149" s="198"/>
      <c r="Q149" s="412"/>
      <c r="R149" s="76"/>
      <c r="S149" s="197"/>
      <c r="T149" s="198"/>
      <c r="U149" s="197"/>
      <c r="V149" s="198"/>
      <c r="W149" s="198"/>
      <c r="X149" s="198"/>
      <c r="Y149" s="198"/>
      <c r="Z149" s="198"/>
    </row>
    <row r="150">
      <c r="A150" s="403"/>
      <c r="B150" s="198"/>
      <c r="C150" s="403"/>
      <c r="D150" s="142"/>
      <c r="E150" s="403"/>
      <c r="F150" s="198"/>
      <c r="G150" s="403"/>
      <c r="H150" s="198"/>
      <c r="I150" s="411"/>
      <c r="J150" s="142"/>
      <c r="K150" s="411"/>
      <c r="L150" s="142"/>
      <c r="M150" s="411"/>
      <c r="N150" s="142"/>
      <c r="O150" s="403"/>
      <c r="P150" s="198"/>
      <c r="Q150" s="412"/>
      <c r="R150" s="76"/>
      <c r="S150" s="197"/>
      <c r="T150" s="198"/>
      <c r="U150" s="197"/>
      <c r="V150" s="198"/>
      <c r="W150" s="198"/>
      <c r="X150" s="198"/>
      <c r="Y150" s="198"/>
      <c r="Z150" s="198"/>
    </row>
    <row r="151">
      <c r="A151" s="403"/>
      <c r="B151" s="198"/>
      <c r="C151" s="403"/>
      <c r="D151" s="142"/>
      <c r="E151" s="403"/>
      <c r="F151" s="198"/>
      <c r="G151" s="403"/>
      <c r="H151" s="198"/>
      <c r="I151" s="411"/>
      <c r="J151" s="142"/>
      <c r="K151" s="411"/>
      <c r="L151" s="142"/>
      <c r="M151" s="411"/>
      <c r="N151" s="142"/>
      <c r="O151" s="403"/>
      <c r="P151" s="198"/>
      <c r="Q151" s="412"/>
      <c r="R151" s="76"/>
      <c r="S151" s="197"/>
      <c r="T151" s="198"/>
      <c r="U151" s="197"/>
      <c r="V151" s="198"/>
      <c r="W151" s="198"/>
      <c r="X151" s="198"/>
      <c r="Y151" s="198"/>
      <c r="Z151" s="198"/>
    </row>
    <row r="152">
      <c r="A152" s="403"/>
      <c r="B152" s="198"/>
      <c r="C152" s="403"/>
      <c r="D152" s="142"/>
      <c r="E152" s="403"/>
      <c r="F152" s="198"/>
      <c r="G152" s="403"/>
      <c r="H152" s="198"/>
      <c r="I152" s="411"/>
      <c r="J152" s="142"/>
      <c r="K152" s="411"/>
      <c r="L152" s="142"/>
      <c r="M152" s="411"/>
      <c r="N152" s="142"/>
      <c r="O152" s="403"/>
      <c r="P152" s="198"/>
      <c r="Q152" s="412"/>
      <c r="R152" s="76"/>
      <c r="S152" s="197"/>
      <c r="T152" s="198"/>
      <c r="U152" s="197"/>
      <c r="V152" s="198"/>
      <c r="W152" s="198"/>
      <c r="X152" s="198"/>
      <c r="Y152" s="198"/>
      <c r="Z152" s="198"/>
    </row>
    <row r="153">
      <c r="A153" s="403"/>
      <c r="B153" s="198"/>
      <c r="C153" s="403"/>
      <c r="D153" s="142"/>
      <c r="E153" s="403"/>
      <c r="F153" s="198"/>
      <c r="G153" s="403"/>
      <c r="H153" s="198"/>
      <c r="I153" s="411"/>
      <c r="J153" s="142"/>
      <c r="K153" s="411"/>
      <c r="L153" s="142"/>
      <c r="M153" s="411"/>
      <c r="N153" s="142"/>
      <c r="O153" s="403"/>
      <c r="P153" s="198"/>
      <c r="Q153" s="412"/>
      <c r="R153" s="76"/>
      <c r="S153" s="197"/>
      <c r="T153" s="198"/>
      <c r="U153" s="197"/>
      <c r="V153" s="198"/>
      <c r="W153" s="198"/>
      <c r="X153" s="198"/>
      <c r="Y153" s="198"/>
      <c r="Z153" s="198"/>
    </row>
    <row r="154">
      <c r="A154" s="403"/>
      <c r="B154" s="198"/>
      <c r="C154" s="403"/>
      <c r="D154" s="142"/>
      <c r="E154" s="403"/>
      <c r="F154" s="198"/>
      <c r="G154" s="403"/>
      <c r="H154" s="198"/>
      <c r="I154" s="411"/>
      <c r="J154" s="142"/>
      <c r="K154" s="411"/>
      <c r="L154" s="142"/>
      <c r="M154" s="411"/>
      <c r="N154" s="142"/>
      <c r="O154" s="403"/>
      <c r="P154" s="198"/>
      <c r="Q154" s="412"/>
      <c r="R154" s="76"/>
      <c r="S154" s="197"/>
      <c r="T154" s="198"/>
      <c r="U154" s="197"/>
      <c r="V154" s="198"/>
      <c r="W154" s="198"/>
      <c r="X154" s="198"/>
      <c r="Y154" s="198"/>
      <c r="Z154" s="198"/>
    </row>
    <row r="155">
      <c r="A155" s="403"/>
      <c r="B155" s="198"/>
      <c r="C155" s="403"/>
      <c r="D155" s="142"/>
      <c r="E155" s="403"/>
      <c r="F155" s="198"/>
      <c r="G155" s="403"/>
      <c r="H155" s="198"/>
      <c r="I155" s="411"/>
      <c r="J155" s="142"/>
      <c r="K155" s="411"/>
      <c r="L155" s="142"/>
      <c r="M155" s="411"/>
      <c r="N155" s="142"/>
      <c r="O155" s="403"/>
      <c r="P155" s="198"/>
      <c r="Q155" s="412"/>
      <c r="R155" s="76"/>
      <c r="S155" s="197"/>
      <c r="T155" s="198"/>
      <c r="U155" s="197"/>
      <c r="V155" s="198"/>
      <c r="W155" s="198"/>
      <c r="X155" s="198"/>
      <c r="Y155" s="198"/>
      <c r="Z155" s="198"/>
    </row>
    <row r="156">
      <c r="A156" s="403"/>
      <c r="B156" s="198"/>
      <c r="C156" s="403"/>
      <c r="D156" s="142"/>
      <c r="E156" s="403"/>
      <c r="F156" s="198"/>
      <c r="G156" s="403"/>
      <c r="H156" s="198"/>
      <c r="I156" s="411"/>
      <c r="J156" s="142"/>
      <c r="K156" s="411"/>
      <c r="L156" s="142"/>
      <c r="M156" s="411"/>
      <c r="N156" s="142"/>
      <c r="O156" s="403"/>
      <c r="P156" s="198"/>
      <c r="Q156" s="412"/>
      <c r="R156" s="76"/>
      <c r="S156" s="197"/>
      <c r="T156" s="198"/>
      <c r="U156" s="197"/>
      <c r="V156" s="198"/>
      <c r="W156" s="198"/>
      <c r="X156" s="198"/>
      <c r="Y156" s="198"/>
      <c r="Z156" s="198"/>
    </row>
    <row r="157">
      <c r="A157" s="403"/>
      <c r="B157" s="198"/>
      <c r="C157" s="403"/>
      <c r="D157" s="142"/>
      <c r="E157" s="403"/>
      <c r="F157" s="198"/>
      <c r="G157" s="403"/>
      <c r="H157" s="198"/>
      <c r="I157" s="411"/>
      <c r="J157" s="142"/>
      <c r="K157" s="411"/>
      <c r="L157" s="142"/>
      <c r="M157" s="411"/>
      <c r="N157" s="142"/>
      <c r="O157" s="403"/>
      <c r="P157" s="198"/>
      <c r="Q157" s="412"/>
      <c r="R157" s="76"/>
      <c r="S157" s="197"/>
      <c r="T157" s="198"/>
      <c r="U157" s="197"/>
      <c r="V157" s="198"/>
      <c r="W157" s="198"/>
      <c r="X157" s="198"/>
      <c r="Y157" s="198"/>
      <c r="Z157" s="198"/>
    </row>
    <row r="158">
      <c r="A158" s="403"/>
      <c r="B158" s="198"/>
      <c r="C158" s="403"/>
      <c r="D158" s="142"/>
      <c r="E158" s="403"/>
      <c r="F158" s="198"/>
      <c r="G158" s="403"/>
      <c r="H158" s="198"/>
      <c r="I158" s="411"/>
      <c r="J158" s="142"/>
      <c r="K158" s="411"/>
      <c r="L158" s="142"/>
      <c r="M158" s="411"/>
      <c r="N158" s="142"/>
      <c r="O158" s="403"/>
      <c r="P158" s="198"/>
      <c r="Q158" s="412"/>
      <c r="R158" s="76"/>
      <c r="S158" s="197"/>
      <c r="T158" s="198"/>
      <c r="U158" s="197"/>
      <c r="V158" s="198"/>
      <c r="W158" s="198"/>
      <c r="X158" s="198"/>
      <c r="Y158" s="198"/>
      <c r="Z158" s="198"/>
    </row>
    <row r="159">
      <c r="A159" s="403"/>
      <c r="B159" s="198"/>
      <c r="C159" s="403"/>
      <c r="D159" s="142"/>
      <c r="E159" s="403"/>
      <c r="F159" s="198"/>
      <c r="G159" s="403"/>
      <c r="H159" s="198"/>
      <c r="I159" s="411"/>
      <c r="J159" s="142"/>
      <c r="K159" s="411"/>
      <c r="L159" s="142"/>
      <c r="M159" s="411"/>
      <c r="N159" s="142"/>
      <c r="O159" s="403"/>
      <c r="P159" s="198"/>
      <c r="Q159" s="412"/>
      <c r="R159" s="76"/>
      <c r="S159" s="197"/>
      <c r="T159" s="198"/>
      <c r="U159" s="197"/>
      <c r="V159" s="198"/>
      <c r="W159" s="198"/>
      <c r="X159" s="198"/>
      <c r="Y159" s="198"/>
      <c r="Z159" s="198"/>
    </row>
    <row r="160">
      <c r="A160" s="403"/>
      <c r="B160" s="198"/>
      <c r="C160" s="403"/>
      <c r="D160" s="142"/>
      <c r="E160" s="403"/>
      <c r="F160" s="198"/>
      <c r="G160" s="403"/>
      <c r="H160" s="198"/>
      <c r="I160" s="411"/>
      <c r="J160" s="142"/>
      <c r="K160" s="411"/>
      <c r="L160" s="142"/>
      <c r="M160" s="411"/>
      <c r="N160" s="142"/>
      <c r="O160" s="403"/>
      <c r="P160" s="198"/>
      <c r="Q160" s="412"/>
      <c r="R160" s="76"/>
      <c r="S160" s="197"/>
      <c r="T160" s="198"/>
      <c r="U160" s="197"/>
      <c r="V160" s="198"/>
      <c r="W160" s="198"/>
      <c r="X160" s="198"/>
      <c r="Y160" s="198"/>
      <c r="Z160" s="198"/>
    </row>
    <row r="161">
      <c r="A161" s="403"/>
      <c r="B161" s="198"/>
      <c r="C161" s="403"/>
      <c r="D161" s="142"/>
      <c r="E161" s="403"/>
      <c r="F161" s="198"/>
      <c r="G161" s="403"/>
      <c r="H161" s="198"/>
      <c r="I161" s="411"/>
      <c r="J161" s="142"/>
      <c r="K161" s="411"/>
      <c r="L161" s="142"/>
      <c r="M161" s="411"/>
      <c r="N161" s="142"/>
      <c r="O161" s="403"/>
      <c r="P161" s="198"/>
      <c r="Q161" s="412"/>
      <c r="R161" s="76"/>
      <c r="S161" s="197"/>
      <c r="T161" s="198"/>
      <c r="U161" s="197"/>
      <c r="V161" s="198"/>
      <c r="W161" s="198"/>
      <c r="X161" s="198"/>
      <c r="Y161" s="198"/>
      <c r="Z161" s="198"/>
    </row>
    <row r="162">
      <c r="A162" s="403"/>
      <c r="B162" s="198"/>
      <c r="C162" s="403"/>
      <c r="D162" s="142"/>
      <c r="E162" s="403"/>
      <c r="F162" s="198"/>
      <c r="G162" s="403"/>
      <c r="H162" s="198"/>
      <c r="I162" s="411"/>
      <c r="J162" s="142"/>
      <c r="K162" s="411"/>
      <c r="L162" s="142"/>
      <c r="M162" s="411"/>
      <c r="N162" s="142"/>
      <c r="O162" s="403"/>
      <c r="P162" s="198"/>
      <c r="Q162" s="412"/>
      <c r="R162" s="76"/>
      <c r="S162" s="197"/>
      <c r="T162" s="198"/>
      <c r="U162" s="197"/>
      <c r="V162" s="198"/>
      <c r="W162" s="198"/>
      <c r="X162" s="198"/>
      <c r="Y162" s="198"/>
      <c r="Z162" s="198"/>
    </row>
    <row r="163">
      <c r="A163" s="403"/>
      <c r="B163" s="198"/>
      <c r="C163" s="403"/>
      <c r="D163" s="142"/>
      <c r="E163" s="403"/>
      <c r="F163" s="198"/>
      <c r="G163" s="403"/>
      <c r="H163" s="198"/>
      <c r="I163" s="411"/>
      <c r="J163" s="142"/>
      <c r="K163" s="411"/>
      <c r="L163" s="142"/>
      <c r="M163" s="411"/>
      <c r="N163" s="142"/>
      <c r="O163" s="403"/>
      <c r="P163" s="198"/>
      <c r="Q163" s="412"/>
      <c r="R163" s="76"/>
      <c r="S163" s="197"/>
      <c r="T163" s="198"/>
      <c r="U163" s="197"/>
      <c r="V163" s="198"/>
      <c r="W163" s="198"/>
      <c r="X163" s="198"/>
      <c r="Y163" s="198"/>
      <c r="Z163" s="198"/>
    </row>
    <row r="164">
      <c r="A164" s="403"/>
      <c r="B164" s="198"/>
      <c r="C164" s="403"/>
      <c r="D164" s="142"/>
      <c r="E164" s="403"/>
      <c r="F164" s="198"/>
      <c r="G164" s="403"/>
      <c r="H164" s="198"/>
      <c r="I164" s="411"/>
      <c r="J164" s="142"/>
      <c r="K164" s="411"/>
      <c r="L164" s="142"/>
      <c r="M164" s="411"/>
      <c r="N164" s="142"/>
      <c r="O164" s="403"/>
      <c r="P164" s="198"/>
      <c r="Q164" s="412"/>
      <c r="R164" s="76"/>
      <c r="S164" s="197"/>
      <c r="T164" s="198"/>
      <c r="U164" s="197"/>
      <c r="V164" s="198"/>
      <c r="W164" s="198"/>
      <c r="X164" s="198"/>
      <c r="Y164" s="198"/>
      <c r="Z164" s="198"/>
    </row>
    <row r="165">
      <c r="A165" s="403"/>
      <c r="B165" s="198"/>
      <c r="C165" s="403"/>
      <c r="D165" s="142"/>
      <c r="E165" s="403"/>
      <c r="F165" s="198"/>
      <c r="G165" s="403"/>
      <c r="H165" s="198"/>
      <c r="I165" s="411"/>
      <c r="J165" s="142"/>
      <c r="K165" s="411"/>
      <c r="L165" s="142"/>
      <c r="M165" s="411"/>
      <c r="N165" s="142"/>
      <c r="O165" s="403"/>
      <c r="P165" s="198"/>
      <c r="Q165" s="412"/>
      <c r="R165" s="76"/>
      <c r="S165" s="197"/>
      <c r="T165" s="198"/>
      <c r="U165" s="197"/>
      <c r="V165" s="198"/>
      <c r="W165" s="198"/>
      <c r="X165" s="198"/>
      <c r="Y165" s="198"/>
      <c r="Z165" s="198"/>
    </row>
    <row r="166">
      <c r="A166" s="403"/>
      <c r="B166" s="198"/>
      <c r="C166" s="403"/>
      <c r="D166" s="142"/>
      <c r="E166" s="403"/>
      <c r="F166" s="198"/>
      <c r="G166" s="403"/>
      <c r="H166" s="198"/>
      <c r="I166" s="411"/>
      <c r="J166" s="142"/>
      <c r="K166" s="411"/>
      <c r="L166" s="142"/>
      <c r="M166" s="411"/>
      <c r="N166" s="142"/>
      <c r="O166" s="403"/>
      <c r="P166" s="198"/>
      <c r="Q166" s="412"/>
      <c r="R166" s="76"/>
      <c r="S166" s="197"/>
      <c r="T166" s="198"/>
      <c r="U166" s="197"/>
      <c r="V166" s="198"/>
      <c r="W166" s="198"/>
      <c r="X166" s="198"/>
      <c r="Y166" s="198"/>
      <c r="Z166" s="198"/>
    </row>
    <row r="167">
      <c r="A167" s="403"/>
      <c r="B167" s="198"/>
      <c r="C167" s="403"/>
      <c r="D167" s="142"/>
      <c r="E167" s="403"/>
      <c r="F167" s="198"/>
      <c r="G167" s="403"/>
      <c r="H167" s="198"/>
      <c r="I167" s="411"/>
      <c r="J167" s="142"/>
      <c r="K167" s="411"/>
      <c r="L167" s="142"/>
      <c r="M167" s="411"/>
      <c r="N167" s="142"/>
      <c r="O167" s="403"/>
      <c r="P167" s="198"/>
      <c r="Q167" s="412"/>
      <c r="R167" s="76"/>
      <c r="S167" s="197"/>
      <c r="T167" s="198"/>
      <c r="U167" s="197"/>
      <c r="V167" s="198"/>
      <c r="W167" s="198"/>
      <c r="X167" s="198"/>
      <c r="Y167" s="198"/>
      <c r="Z167" s="198"/>
    </row>
    <row r="168">
      <c r="A168" s="403"/>
      <c r="B168" s="198"/>
      <c r="C168" s="403"/>
      <c r="D168" s="142"/>
      <c r="E168" s="403"/>
      <c r="F168" s="198"/>
      <c r="G168" s="403"/>
      <c r="H168" s="198"/>
      <c r="I168" s="411"/>
      <c r="J168" s="142"/>
      <c r="K168" s="411"/>
      <c r="L168" s="142"/>
      <c r="M168" s="411"/>
      <c r="N168" s="142"/>
      <c r="O168" s="403"/>
      <c r="P168" s="198"/>
      <c r="Q168" s="412"/>
      <c r="R168" s="76"/>
      <c r="S168" s="197"/>
      <c r="T168" s="198"/>
      <c r="U168" s="197"/>
      <c r="V168" s="198"/>
      <c r="W168" s="198"/>
      <c r="X168" s="198"/>
      <c r="Y168" s="198"/>
      <c r="Z168" s="198"/>
    </row>
    <row r="169">
      <c r="A169" s="403"/>
      <c r="B169" s="198"/>
      <c r="C169" s="403"/>
      <c r="D169" s="142"/>
      <c r="E169" s="403"/>
      <c r="F169" s="198"/>
      <c r="G169" s="403"/>
      <c r="H169" s="198"/>
      <c r="I169" s="411"/>
      <c r="J169" s="142"/>
      <c r="K169" s="411"/>
      <c r="L169" s="142"/>
      <c r="M169" s="411"/>
      <c r="N169" s="142"/>
      <c r="O169" s="403"/>
      <c r="P169" s="198"/>
      <c r="Q169" s="412"/>
      <c r="R169" s="76"/>
      <c r="S169" s="197"/>
      <c r="T169" s="198"/>
      <c r="U169" s="197"/>
      <c r="V169" s="198"/>
      <c r="W169" s="198"/>
      <c r="X169" s="198"/>
      <c r="Y169" s="198"/>
      <c r="Z169" s="198"/>
    </row>
    <row r="170">
      <c r="A170" s="403"/>
      <c r="B170" s="198"/>
      <c r="C170" s="403"/>
      <c r="D170" s="142"/>
      <c r="E170" s="403"/>
      <c r="F170" s="198"/>
      <c r="G170" s="403"/>
      <c r="H170" s="198"/>
      <c r="I170" s="411"/>
      <c r="J170" s="142"/>
      <c r="K170" s="411"/>
      <c r="L170" s="142"/>
      <c r="M170" s="411"/>
      <c r="N170" s="142"/>
      <c r="O170" s="403"/>
      <c r="P170" s="198"/>
      <c r="Q170" s="412"/>
      <c r="R170" s="76"/>
      <c r="S170" s="197"/>
      <c r="T170" s="198"/>
      <c r="U170" s="197"/>
      <c r="V170" s="198"/>
      <c r="W170" s="198"/>
      <c r="X170" s="198"/>
      <c r="Y170" s="198"/>
      <c r="Z170" s="198"/>
    </row>
    <row r="171">
      <c r="A171" s="403"/>
      <c r="B171" s="198"/>
      <c r="C171" s="403"/>
      <c r="D171" s="142"/>
      <c r="E171" s="403"/>
      <c r="F171" s="198"/>
      <c r="G171" s="403"/>
      <c r="H171" s="198"/>
      <c r="I171" s="411"/>
      <c r="J171" s="142"/>
      <c r="K171" s="411"/>
      <c r="L171" s="142"/>
      <c r="M171" s="411"/>
      <c r="N171" s="142"/>
      <c r="O171" s="403"/>
      <c r="P171" s="198"/>
      <c r="Q171" s="412"/>
      <c r="R171" s="76"/>
      <c r="S171" s="197"/>
      <c r="T171" s="198"/>
      <c r="U171" s="197"/>
      <c r="V171" s="198"/>
      <c r="W171" s="198"/>
      <c r="X171" s="198"/>
      <c r="Y171" s="198"/>
      <c r="Z171" s="198"/>
    </row>
    <row r="172">
      <c r="A172" s="403"/>
      <c r="B172" s="198"/>
      <c r="C172" s="403"/>
      <c r="D172" s="142"/>
      <c r="E172" s="403"/>
      <c r="F172" s="198"/>
      <c r="G172" s="403"/>
      <c r="H172" s="198"/>
      <c r="I172" s="411"/>
      <c r="J172" s="142"/>
      <c r="K172" s="411"/>
      <c r="L172" s="142"/>
      <c r="M172" s="411"/>
      <c r="N172" s="142"/>
      <c r="O172" s="403"/>
      <c r="P172" s="198"/>
      <c r="Q172" s="412"/>
      <c r="R172" s="76"/>
      <c r="S172" s="197"/>
      <c r="T172" s="198"/>
      <c r="U172" s="197"/>
      <c r="V172" s="198"/>
      <c r="W172" s="198"/>
      <c r="X172" s="198"/>
      <c r="Y172" s="198"/>
      <c r="Z172" s="198"/>
    </row>
    <row r="173">
      <c r="A173" s="403"/>
      <c r="B173" s="198"/>
      <c r="C173" s="403"/>
      <c r="D173" s="142"/>
      <c r="E173" s="403"/>
      <c r="F173" s="198"/>
      <c r="G173" s="403"/>
      <c r="H173" s="198"/>
      <c r="I173" s="411"/>
      <c r="J173" s="142"/>
      <c r="K173" s="411"/>
      <c r="L173" s="142"/>
      <c r="M173" s="411"/>
      <c r="N173" s="142"/>
      <c r="O173" s="403"/>
      <c r="P173" s="198"/>
      <c r="Q173" s="412"/>
      <c r="R173" s="76"/>
      <c r="S173" s="197"/>
      <c r="T173" s="198"/>
      <c r="U173" s="197"/>
      <c r="V173" s="198"/>
      <c r="W173" s="198"/>
      <c r="X173" s="198"/>
      <c r="Y173" s="198"/>
      <c r="Z173" s="198"/>
    </row>
    <row r="174">
      <c r="A174" s="403"/>
      <c r="B174" s="198"/>
      <c r="C174" s="403"/>
      <c r="D174" s="142"/>
      <c r="E174" s="403"/>
      <c r="F174" s="198"/>
      <c r="G174" s="403"/>
      <c r="H174" s="198"/>
      <c r="I174" s="411"/>
      <c r="J174" s="142"/>
      <c r="K174" s="411"/>
      <c r="L174" s="142"/>
      <c r="M174" s="411"/>
      <c r="N174" s="142"/>
      <c r="O174" s="403"/>
      <c r="P174" s="198"/>
      <c r="Q174" s="412"/>
      <c r="R174" s="76"/>
      <c r="S174" s="197"/>
      <c r="T174" s="198"/>
      <c r="U174" s="197"/>
      <c r="V174" s="198"/>
      <c r="W174" s="198"/>
      <c r="X174" s="198"/>
      <c r="Y174" s="198"/>
      <c r="Z174" s="198"/>
    </row>
    <row r="175">
      <c r="A175" s="403"/>
      <c r="B175" s="198"/>
      <c r="C175" s="403"/>
      <c r="D175" s="142"/>
      <c r="E175" s="403"/>
      <c r="F175" s="198"/>
      <c r="G175" s="403"/>
      <c r="H175" s="198"/>
      <c r="I175" s="411"/>
      <c r="J175" s="142"/>
      <c r="K175" s="411"/>
      <c r="L175" s="142"/>
      <c r="M175" s="411"/>
      <c r="N175" s="142"/>
      <c r="O175" s="403"/>
      <c r="P175" s="198"/>
      <c r="Q175" s="412"/>
      <c r="R175" s="76"/>
      <c r="S175" s="197"/>
      <c r="T175" s="198"/>
      <c r="U175" s="197"/>
      <c r="V175" s="198"/>
      <c r="W175" s="198"/>
      <c r="X175" s="198"/>
      <c r="Y175" s="198"/>
      <c r="Z175" s="198"/>
    </row>
    <row r="176">
      <c r="A176" s="403"/>
      <c r="B176" s="198"/>
      <c r="C176" s="403"/>
      <c r="D176" s="142"/>
      <c r="E176" s="403"/>
      <c r="F176" s="198"/>
      <c r="G176" s="403"/>
      <c r="H176" s="198"/>
      <c r="I176" s="411"/>
      <c r="J176" s="142"/>
      <c r="K176" s="411"/>
      <c r="L176" s="142"/>
      <c r="M176" s="411"/>
      <c r="N176" s="142"/>
      <c r="O176" s="403"/>
      <c r="P176" s="198"/>
      <c r="Q176" s="412"/>
      <c r="R176" s="76"/>
      <c r="S176" s="197"/>
      <c r="T176" s="198"/>
      <c r="U176" s="197"/>
      <c r="V176" s="198"/>
      <c r="W176" s="198"/>
      <c r="X176" s="198"/>
      <c r="Y176" s="198"/>
      <c r="Z176" s="198"/>
    </row>
    <row r="177">
      <c r="A177" s="403"/>
      <c r="B177" s="198"/>
      <c r="C177" s="403"/>
      <c r="D177" s="142"/>
      <c r="E177" s="403"/>
      <c r="F177" s="198"/>
      <c r="G177" s="403"/>
      <c r="H177" s="198"/>
      <c r="I177" s="411"/>
      <c r="J177" s="142"/>
      <c r="K177" s="411"/>
      <c r="L177" s="142"/>
      <c r="M177" s="411"/>
      <c r="N177" s="142"/>
      <c r="O177" s="403"/>
      <c r="P177" s="198"/>
      <c r="Q177" s="412"/>
      <c r="R177" s="76"/>
      <c r="S177" s="197"/>
      <c r="T177" s="198"/>
      <c r="U177" s="197"/>
      <c r="V177" s="198"/>
      <c r="W177" s="198"/>
      <c r="X177" s="198"/>
      <c r="Y177" s="198"/>
      <c r="Z177" s="198"/>
    </row>
    <row r="178">
      <c r="A178" s="403"/>
      <c r="B178" s="198"/>
      <c r="C178" s="403"/>
      <c r="D178" s="142"/>
      <c r="E178" s="403"/>
      <c r="F178" s="198"/>
      <c r="G178" s="403"/>
      <c r="H178" s="198"/>
      <c r="I178" s="411"/>
      <c r="J178" s="142"/>
      <c r="K178" s="411"/>
      <c r="L178" s="142"/>
      <c r="M178" s="411"/>
      <c r="N178" s="142"/>
      <c r="O178" s="403"/>
      <c r="P178" s="198"/>
      <c r="Q178" s="412"/>
      <c r="R178" s="76"/>
      <c r="S178" s="197"/>
      <c r="T178" s="198"/>
      <c r="U178" s="197"/>
      <c r="V178" s="198"/>
      <c r="W178" s="198"/>
      <c r="X178" s="198"/>
      <c r="Y178" s="198"/>
      <c r="Z178" s="198"/>
    </row>
    <row r="179">
      <c r="A179" s="403"/>
      <c r="B179" s="198"/>
      <c r="C179" s="403"/>
      <c r="D179" s="142"/>
      <c r="E179" s="403"/>
      <c r="F179" s="198"/>
      <c r="G179" s="403"/>
      <c r="H179" s="198"/>
      <c r="I179" s="411"/>
      <c r="J179" s="142"/>
      <c r="K179" s="411"/>
      <c r="L179" s="142"/>
      <c r="M179" s="411"/>
      <c r="N179" s="142"/>
      <c r="O179" s="403"/>
      <c r="P179" s="198"/>
      <c r="Q179" s="412"/>
      <c r="R179" s="76"/>
      <c r="S179" s="197"/>
      <c r="T179" s="198"/>
      <c r="U179" s="197"/>
      <c r="V179" s="198"/>
      <c r="W179" s="198"/>
      <c r="X179" s="198"/>
      <c r="Y179" s="198"/>
      <c r="Z179" s="198"/>
    </row>
    <row r="180">
      <c r="A180" s="403"/>
      <c r="B180" s="198"/>
      <c r="C180" s="403"/>
      <c r="D180" s="142"/>
      <c r="E180" s="403"/>
      <c r="F180" s="198"/>
      <c r="G180" s="403"/>
      <c r="H180" s="198"/>
      <c r="I180" s="411"/>
      <c r="J180" s="142"/>
      <c r="K180" s="411"/>
      <c r="L180" s="142"/>
      <c r="M180" s="411"/>
      <c r="N180" s="142"/>
      <c r="O180" s="403"/>
      <c r="P180" s="198"/>
      <c r="Q180" s="412"/>
      <c r="R180" s="76"/>
      <c r="S180" s="197"/>
      <c r="T180" s="198"/>
      <c r="U180" s="197"/>
      <c r="V180" s="198"/>
      <c r="W180" s="198"/>
      <c r="X180" s="198"/>
      <c r="Y180" s="198"/>
      <c r="Z180" s="198"/>
    </row>
    <row r="181">
      <c r="A181" s="403"/>
      <c r="B181" s="198"/>
      <c r="C181" s="403"/>
      <c r="D181" s="142"/>
      <c r="E181" s="403"/>
      <c r="F181" s="198"/>
      <c r="G181" s="403"/>
      <c r="H181" s="198"/>
      <c r="I181" s="411"/>
      <c r="J181" s="142"/>
      <c r="K181" s="411"/>
      <c r="L181" s="142"/>
      <c r="M181" s="411"/>
      <c r="N181" s="142"/>
      <c r="O181" s="403"/>
      <c r="P181" s="198"/>
      <c r="Q181" s="412"/>
      <c r="R181" s="76"/>
      <c r="S181" s="197"/>
      <c r="T181" s="198"/>
      <c r="U181" s="197"/>
      <c r="V181" s="198"/>
      <c r="W181" s="198"/>
      <c r="X181" s="198"/>
      <c r="Y181" s="198"/>
      <c r="Z181" s="198"/>
    </row>
    <row r="182">
      <c r="A182" s="403"/>
      <c r="B182" s="198"/>
      <c r="C182" s="403"/>
      <c r="D182" s="142"/>
      <c r="E182" s="403"/>
      <c r="F182" s="198"/>
      <c r="G182" s="403"/>
      <c r="H182" s="198"/>
      <c r="I182" s="411"/>
      <c r="J182" s="142"/>
      <c r="K182" s="411"/>
      <c r="L182" s="142"/>
      <c r="M182" s="411"/>
      <c r="N182" s="142"/>
      <c r="O182" s="403"/>
      <c r="P182" s="198"/>
      <c r="Q182" s="412"/>
      <c r="R182" s="76"/>
      <c r="S182" s="197"/>
      <c r="T182" s="198"/>
      <c r="U182" s="197"/>
      <c r="V182" s="198"/>
      <c r="W182" s="198"/>
      <c r="X182" s="198"/>
      <c r="Y182" s="198"/>
      <c r="Z182" s="198"/>
    </row>
    <row r="183">
      <c r="A183" s="403"/>
      <c r="B183" s="198"/>
      <c r="C183" s="403"/>
      <c r="D183" s="142"/>
      <c r="E183" s="403"/>
      <c r="F183" s="198"/>
      <c r="G183" s="403"/>
      <c r="H183" s="198"/>
      <c r="I183" s="411"/>
      <c r="J183" s="142"/>
      <c r="K183" s="411"/>
      <c r="L183" s="142"/>
      <c r="M183" s="411"/>
      <c r="N183" s="142"/>
      <c r="O183" s="403"/>
      <c r="P183" s="198"/>
      <c r="Q183" s="412"/>
      <c r="R183" s="76"/>
      <c r="S183" s="197"/>
      <c r="T183" s="198"/>
      <c r="U183" s="197"/>
      <c r="V183" s="198"/>
      <c r="W183" s="198"/>
      <c r="X183" s="198"/>
      <c r="Y183" s="198"/>
      <c r="Z183" s="198"/>
    </row>
    <row r="184">
      <c r="A184" s="403"/>
      <c r="B184" s="198"/>
      <c r="C184" s="403"/>
      <c r="D184" s="142"/>
      <c r="E184" s="403"/>
      <c r="F184" s="198"/>
      <c r="G184" s="403"/>
      <c r="H184" s="198"/>
      <c r="I184" s="411"/>
      <c r="J184" s="142"/>
      <c r="K184" s="411"/>
      <c r="L184" s="142"/>
      <c r="M184" s="411"/>
      <c r="N184" s="142"/>
      <c r="O184" s="403"/>
      <c r="P184" s="198"/>
      <c r="Q184" s="412"/>
      <c r="R184" s="76"/>
      <c r="S184" s="197"/>
      <c r="T184" s="198"/>
      <c r="U184" s="197"/>
      <c r="V184" s="198"/>
      <c r="W184" s="198"/>
      <c r="X184" s="198"/>
      <c r="Y184" s="198"/>
      <c r="Z184" s="198"/>
    </row>
    <row r="185">
      <c r="A185" s="403"/>
      <c r="B185" s="198"/>
      <c r="C185" s="403"/>
      <c r="D185" s="142"/>
      <c r="E185" s="403"/>
      <c r="F185" s="198"/>
      <c r="G185" s="403"/>
      <c r="H185" s="198"/>
      <c r="I185" s="411"/>
      <c r="J185" s="142"/>
      <c r="K185" s="411"/>
      <c r="L185" s="142"/>
      <c r="M185" s="411"/>
      <c r="N185" s="142"/>
      <c r="O185" s="403"/>
      <c r="P185" s="198"/>
      <c r="Q185" s="412"/>
      <c r="R185" s="76"/>
      <c r="S185" s="197"/>
      <c r="T185" s="198"/>
      <c r="U185" s="197"/>
      <c r="V185" s="198"/>
      <c r="W185" s="198"/>
      <c r="X185" s="198"/>
      <c r="Y185" s="198"/>
      <c r="Z185" s="198"/>
    </row>
    <row r="186">
      <c r="A186" s="403"/>
      <c r="B186" s="198"/>
      <c r="C186" s="403"/>
      <c r="D186" s="142"/>
      <c r="E186" s="403"/>
      <c r="F186" s="198"/>
      <c r="G186" s="403"/>
      <c r="H186" s="198"/>
      <c r="I186" s="411"/>
      <c r="J186" s="142"/>
      <c r="K186" s="411"/>
      <c r="L186" s="142"/>
      <c r="M186" s="411"/>
      <c r="N186" s="142"/>
      <c r="O186" s="403"/>
      <c r="P186" s="198"/>
      <c r="Q186" s="412"/>
      <c r="R186" s="76"/>
      <c r="S186" s="197"/>
      <c r="T186" s="198"/>
      <c r="U186" s="197"/>
      <c r="V186" s="198"/>
      <c r="W186" s="198"/>
      <c r="X186" s="198"/>
      <c r="Y186" s="198"/>
      <c r="Z186" s="198"/>
    </row>
    <row r="187">
      <c r="A187" s="403"/>
      <c r="B187" s="198"/>
      <c r="C187" s="403"/>
      <c r="D187" s="142"/>
      <c r="E187" s="403"/>
      <c r="F187" s="198"/>
      <c r="G187" s="403"/>
      <c r="H187" s="198"/>
      <c r="I187" s="411"/>
      <c r="J187" s="142"/>
      <c r="K187" s="411"/>
      <c r="L187" s="142"/>
      <c r="M187" s="411"/>
      <c r="N187" s="142"/>
      <c r="O187" s="403"/>
      <c r="P187" s="198"/>
      <c r="Q187" s="412"/>
      <c r="R187" s="76"/>
      <c r="S187" s="197"/>
      <c r="T187" s="198"/>
      <c r="U187" s="197"/>
      <c r="V187" s="198"/>
      <c r="W187" s="198"/>
      <c r="X187" s="198"/>
      <c r="Y187" s="198"/>
      <c r="Z187" s="198"/>
    </row>
    <row r="188">
      <c r="A188" s="403"/>
      <c r="B188" s="198"/>
      <c r="C188" s="403"/>
      <c r="D188" s="142"/>
      <c r="E188" s="403"/>
      <c r="F188" s="198"/>
      <c r="G188" s="403"/>
      <c r="H188" s="198"/>
      <c r="I188" s="411"/>
      <c r="J188" s="142"/>
      <c r="K188" s="411"/>
      <c r="L188" s="142"/>
      <c r="M188" s="411"/>
      <c r="N188" s="142"/>
      <c r="O188" s="403"/>
      <c r="P188" s="198"/>
      <c r="Q188" s="412"/>
      <c r="R188" s="76"/>
      <c r="S188" s="197"/>
      <c r="T188" s="198"/>
      <c r="U188" s="197"/>
      <c r="V188" s="198"/>
      <c r="W188" s="198"/>
      <c r="X188" s="198"/>
      <c r="Y188" s="198"/>
      <c r="Z188" s="198"/>
    </row>
    <row r="189">
      <c r="A189" s="403"/>
      <c r="B189" s="198"/>
      <c r="C189" s="403"/>
      <c r="D189" s="142"/>
      <c r="E189" s="403"/>
      <c r="F189" s="198"/>
      <c r="G189" s="403"/>
      <c r="H189" s="198"/>
      <c r="I189" s="411"/>
      <c r="J189" s="142"/>
      <c r="K189" s="411"/>
      <c r="L189" s="142"/>
      <c r="M189" s="411"/>
      <c r="N189" s="142"/>
      <c r="O189" s="403"/>
      <c r="P189" s="198"/>
      <c r="Q189" s="412"/>
      <c r="R189" s="76"/>
      <c r="S189" s="197"/>
      <c r="T189" s="198"/>
      <c r="U189" s="197"/>
      <c r="V189" s="198"/>
      <c r="W189" s="198"/>
      <c r="X189" s="198"/>
      <c r="Y189" s="198"/>
      <c r="Z189" s="198"/>
    </row>
    <row r="190">
      <c r="A190" s="403"/>
      <c r="B190" s="198"/>
      <c r="C190" s="403"/>
      <c r="D190" s="142"/>
      <c r="E190" s="403"/>
      <c r="F190" s="198"/>
      <c r="G190" s="403"/>
      <c r="H190" s="198"/>
      <c r="I190" s="411"/>
      <c r="J190" s="142"/>
      <c r="K190" s="411"/>
      <c r="L190" s="142"/>
      <c r="M190" s="411"/>
      <c r="N190" s="142"/>
      <c r="O190" s="403"/>
      <c r="P190" s="198"/>
      <c r="Q190" s="412"/>
      <c r="R190" s="76"/>
      <c r="S190" s="197"/>
      <c r="T190" s="198"/>
      <c r="U190" s="197"/>
      <c r="V190" s="198"/>
      <c r="W190" s="198"/>
      <c r="X190" s="198"/>
      <c r="Y190" s="198"/>
      <c r="Z190" s="198"/>
    </row>
    <row r="191">
      <c r="A191" s="403"/>
      <c r="B191" s="198"/>
      <c r="C191" s="403"/>
      <c r="D191" s="142"/>
      <c r="E191" s="403"/>
      <c r="F191" s="198"/>
      <c r="G191" s="403"/>
      <c r="H191" s="198"/>
      <c r="I191" s="411"/>
      <c r="J191" s="142"/>
      <c r="K191" s="411"/>
      <c r="L191" s="142"/>
      <c r="M191" s="411"/>
      <c r="N191" s="142"/>
      <c r="O191" s="403"/>
      <c r="P191" s="198"/>
      <c r="Q191" s="412"/>
      <c r="R191" s="76"/>
      <c r="S191" s="197"/>
      <c r="T191" s="198"/>
      <c r="U191" s="197"/>
      <c r="V191" s="198"/>
      <c r="W191" s="198"/>
      <c r="X191" s="198"/>
      <c r="Y191" s="198"/>
      <c r="Z191" s="198"/>
    </row>
    <row r="192">
      <c r="A192" s="403"/>
      <c r="B192" s="198"/>
      <c r="C192" s="403"/>
      <c r="D192" s="142"/>
      <c r="E192" s="403"/>
      <c r="F192" s="198"/>
      <c r="G192" s="403"/>
      <c r="H192" s="198"/>
      <c r="I192" s="411"/>
      <c r="J192" s="142"/>
      <c r="K192" s="411"/>
      <c r="L192" s="142"/>
      <c r="M192" s="411"/>
      <c r="N192" s="142"/>
      <c r="O192" s="403"/>
      <c r="P192" s="198"/>
      <c r="Q192" s="412"/>
      <c r="R192" s="76"/>
      <c r="S192" s="197"/>
      <c r="T192" s="198"/>
      <c r="U192" s="197"/>
      <c r="V192" s="198"/>
      <c r="W192" s="198"/>
      <c r="X192" s="198"/>
      <c r="Y192" s="198"/>
      <c r="Z192" s="198"/>
    </row>
    <row r="193">
      <c r="A193" s="403"/>
      <c r="B193" s="198"/>
      <c r="C193" s="403"/>
      <c r="D193" s="142"/>
      <c r="E193" s="403"/>
      <c r="F193" s="198"/>
      <c r="G193" s="403"/>
      <c r="H193" s="198"/>
      <c r="I193" s="411"/>
      <c r="J193" s="142"/>
      <c r="K193" s="411"/>
      <c r="L193" s="142"/>
      <c r="M193" s="411"/>
      <c r="N193" s="142"/>
      <c r="O193" s="403"/>
      <c r="P193" s="198"/>
      <c r="Q193" s="412"/>
      <c r="R193" s="76"/>
      <c r="S193" s="197"/>
      <c r="T193" s="198"/>
      <c r="U193" s="197"/>
      <c r="V193" s="198"/>
      <c r="W193" s="198"/>
      <c r="X193" s="198"/>
      <c r="Y193" s="198"/>
      <c r="Z193" s="198"/>
    </row>
    <row r="194">
      <c r="A194" s="403"/>
      <c r="B194" s="198"/>
      <c r="C194" s="403"/>
      <c r="D194" s="142"/>
      <c r="E194" s="403"/>
      <c r="F194" s="198"/>
      <c r="G194" s="403"/>
      <c r="H194" s="198"/>
      <c r="I194" s="411"/>
      <c r="J194" s="142"/>
      <c r="K194" s="411"/>
      <c r="L194" s="142"/>
      <c r="M194" s="411"/>
      <c r="N194" s="142"/>
      <c r="O194" s="403"/>
      <c r="P194" s="198"/>
      <c r="Q194" s="412"/>
      <c r="R194" s="76"/>
      <c r="S194" s="197"/>
      <c r="T194" s="198"/>
      <c r="U194" s="197"/>
      <c r="V194" s="198"/>
      <c r="W194" s="198"/>
      <c r="X194" s="198"/>
      <c r="Y194" s="198"/>
      <c r="Z194" s="198"/>
    </row>
    <row r="195">
      <c r="A195" s="403"/>
      <c r="B195" s="198"/>
      <c r="C195" s="403"/>
      <c r="D195" s="142"/>
      <c r="E195" s="403"/>
      <c r="F195" s="198"/>
      <c r="G195" s="403"/>
      <c r="H195" s="198"/>
      <c r="I195" s="411"/>
      <c r="J195" s="142"/>
      <c r="K195" s="411"/>
      <c r="L195" s="142"/>
      <c r="M195" s="411"/>
      <c r="N195" s="142"/>
      <c r="O195" s="403"/>
      <c r="P195" s="198"/>
      <c r="Q195" s="412"/>
      <c r="R195" s="76"/>
      <c r="S195" s="197"/>
      <c r="T195" s="198"/>
      <c r="U195" s="197"/>
      <c r="V195" s="198"/>
      <c r="W195" s="198"/>
      <c r="X195" s="198"/>
      <c r="Y195" s="198"/>
      <c r="Z195" s="198"/>
    </row>
    <row r="196">
      <c r="A196" s="403"/>
      <c r="B196" s="198"/>
      <c r="C196" s="403"/>
      <c r="D196" s="142"/>
      <c r="E196" s="403"/>
      <c r="F196" s="198"/>
      <c r="G196" s="403"/>
      <c r="H196" s="198"/>
      <c r="I196" s="411"/>
      <c r="J196" s="142"/>
      <c r="K196" s="411"/>
      <c r="L196" s="142"/>
      <c r="M196" s="411"/>
      <c r="N196" s="142"/>
      <c r="O196" s="403"/>
      <c r="P196" s="198"/>
      <c r="Q196" s="412"/>
      <c r="R196" s="76"/>
      <c r="S196" s="197"/>
      <c r="T196" s="198"/>
      <c r="U196" s="197"/>
      <c r="V196" s="198"/>
      <c r="W196" s="198"/>
      <c r="X196" s="198"/>
      <c r="Y196" s="198"/>
      <c r="Z196" s="198"/>
    </row>
    <row r="197">
      <c r="A197" s="403"/>
      <c r="B197" s="198"/>
      <c r="C197" s="403"/>
      <c r="D197" s="142"/>
      <c r="E197" s="403"/>
      <c r="F197" s="198"/>
      <c r="G197" s="403"/>
      <c r="H197" s="198"/>
      <c r="I197" s="411"/>
      <c r="J197" s="142"/>
      <c r="K197" s="411"/>
      <c r="L197" s="142"/>
      <c r="M197" s="411"/>
      <c r="N197" s="142"/>
      <c r="O197" s="403"/>
      <c r="P197" s="198"/>
      <c r="Q197" s="412"/>
      <c r="R197" s="76"/>
      <c r="S197" s="197"/>
      <c r="T197" s="198"/>
      <c r="U197" s="197"/>
      <c r="V197" s="198"/>
      <c r="W197" s="198"/>
      <c r="X197" s="198"/>
      <c r="Y197" s="198"/>
      <c r="Z197" s="198"/>
    </row>
    <row r="198">
      <c r="A198" s="403"/>
      <c r="B198" s="198"/>
      <c r="C198" s="403"/>
      <c r="D198" s="142"/>
      <c r="E198" s="403"/>
      <c r="F198" s="198"/>
      <c r="G198" s="403"/>
      <c r="H198" s="198"/>
      <c r="I198" s="411"/>
      <c r="J198" s="142"/>
      <c r="K198" s="411"/>
      <c r="L198" s="142"/>
      <c r="M198" s="411"/>
      <c r="N198" s="142"/>
      <c r="O198" s="403"/>
      <c r="P198" s="198"/>
      <c r="Q198" s="412"/>
      <c r="R198" s="76"/>
      <c r="S198" s="197"/>
      <c r="T198" s="198"/>
      <c r="U198" s="197"/>
      <c r="V198" s="198"/>
      <c r="W198" s="198"/>
      <c r="X198" s="198"/>
      <c r="Y198" s="198"/>
      <c r="Z198" s="198"/>
    </row>
    <row r="199">
      <c r="A199" s="403"/>
      <c r="B199" s="198"/>
      <c r="C199" s="403"/>
      <c r="D199" s="142"/>
      <c r="E199" s="403"/>
      <c r="F199" s="198"/>
      <c r="G199" s="403"/>
      <c r="H199" s="198"/>
      <c r="I199" s="411"/>
      <c r="J199" s="142"/>
      <c r="K199" s="411"/>
      <c r="L199" s="142"/>
      <c r="M199" s="411"/>
      <c r="N199" s="142"/>
      <c r="O199" s="403"/>
      <c r="P199" s="198"/>
      <c r="Q199" s="412"/>
      <c r="R199" s="76"/>
      <c r="S199" s="197"/>
      <c r="T199" s="198"/>
      <c r="U199" s="197"/>
      <c r="V199" s="198"/>
      <c r="W199" s="198"/>
      <c r="X199" s="198"/>
      <c r="Y199" s="198"/>
      <c r="Z199" s="198"/>
    </row>
    <row r="200">
      <c r="A200" s="403"/>
      <c r="B200" s="198"/>
      <c r="C200" s="403"/>
      <c r="D200" s="142"/>
      <c r="E200" s="403"/>
      <c r="F200" s="198"/>
      <c r="G200" s="403"/>
      <c r="H200" s="198"/>
      <c r="I200" s="411"/>
      <c r="J200" s="142"/>
      <c r="K200" s="411"/>
      <c r="L200" s="142"/>
      <c r="M200" s="411"/>
      <c r="N200" s="142"/>
      <c r="O200" s="403"/>
      <c r="P200" s="198"/>
      <c r="Q200" s="412"/>
      <c r="R200" s="76"/>
      <c r="S200" s="197"/>
      <c r="T200" s="198"/>
      <c r="U200" s="197"/>
      <c r="V200" s="198"/>
      <c r="W200" s="198"/>
      <c r="X200" s="198"/>
      <c r="Y200" s="198"/>
      <c r="Z200" s="198"/>
    </row>
    <row r="201">
      <c r="A201" s="403"/>
      <c r="B201" s="198"/>
      <c r="C201" s="403"/>
      <c r="D201" s="142"/>
      <c r="E201" s="403"/>
      <c r="F201" s="198"/>
      <c r="G201" s="403"/>
      <c r="H201" s="198"/>
      <c r="I201" s="411"/>
      <c r="J201" s="142"/>
      <c r="K201" s="411"/>
      <c r="L201" s="142"/>
      <c r="M201" s="411"/>
      <c r="N201" s="142"/>
      <c r="O201" s="403"/>
      <c r="P201" s="198"/>
      <c r="Q201" s="412"/>
      <c r="R201" s="76"/>
      <c r="S201" s="197"/>
      <c r="T201" s="198"/>
      <c r="U201" s="197"/>
      <c r="V201" s="198"/>
      <c r="W201" s="198"/>
      <c r="X201" s="198"/>
      <c r="Y201" s="198"/>
      <c r="Z201" s="198"/>
    </row>
    <row r="202">
      <c r="A202" s="403"/>
      <c r="B202" s="198"/>
      <c r="C202" s="403"/>
      <c r="D202" s="142"/>
      <c r="E202" s="403"/>
      <c r="F202" s="198"/>
      <c r="G202" s="403"/>
      <c r="H202" s="198"/>
      <c r="I202" s="411"/>
      <c r="J202" s="142"/>
      <c r="K202" s="411"/>
      <c r="L202" s="142"/>
      <c r="M202" s="411"/>
      <c r="N202" s="142"/>
      <c r="O202" s="403"/>
      <c r="P202" s="198"/>
      <c r="Q202" s="412"/>
      <c r="R202" s="76"/>
      <c r="S202" s="197"/>
      <c r="T202" s="198"/>
      <c r="U202" s="197"/>
      <c r="V202" s="198"/>
      <c r="W202" s="198"/>
      <c r="X202" s="198"/>
      <c r="Y202" s="198"/>
      <c r="Z202" s="198"/>
    </row>
    <row r="203">
      <c r="A203" s="403"/>
      <c r="B203" s="198"/>
      <c r="C203" s="403"/>
      <c r="D203" s="142"/>
      <c r="E203" s="403"/>
      <c r="F203" s="198"/>
      <c r="G203" s="403"/>
      <c r="H203" s="198"/>
      <c r="I203" s="411"/>
      <c r="J203" s="142"/>
      <c r="K203" s="411"/>
      <c r="L203" s="142"/>
      <c r="M203" s="411"/>
      <c r="N203" s="142"/>
      <c r="O203" s="403"/>
      <c r="P203" s="198"/>
      <c r="Q203" s="412"/>
      <c r="R203" s="76"/>
      <c r="S203" s="197"/>
      <c r="T203" s="198"/>
      <c r="U203" s="197"/>
      <c r="V203" s="198"/>
      <c r="W203" s="198"/>
      <c r="X203" s="198"/>
      <c r="Y203" s="198"/>
      <c r="Z203" s="198"/>
    </row>
    <row r="204">
      <c r="A204" s="403"/>
      <c r="B204" s="198"/>
      <c r="C204" s="403"/>
      <c r="D204" s="142"/>
      <c r="E204" s="403"/>
      <c r="F204" s="198"/>
      <c r="G204" s="403"/>
      <c r="H204" s="198"/>
      <c r="I204" s="411"/>
      <c r="J204" s="142"/>
      <c r="K204" s="411"/>
      <c r="L204" s="142"/>
      <c r="M204" s="411"/>
      <c r="N204" s="142"/>
      <c r="O204" s="403"/>
      <c r="P204" s="198"/>
      <c r="Q204" s="412"/>
      <c r="R204" s="76"/>
      <c r="S204" s="197"/>
      <c r="T204" s="198"/>
      <c r="U204" s="197"/>
      <c r="V204" s="198"/>
      <c r="W204" s="198"/>
      <c r="X204" s="198"/>
      <c r="Y204" s="198"/>
      <c r="Z204" s="198"/>
    </row>
    <row r="205">
      <c r="A205" s="403"/>
      <c r="B205" s="198"/>
      <c r="C205" s="403"/>
      <c r="D205" s="142"/>
      <c r="E205" s="403"/>
      <c r="F205" s="198"/>
      <c r="G205" s="403"/>
      <c r="H205" s="198"/>
      <c r="I205" s="411"/>
      <c r="J205" s="142"/>
      <c r="K205" s="411"/>
      <c r="L205" s="142"/>
      <c r="M205" s="411"/>
      <c r="N205" s="142"/>
      <c r="O205" s="403"/>
      <c r="P205" s="198"/>
      <c r="Q205" s="412"/>
      <c r="R205" s="76"/>
      <c r="S205" s="197"/>
      <c r="T205" s="198"/>
      <c r="U205" s="197"/>
      <c r="V205" s="198"/>
      <c r="W205" s="198"/>
      <c r="X205" s="198"/>
      <c r="Y205" s="198"/>
      <c r="Z205" s="198"/>
    </row>
    <row r="206">
      <c r="A206" s="403"/>
      <c r="B206" s="198"/>
      <c r="C206" s="403"/>
      <c r="D206" s="142"/>
      <c r="E206" s="403"/>
      <c r="F206" s="198"/>
      <c r="G206" s="403"/>
      <c r="H206" s="198"/>
      <c r="I206" s="411"/>
      <c r="J206" s="142"/>
      <c r="K206" s="411"/>
      <c r="L206" s="142"/>
      <c r="M206" s="411"/>
      <c r="N206" s="142"/>
      <c r="O206" s="403"/>
      <c r="P206" s="198"/>
      <c r="Q206" s="412"/>
      <c r="R206" s="76"/>
      <c r="S206" s="197"/>
      <c r="T206" s="198"/>
      <c r="U206" s="197"/>
      <c r="V206" s="198"/>
      <c r="W206" s="198"/>
      <c r="X206" s="198"/>
      <c r="Y206" s="198"/>
      <c r="Z206" s="198"/>
    </row>
    <row r="207">
      <c r="A207" s="403"/>
      <c r="B207" s="198"/>
      <c r="C207" s="403"/>
      <c r="D207" s="142"/>
      <c r="E207" s="403"/>
      <c r="F207" s="198"/>
      <c r="G207" s="403"/>
      <c r="H207" s="198"/>
      <c r="I207" s="411"/>
      <c r="J207" s="142"/>
      <c r="K207" s="411"/>
      <c r="L207" s="142"/>
      <c r="M207" s="411"/>
      <c r="N207" s="142"/>
      <c r="O207" s="403"/>
      <c r="P207" s="198"/>
      <c r="Q207" s="412"/>
      <c r="R207" s="76"/>
      <c r="S207" s="197"/>
      <c r="T207" s="198"/>
      <c r="U207" s="197"/>
      <c r="V207" s="198"/>
      <c r="W207" s="198"/>
      <c r="X207" s="198"/>
      <c r="Y207" s="198"/>
      <c r="Z207" s="198"/>
    </row>
    <row r="208">
      <c r="A208" s="403"/>
      <c r="B208" s="198"/>
      <c r="C208" s="403"/>
      <c r="D208" s="142"/>
      <c r="E208" s="403"/>
      <c r="F208" s="198"/>
      <c r="G208" s="403"/>
      <c r="H208" s="198"/>
      <c r="I208" s="411"/>
      <c r="J208" s="142"/>
      <c r="K208" s="411"/>
      <c r="L208" s="142"/>
      <c r="M208" s="411"/>
      <c r="N208" s="142"/>
      <c r="O208" s="403"/>
      <c r="P208" s="198"/>
      <c r="Q208" s="412"/>
      <c r="R208" s="76"/>
      <c r="S208" s="197"/>
      <c r="T208" s="198"/>
      <c r="U208" s="197"/>
      <c r="V208" s="198"/>
      <c r="W208" s="198"/>
      <c r="X208" s="198"/>
      <c r="Y208" s="198"/>
      <c r="Z208" s="198"/>
    </row>
    <row r="209">
      <c r="A209" s="403"/>
      <c r="B209" s="198"/>
      <c r="C209" s="403"/>
      <c r="D209" s="142"/>
      <c r="E209" s="403"/>
      <c r="F209" s="198"/>
      <c r="G209" s="403"/>
      <c r="H209" s="198"/>
      <c r="I209" s="411"/>
      <c r="J209" s="142"/>
      <c r="K209" s="411"/>
      <c r="L209" s="142"/>
      <c r="M209" s="411"/>
      <c r="N209" s="142"/>
      <c r="O209" s="403"/>
      <c r="P209" s="198"/>
      <c r="Q209" s="412"/>
      <c r="R209" s="76"/>
      <c r="S209" s="197"/>
      <c r="T209" s="198"/>
      <c r="U209" s="197"/>
      <c r="V209" s="198"/>
      <c r="W209" s="198"/>
      <c r="X209" s="198"/>
      <c r="Y209" s="198"/>
      <c r="Z209" s="198"/>
    </row>
    <row r="210">
      <c r="A210" s="403"/>
      <c r="B210" s="198"/>
      <c r="C210" s="403"/>
      <c r="D210" s="142"/>
      <c r="E210" s="403"/>
      <c r="F210" s="198"/>
      <c r="G210" s="403"/>
      <c r="H210" s="198"/>
      <c r="I210" s="411"/>
      <c r="J210" s="142"/>
      <c r="K210" s="411"/>
      <c r="L210" s="142"/>
      <c r="M210" s="411"/>
      <c r="N210" s="142"/>
      <c r="O210" s="403"/>
      <c r="P210" s="198"/>
      <c r="Q210" s="412"/>
      <c r="R210" s="76"/>
      <c r="S210" s="197"/>
      <c r="T210" s="198"/>
      <c r="U210" s="197"/>
      <c r="V210" s="198"/>
      <c r="W210" s="198"/>
      <c r="X210" s="198"/>
      <c r="Y210" s="198"/>
      <c r="Z210" s="198"/>
    </row>
    <row r="211">
      <c r="A211" s="403"/>
      <c r="B211" s="198"/>
      <c r="C211" s="403"/>
      <c r="D211" s="142"/>
      <c r="E211" s="403"/>
      <c r="F211" s="198"/>
      <c r="G211" s="403"/>
      <c r="H211" s="198"/>
      <c r="I211" s="411"/>
      <c r="J211" s="142"/>
      <c r="K211" s="411"/>
      <c r="L211" s="142"/>
      <c r="M211" s="411"/>
      <c r="N211" s="142"/>
      <c r="O211" s="403"/>
      <c r="P211" s="198"/>
      <c r="Q211" s="412"/>
      <c r="R211" s="76"/>
      <c r="S211" s="197"/>
      <c r="T211" s="198"/>
      <c r="U211" s="197"/>
      <c r="V211" s="198"/>
      <c r="W211" s="198"/>
      <c r="X211" s="198"/>
      <c r="Y211" s="198"/>
      <c r="Z211" s="198"/>
    </row>
    <row r="212">
      <c r="A212" s="403"/>
      <c r="B212" s="198"/>
      <c r="C212" s="403"/>
      <c r="D212" s="142"/>
      <c r="E212" s="403"/>
      <c r="F212" s="198"/>
      <c r="G212" s="403"/>
      <c r="H212" s="198"/>
      <c r="I212" s="411"/>
      <c r="J212" s="142"/>
      <c r="K212" s="411"/>
      <c r="L212" s="142"/>
      <c r="M212" s="411"/>
      <c r="N212" s="142"/>
      <c r="O212" s="403"/>
      <c r="P212" s="198"/>
      <c r="Q212" s="412"/>
      <c r="R212" s="76"/>
      <c r="S212" s="197"/>
      <c r="T212" s="198"/>
      <c r="U212" s="197"/>
      <c r="V212" s="198"/>
      <c r="W212" s="198"/>
      <c r="X212" s="198"/>
      <c r="Y212" s="198"/>
      <c r="Z212" s="198"/>
    </row>
    <row r="213">
      <c r="A213" s="403"/>
      <c r="B213" s="198"/>
      <c r="C213" s="403"/>
      <c r="D213" s="142"/>
      <c r="E213" s="403"/>
      <c r="F213" s="198"/>
      <c r="G213" s="403"/>
      <c r="H213" s="198"/>
      <c r="I213" s="411"/>
      <c r="J213" s="142"/>
      <c r="K213" s="411"/>
      <c r="L213" s="142"/>
      <c r="M213" s="411"/>
      <c r="N213" s="142"/>
      <c r="O213" s="403"/>
      <c r="P213" s="198"/>
      <c r="Q213" s="412"/>
      <c r="R213" s="76"/>
      <c r="S213" s="197"/>
      <c r="T213" s="198"/>
      <c r="U213" s="197"/>
      <c r="V213" s="198"/>
      <c r="W213" s="198"/>
      <c r="X213" s="198"/>
      <c r="Y213" s="198"/>
      <c r="Z213" s="198"/>
    </row>
    <row r="214">
      <c r="A214" s="403"/>
      <c r="B214" s="198"/>
      <c r="C214" s="403"/>
      <c r="D214" s="142"/>
      <c r="E214" s="403"/>
      <c r="F214" s="198"/>
      <c r="G214" s="403"/>
      <c r="H214" s="198"/>
      <c r="I214" s="411"/>
      <c r="J214" s="142"/>
      <c r="K214" s="411"/>
      <c r="L214" s="142"/>
      <c r="M214" s="411"/>
      <c r="N214" s="142"/>
      <c r="O214" s="403"/>
      <c r="P214" s="198"/>
      <c r="Q214" s="412"/>
      <c r="R214" s="76"/>
      <c r="S214" s="197"/>
      <c r="T214" s="198"/>
      <c r="U214" s="197"/>
      <c r="V214" s="198"/>
      <c r="W214" s="198"/>
      <c r="X214" s="198"/>
      <c r="Y214" s="198"/>
      <c r="Z214" s="198"/>
    </row>
    <row r="215">
      <c r="A215" s="403"/>
      <c r="B215" s="198"/>
      <c r="C215" s="403"/>
      <c r="D215" s="142"/>
      <c r="E215" s="403"/>
      <c r="F215" s="198"/>
      <c r="G215" s="403"/>
      <c r="H215" s="198"/>
      <c r="I215" s="411"/>
      <c r="J215" s="142"/>
      <c r="K215" s="411"/>
      <c r="L215" s="142"/>
      <c r="M215" s="411"/>
      <c r="N215" s="142"/>
      <c r="O215" s="403"/>
      <c r="P215" s="198"/>
      <c r="Q215" s="412"/>
      <c r="R215" s="76"/>
      <c r="S215" s="197"/>
      <c r="T215" s="198"/>
      <c r="U215" s="197"/>
      <c r="V215" s="198"/>
      <c r="W215" s="198"/>
      <c r="X215" s="198"/>
      <c r="Y215" s="198"/>
      <c r="Z215" s="198"/>
    </row>
    <row r="216">
      <c r="A216" s="403"/>
      <c r="B216" s="198"/>
      <c r="C216" s="403"/>
      <c r="D216" s="142"/>
      <c r="E216" s="403"/>
      <c r="F216" s="198"/>
      <c r="G216" s="403"/>
      <c r="H216" s="198"/>
      <c r="I216" s="411"/>
      <c r="J216" s="142"/>
      <c r="K216" s="411"/>
      <c r="L216" s="142"/>
      <c r="M216" s="411"/>
      <c r="N216" s="142"/>
      <c r="O216" s="403"/>
      <c r="P216" s="198"/>
      <c r="Q216" s="412"/>
      <c r="R216" s="76"/>
      <c r="S216" s="197"/>
      <c r="T216" s="198"/>
      <c r="U216" s="197"/>
      <c r="V216" s="198"/>
      <c r="W216" s="198"/>
      <c r="X216" s="198"/>
      <c r="Y216" s="198"/>
      <c r="Z216" s="198"/>
    </row>
    <row r="217">
      <c r="A217" s="403"/>
      <c r="B217" s="198"/>
      <c r="C217" s="403"/>
      <c r="D217" s="142"/>
      <c r="E217" s="403"/>
      <c r="F217" s="198"/>
      <c r="G217" s="403"/>
      <c r="H217" s="198"/>
      <c r="I217" s="411"/>
      <c r="J217" s="142"/>
      <c r="K217" s="411"/>
      <c r="L217" s="142"/>
      <c r="M217" s="411"/>
      <c r="N217" s="142"/>
      <c r="O217" s="403"/>
      <c r="P217" s="198"/>
      <c r="Q217" s="412"/>
      <c r="R217" s="76"/>
      <c r="S217" s="197"/>
      <c r="T217" s="198"/>
      <c r="U217" s="197"/>
      <c r="V217" s="198"/>
      <c r="W217" s="198"/>
      <c r="X217" s="198"/>
      <c r="Y217" s="198"/>
      <c r="Z217" s="198"/>
    </row>
    <row r="218">
      <c r="A218" s="403"/>
      <c r="B218" s="198"/>
      <c r="C218" s="403"/>
      <c r="D218" s="142"/>
      <c r="E218" s="403"/>
      <c r="F218" s="198"/>
      <c r="G218" s="403"/>
      <c r="H218" s="198"/>
      <c r="I218" s="411"/>
      <c r="J218" s="142"/>
      <c r="K218" s="411"/>
      <c r="L218" s="142"/>
      <c r="M218" s="411"/>
      <c r="N218" s="142"/>
      <c r="O218" s="403"/>
      <c r="P218" s="198"/>
      <c r="Q218" s="412"/>
      <c r="R218" s="76"/>
      <c r="S218" s="197"/>
      <c r="T218" s="198"/>
      <c r="U218" s="197"/>
      <c r="V218" s="198"/>
      <c r="W218" s="198"/>
      <c r="X218" s="198"/>
      <c r="Y218" s="198"/>
      <c r="Z218" s="198"/>
    </row>
    <row r="219">
      <c r="A219" s="403"/>
      <c r="B219" s="198"/>
      <c r="C219" s="403"/>
      <c r="D219" s="142"/>
      <c r="E219" s="403"/>
      <c r="F219" s="198"/>
      <c r="G219" s="403"/>
      <c r="H219" s="198"/>
      <c r="I219" s="411"/>
      <c r="J219" s="142"/>
      <c r="K219" s="411"/>
      <c r="L219" s="142"/>
      <c r="M219" s="411"/>
      <c r="N219" s="142"/>
      <c r="O219" s="403"/>
      <c r="P219" s="198"/>
      <c r="Q219" s="412"/>
      <c r="R219" s="76"/>
      <c r="S219" s="197"/>
      <c r="T219" s="198"/>
      <c r="U219" s="197"/>
      <c r="V219" s="198"/>
      <c r="W219" s="198"/>
      <c r="X219" s="198"/>
      <c r="Y219" s="198"/>
      <c r="Z219" s="198"/>
    </row>
    <row r="220">
      <c r="A220" s="403"/>
      <c r="B220" s="198"/>
      <c r="C220" s="403"/>
      <c r="D220" s="142"/>
      <c r="E220" s="403"/>
      <c r="F220" s="198"/>
      <c r="G220" s="403"/>
      <c r="H220" s="198"/>
      <c r="I220" s="411"/>
      <c r="J220" s="142"/>
      <c r="K220" s="411"/>
      <c r="L220" s="142"/>
      <c r="M220" s="411"/>
      <c r="N220" s="142"/>
      <c r="O220" s="403"/>
      <c r="P220" s="198"/>
      <c r="Q220" s="412"/>
      <c r="R220" s="76"/>
      <c r="S220" s="197"/>
      <c r="T220" s="198"/>
      <c r="U220" s="197"/>
      <c r="V220" s="198"/>
      <c r="W220" s="198"/>
      <c r="X220" s="198"/>
      <c r="Y220" s="198"/>
      <c r="Z220" s="198"/>
    </row>
    <row r="221">
      <c r="A221" s="403"/>
      <c r="B221" s="198"/>
      <c r="C221" s="403"/>
      <c r="D221" s="142"/>
      <c r="E221" s="403"/>
      <c r="F221" s="198"/>
      <c r="G221" s="403"/>
      <c r="H221" s="198"/>
      <c r="I221" s="411"/>
      <c r="J221" s="142"/>
      <c r="K221" s="411"/>
      <c r="L221" s="142"/>
      <c r="M221" s="411"/>
      <c r="N221" s="142"/>
      <c r="O221" s="403"/>
      <c r="P221" s="198"/>
      <c r="Q221" s="412"/>
      <c r="R221" s="76"/>
      <c r="S221" s="197"/>
      <c r="T221" s="198"/>
      <c r="U221" s="197"/>
      <c r="V221" s="198"/>
      <c r="W221" s="198"/>
      <c r="X221" s="198"/>
      <c r="Y221" s="198"/>
      <c r="Z221" s="198"/>
    </row>
    <row r="222">
      <c r="A222" s="403"/>
      <c r="B222" s="198"/>
      <c r="C222" s="403"/>
      <c r="D222" s="142"/>
      <c r="E222" s="403"/>
      <c r="F222" s="198"/>
      <c r="G222" s="403"/>
      <c r="H222" s="198"/>
      <c r="I222" s="411"/>
      <c r="J222" s="142"/>
      <c r="K222" s="411"/>
      <c r="L222" s="142"/>
      <c r="M222" s="411"/>
      <c r="N222" s="142"/>
      <c r="O222" s="403"/>
      <c r="P222" s="198"/>
      <c r="Q222" s="412"/>
      <c r="R222" s="76"/>
      <c r="S222" s="197"/>
      <c r="T222" s="198"/>
      <c r="U222" s="197"/>
      <c r="V222" s="198"/>
      <c r="W222" s="198"/>
      <c r="X222" s="198"/>
      <c r="Y222" s="198"/>
      <c r="Z222" s="198"/>
    </row>
    <row r="223">
      <c r="A223" s="403"/>
      <c r="B223" s="198"/>
      <c r="C223" s="403"/>
      <c r="D223" s="142"/>
      <c r="E223" s="403"/>
      <c r="F223" s="198"/>
      <c r="G223" s="403"/>
      <c r="H223" s="198"/>
      <c r="I223" s="411"/>
      <c r="J223" s="142"/>
      <c r="K223" s="411"/>
      <c r="L223" s="142"/>
      <c r="M223" s="411"/>
      <c r="N223" s="142"/>
      <c r="O223" s="403"/>
      <c r="P223" s="198"/>
      <c r="Q223" s="412"/>
      <c r="R223" s="76"/>
      <c r="S223" s="197"/>
      <c r="T223" s="198"/>
      <c r="U223" s="197"/>
      <c r="V223" s="198"/>
      <c r="W223" s="198"/>
      <c r="X223" s="198"/>
      <c r="Y223" s="198"/>
      <c r="Z223" s="198"/>
    </row>
    <row r="224">
      <c r="A224" s="403"/>
      <c r="B224" s="198"/>
      <c r="C224" s="403"/>
      <c r="D224" s="142"/>
      <c r="E224" s="403"/>
      <c r="F224" s="198"/>
      <c r="G224" s="403"/>
      <c r="H224" s="198"/>
      <c r="I224" s="411"/>
      <c r="J224" s="142"/>
      <c r="K224" s="411"/>
      <c r="L224" s="142"/>
      <c r="M224" s="411"/>
      <c r="N224" s="142"/>
      <c r="O224" s="403"/>
      <c r="P224" s="198"/>
      <c r="Q224" s="412"/>
      <c r="R224" s="76"/>
      <c r="S224" s="197"/>
      <c r="T224" s="198"/>
      <c r="U224" s="197"/>
      <c r="V224" s="198"/>
      <c r="W224" s="198"/>
      <c r="X224" s="198"/>
      <c r="Y224" s="198"/>
      <c r="Z224" s="198"/>
    </row>
    <row r="225">
      <c r="A225" s="403"/>
      <c r="B225" s="198"/>
      <c r="C225" s="403"/>
      <c r="D225" s="142"/>
      <c r="E225" s="403"/>
      <c r="F225" s="198"/>
      <c r="G225" s="403"/>
      <c r="H225" s="198"/>
      <c r="I225" s="411"/>
      <c r="J225" s="142"/>
      <c r="K225" s="411"/>
      <c r="L225" s="142"/>
      <c r="M225" s="411"/>
      <c r="N225" s="142"/>
      <c r="O225" s="403"/>
      <c r="P225" s="198"/>
      <c r="Q225" s="412"/>
      <c r="R225" s="76"/>
      <c r="S225" s="197"/>
      <c r="T225" s="198"/>
      <c r="U225" s="197"/>
      <c r="V225" s="198"/>
      <c r="W225" s="198"/>
      <c r="X225" s="198"/>
      <c r="Y225" s="198"/>
      <c r="Z225" s="198"/>
    </row>
    <row r="226">
      <c r="A226" s="403"/>
      <c r="B226" s="198"/>
      <c r="C226" s="403"/>
      <c r="D226" s="142"/>
      <c r="E226" s="403"/>
      <c r="F226" s="198"/>
      <c r="G226" s="403"/>
      <c r="H226" s="198"/>
      <c r="I226" s="411"/>
      <c r="J226" s="142"/>
      <c r="K226" s="411"/>
      <c r="L226" s="142"/>
      <c r="M226" s="411"/>
      <c r="N226" s="142"/>
      <c r="O226" s="403"/>
      <c r="P226" s="198"/>
      <c r="Q226" s="412"/>
      <c r="R226" s="76"/>
      <c r="S226" s="197"/>
      <c r="T226" s="198"/>
      <c r="U226" s="197"/>
      <c r="V226" s="198"/>
      <c r="W226" s="198"/>
      <c r="X226" s="198"/>
      <c r="Y226" s="198"/>
      <c r="Z226" s="198"/>
    </row>
    <row r="227">
      <c r="A227" s="403"/>
      <c r="B227" s="198"/>
      <c r="C227" s="403"/>
      <c r="D227" s="142"/>
      <c r="E227" s="403"/>
      <c r="F227" s="198"/>
      <c r="G227" s="403"/>
      <c r="H227" s="198"/>
      <c r="I227" s="411"/>
      <c r="J227" s="142"/>
      <c r="K227" s="411"/>
      <c r="L227" s="142"/>
      <c r="M227" s="411"/>
      <c r="N227" s="142"/>
      <c r="O227" s="403"/>
      <c r="P227" s="198"/>
      <c r="Q227" s="412"/>
      <c r="R227" s="76"/>
      <c r="S227" s="197"/>
      <c r="T227" s="198"/>
      <c r="U227" s="197"/>
      <c r="V227" s="198"/>
      <c r="W227" s="198"/>
      <c r="X227" s="198"/>
      <c r="Y227" s="198"/>
      <c r="Z227" s="198"/>
    </row>
    <row r="228">
      <c r="A228" s="403"/>
      <c r="B228" s="198"/>
      <c r="C228" s="403"/>
      <c r="D228" s="142"/>
      <c r="E228" s="403"/>
      <c r="F228" s="198"/>
      <c r="G228" s="403"/>
      <c r="H228" s="198"/>
      <c r="I228" s="411"/>
      <c r="J228" s="142"/>
      <c r="K228" s="411"/>
      <c r="L228" s="142"/>
      <c r="M228" s="411"/>
      <c r="N228" s="142"/>
      <c r="O228" s="403"/>
      <c r="P228" s="198"/>
      <c r="Q228" s="412"/>
      <c r="R228" s="76"/>
      <c r="S228" s="197"/>
      <c r="T228" s="198"/>
      <c r="U228" s="197"/>
      <c r="V228" s="198"/>
      <c r="W228" s="198"/>
      <c r="X228" s="198"/>
      <c r="Y228" s="198"/>
      <c r="Z228" s="198"/>
    </row>
    <row r="229">
      <c r="A229" s="403"/>
      <c r="B229" s="198"/>
      <c r="C229" s="403"/>
      <c r="D229" s="142"/>
      <c r="E229" s="403"/>
      <c r="F229" s="198"/>
      <c r="G229" s="403"/>
      <c r="H229" s="198"/>
      <c r="I229" s="411"/>
      <c r="J229" s="142"/>
      <c r="K229" s="411"/>
      <c r="L229" s="142"/>
      <c r="M229" s="411"/>
      <c r="N229" s="142"/>
      <c r="O229" s="403"/>
      <c r="P229" s="198"/>
      <c r="Q229" s="412"/>
      <c r="R229" s="76"/>
      <c r="S229" s="197"/>
      <c r="T229" s="198"/>
      <c r="U229" s="197"/>
      <c r="V229" s="198"/>
      <c r="W229" s="198"/>
      <c r="X229" s="198"/>
      <c r="Y229" s="198"/>
      <c r="Z229" s="198"/>
    </row>
    <row r="230">
      <c r="A230" s="403"/>
      <c r="B230" s="198"/>
      <c r="C230" s="403"/>
      <c r="D230" s="142"/>
      <c r="E230" s="403"/>
      <c r="F230" s="198"/>
      <c r="G230" s="403"/>
      <c r="H230" s="198"/>
      <c r="I230" s="411"/>
      <c r="J230" s="142"/>
      <c r="K230" s="411"/>
      <c r="L230" s="142"/>
      <c r="M230" s="411"/>
      <c r="N230" s="142"/>
      <c r="O230" s="403"/>
      <c r="P230" s="198"/>
      <c r="Q230" s="412"/>
      <c r="R230" s="76"/>
      <c r="S230" s="197"/>
      <c r="T230" s="198"/>
      <c r="U230" s="197"/>
      <c r="V230" s="198"/>
      <c r="W230" s="198"/>
      <c r="X230" s="198"/>
      <c r="Y230" s="198"/>
      <c r="Z230" s="198"/>
    </row>
    <row r="231">
      <c r="A231" s="403"/>
      <c r="B231" s="198"/>
      <c r="C231" s="403"/>
      <c r="D231" s="142"/>
      <c r="E231" s="403"/>
      <c r="F231" s="198"/>
      <c r="G231" s="403"/>
      <c r="H231" s="198"/>
      <c r="I231" s="411"/>
      <c r="J231" s="142"/>
      <c r="K231" s="411"/>
      <c r="L231" s="142"/>
      <c r="M231" s="411"/>
      <c r="N231" s="142"/>
      <c r="O231" s="403"/>
      <c r="P231" s="198"/>
      <c r="Q231" s="412"/>
      <c r="R231" s="76"/>
      <c r="S231" s="197"/>
      <c r="T231" s="198"/>
      <c r="U231" s="197"/>
      <c r="V231" s="198"/>
      <c r="W231" s="198"/>
      <c r="X231" s="198"/>
      <c r="Y231" s="198"/>
      <c r="Z231" s="198"/>
    </row>
    <row r="232">
      <c r="A232" s="403"/>
      <c r="B232" s="198"/>
      <c r="C232" s="403"/>
      <c r="D232" s="142"/>
      <c r="E232" s="403"/>
      <c r="F232" s="198"/>
      <c r="G232" s="403"/>
      <c r="H232" s="198"/>
      <c r="I232" s="411"/>
      <c r="J232" s="142"/>
      <c r="K232" s="411"/>
      <c r="L232" s="142"/>
      <c r="M232" s="411"/>
      <c r="N232" s="142"/>
      <c r="O232" s="403"/>
      <c r="P232" s="198"/>
      <c r="Q232" s="412"/>
      <c r="R232" s="76"/>
      <c r="S232" s="197"/>
      <c r="T232" s="198"/>
      <c r="U232" s="197"/>
      <c r="V232" s="198"/>
      <c r="W232" s="198"/>
      <c r="X232" s="198"/>
      <c r="Y232" s="198"/>
      <c r="Z232" s="198"/>
    </row>
    <row r="233">
      <c r="A233" s="403"/>
      <c r="B233" s="198"/>
      <c r="C233" s="403"/>
      <c r="D233" s="142"/>
      <c r="E233" s="403"/>
      <c r="F233" s="198"/>
      <c r="G233" s="403"/>
      <c r="H233" s="198"/>
      <c r="I233" s="411"/>
      <c r="J233" s="142"/>
      <c r="K233" s="411"/>
      <c r="L233" s="142"/>
      <c r="M233" s="411"/>
      <c r="N233" s="142"/>
      <c r="O233" s="403"/>
      <c r="P233" s="198"/>
      <c r="Q233" s="412"/>
      <c r="R233" s="76"/>
      <c r="S233" s="197"/>
      <c r="T233" s="198"/>
      <c r="U233" s="197"/>
      <c r="V233" s="198"/>
      <c r="W233" s="198"/>
      <c r="X233" s="198"/>
      <c r="Y233" s="198"/>
      <c r="Z233" s="198"/>
    </row>
    <row r="234">
      <c r="A234" s="403"/>
      <c r="B234" s="198"/>
      <c r="C234" s="403"/>
      <c r="D234" s="142"/>
      <c r="E234" s="403"/>
      <c r="F234" s="198"/>
      <c r="G234" s="403"/>
      <c r="H234" s="198"/>
      <c r="I234" s="411"/>
      <c r="J234" s="142"/>
      <c r="K234" s="411"/>
      <c r="L234" s="142"/>
      <c r="M234" s="411"/>
      <c r="N234" s="142"/>
      <c r="O234" s="403"/>
      <c r="P234" s="198"/>
      <c r="Q234" s="412"/>
      <c r="R234" s="76"/>
      <c r="S234" s="197"/>
      <c r="T234" s="198"/>
      <c r="U234" s="197"/>
      <c r="V234" s="198"/>
      <c r="W234" s="198"/>
      <c r="X234" s="198"/>
      <c r="Y234" s="198"/>
      <c r="Z234" s="198"/>
    </row>
    <row r="235">
      <c r="A235" s="403"/>
      <c r="B235" s="198"/>
      <c r="C235" s="403"/>
      <c r="D235" s="142"/>
      <c r="E235" s="403"/>
      <c r="F235" s="198"/>
      <c r="G235" s="403"/>
      <c r="H235" s="198"/>
      <c r="I235" s="411"/>
      <c r="J235" s="142"/>
      <c r="K235" s="411"/>
      <c r="L235" s="142"/>
      <c r="M235" s="411"/>
      <c r="N235" s="142"/>
      <c r="O235" s="403"/>
      <c r="P235" s="198"/>
      <c r="Q235" s="412"/>
      <c r="R235" s="76"/>
      <c r="S235" s="197"/>
      <c r="T235" s="198"/>
      <c r="U235" s="197"/>
      <c r="V235" s="198"/>
      <c r="W235" s="198"/>
      <c r="X235" s="198"/>
      <c r="Y235" s="198"/>
      <c r="Z235" s="198"/>
    </row>
    <row r="236">
      <c r="A236" s="403"/>
      <c r="B236" s="198"/>
      <c r="C236" s="403"/>
      <c r="D236" s="142"/>
      <c r="E236" s="403"/>
      <c r="F236" s="198"/>
      <c r="G236" s="403"/>
      <c r="H236" s="198"/>
      <c r="I236" s="411"/>
      <c r="J236" s="142"/>
      <c r="K236" s="411"/>
      <c r="L236" s="142"/>
      <c r="M236" s="411"/>
      <c r="N236" s="142"/>
      <c r="O236" s="403"/>
      <c r="P236" s="198"/>
      <c r="Q236" s="412"/>
      <c r="R236" s="76"/>
      <c r="S236" s="197"/>
      <c r="T236" s="198"/>
      <c r="U236" s="197"/>
      <c r="V236" s="198"/>
      <c r="W236" s="198"/>
      <c r="X236" s="198"/>
      <c r="Y236" s="198"/>
      <c r="Z236" s="198"/>
    </row>
    <row r="237">
      <c r="A237" s="403"/>
      <c r="B237" s="198"/>
      <c r="C237" s="403"/>
      <c r="D237" s="142"/>
      <c r="E237" s="403"/>
      <c r="F237" s="198"/>
      <c r="G237" s="403"/>
      <c r="H237" s="198"/>
      <c r="I237" s="411"/>
      <c r="J237" s="142"/>
      <c r="K237" s="411"/>
      <c r="L237" s="142"/>
      <c r="M237" s="411"/>
      <c r="N237" s="142"/>
      <c r="O237" s="403"/>
      <c r="P237" s="198"/>
      <c r="Q237" s="412"/>
      <c r="R237" s="76"/>
      <c r="S237" s="197"/>
      <c r="T237" s="198"/>
      <c r="U237" s="197"/>
      <c r="V237" s="198"/>
      <c r="W237" s="198"/>
      <c r="X237" s="198"/>
      <c r="Y237" s="198"/>
      <c r="Z237" s="198"/>
    </row>
    <row r="238">
      <c r="A238" s="403"/>
      <c r="B238" s="198"/>
      <c r="C238" s="403"/>
      <c r="D238" s="142"/>
      <c r="E238" s="403"/>
      <c r="F238" s="198"/>
      <c r="G238" s="403"/>
      <c r="H238" s="198"/>
      <c r="I238" s="411"/>
      <c r="J238" s="142"/>
      <c r="K238" s="411"/>
      <c r="L238" s="142"/>
      <c r="M238" s="411"/>
      <c r="N238" s="142"/>
      <c r="O238" s="403"/>
      <c r="P238" s="198"/>
      <c r="Q238" s="412"/>
      <c r="R238" s="76"/>
      <c r="S238" s="197"/>
      <c r="T238" s="198"/>
      <c r="U238" s="197"/>
      <c r="V238" s="198"/>
      <c r="W238" s="198"/>
      <c r="X238" s="198"/>
      <c r="Y238" s="198"/>
      <c r="Z238" s="198"/>
    </row>
    <row r="239">
      <c r="A239" s="403"/>
      <c r="B239" s="198"/>
      <c r="C239" s="403"/>
      <c r="D239" s="142"/>
      <c r="E239" s="403"/>
      <c r="F239" s="198"/>
      <c r="G239" s="403"/>
      <c r="H239" s="198"/>
      <c r="I239" s="411"/>
      <c r="J239" s="142"/>
      <c r="K239" s="411"/>
      <c r="L239" s="142"/>
      <c r="M239" s="411"/>
      <c r="N239" s="142"/>
      <c r="O239" s="403"/>
      <c r="P239" s="198"/>
      <c r="Q239" s="412"/>
      <c r="R239" s="76"/>
      <c r="S239" s="197"/>
      <c r="T239" s="198"/>
      <c r="U239" s="197"/>
      <c r="V239" s="198"/>
      <c r="W239" s="198"/>
      <c r="X239" s="198"/>
      <c r="Y239" s="198"/>
      <c r="Z239" s="198"/>
    </row>
    <row r="240">
      <c r="A240" s="403"/>
      <c r="B240" s="198"/>
      <c r="C240" s="403"/>
      <c r="D240" s="142"/>
      <c r="E240" s="403"/>
      <c r="F240" s="198"/>
      <c r="G240" s="403"/>
      <c r="H240" s="198"/>
      <c r="I240" s="411"/>
      <c r="J240" s="142"/>
      <c r="K240" s="411"/>
      <c r="L240" s="142"/>
      <c r="M240" s="411"/>
      <c r="N240" s="142"/>
      <c r="O240" s="403"/>
      <c r="P240" s="198"/>
      <c r="Q240" s="412"/>
      <c r="R240" s="76"/>
      <c r="S240" s="197"/>
      <c r="T240" s="198"/>
      <c r="U240" s="197"/>
      <c r="V240" s="198"/>
      <c r="W240" s="198"/>
      <c r="X240" s="198"/>
      <c r="Y240" s="198"/>
      <c r="Z240" s="198"/>
    </row>
    <row r="241">
      <c r="A241" s="403"/>
      <c r="B241" s="198"/>
      <c r="C241" s="403"/>
      <c r="D241" s="142"/>
      <c r="E241" s="403"/>
      <c r="F241" s="198"/>
      <c r="G241" s="403"/>
      <c r="H241" s="198"/>
      <c r="I241" s="411"/>
      <c r="J241" s="142"/>
      <c r="K241" s="411"/>
      <c r="L241" s="142"/>
      <c r="M241" s="411"/>
      <c r="N241" s="142"/>
      <c r="O241" s="403"/>
      <c r="P241" s="198"/>
      <c r="Q241" s="412"/>
      <c r="R241" s="76"/>
      <c r="S241" s="197"/>
      <c r="T241" s="198"/>
      <c r="U241" s="197"/>
      <c r="V241" s="198"/>
      <c r="W241" s="198"/>
      <c r="X241" s="198"/>
      <c r="Y241" s="198"/>
      <c r="Z241" s="198"/>
    </row>
    <row r="242">
      <c r="A242" s="403"/>
      <c r="B242" s="198"/>
      <c r="C242" s="403"/>
      <c r="D242" s="142"/>
      <c r="E242" s="403"/>
      <c r="F242" s="198"/>
      <c r="G242" s="403"/>
      <c r="H242" s="198"/>
      <c r="I242" s="411"/>
      <c r="J242" s="142"/>
      <c r="K242" s="411"/>
      <c r="L242" s="142"/>
      <c r="M242" s="411"/>
      <c r="N242" s="142"/>
      <c r="O242" s="403"/>
      <c r="P242" s="198"/>
      <c r="Q242" s="412"/>
      <c r="R242" s="76"/>
      <c r="S242" s="197"/>
      <c r="T242" s="198"/>
      <c r="U242" s="197"/>
      <c r="V242" s="198"/>
      <c r="W242" s="198"/>
      <c r="X242" s="198"/>
      <c r="Y242" s="198"/>
      <c r="Z242" s="198"/>
    </row>
    <row r="243">
      <c r="A243" s="403"/>
      <c r="B243" s="198"/>
      <c r="C243" s="403"/>
      <c r="D243" s="142"/>
      <c r="E243" s="403"/>
      <c r="F243" s="198"/>
      <c r="G243" s="403"/>
      <c r="H243" s="198"/>
      <c r="I243" s="411"/>
      <c r="J243" s="142"/>
      <c r="K243" s="411"/>
      <c r="L243" s="142"/>
      <c r="M243" s="411"/>
      <c r="N243" s="142"/>
      <c r="O243" s="403"/>
      <c r="P243" s="198"/>
      <c r="Q243" s="412"/>
      <c r="R243" s="76"/>
      <c r="S243" s="197"/>
      <c r="T243" s="198"/>
      <c r="U243" s="197"/>
      <c r="V243" s="198"/>
      <c r="W243" s="198"/>
      <c r="X243" s="198"/>
      <c r="Y243" s="198"/>
      <c r="Z243" s="198"/>
    </row>
    <row r="244">
      <c r="A244" s="403"/>
      <c r="B244" s="198"/>
      <c r="C244" s="403"/>
      <c r="D244" s="142"/>
      <c r="E244" s="403"/>
      <c r="F244" s="198"/>
      <c r="G244" s="403"/>
      <c r="H244" s="198"/>
      <c r="I244" s="411"/>
      <c r="J244" s="142"/>
      <c r="K244" s="411"/>
      <c r="L244" s="142"/>
      <c r="M244" s="411"/>
      <c r="N244" s="142"/>
      <c r="O244" s="403"/>
      <c r="P244" s="198"/>
      <c r="Q244" s="412"/>
      <c r="R244" s="76"/>
      <c r="S244" s="197"/>
      <c r="T244" s="198"/>
      <c r="U244" s="197"/>
      <c r="V244" s="198"/>
      <c r="W244" s="198"/>
      <c r="X244" s="198"/>
      <c r="Y244" s="198"/>
      <c r="Z244" s="198"/>
    </row>
    <row r="245">
      <c r="A245" s="403"/>
      <c r="B245" s="198"/>
      <c r="C245" s="403"/>
      <c r="D245" s="142"/>
      <c r="E245" s="403"/>
      <c r="F245" s="198"/>
      <c r="G245" s="403"/>
      <c r="H245" s="198"/>
      <c r="I245" s="411"/>
      <c r="J245" s="142"/>
      <c r="K245" s="411"/>
      <c r="L245" s="142"/>
      <c r="M245" s="411"/>
      <c r="N245" s="142"/>
      <c r="O245" s="403"/>
      <c r="P245" s="198"/>
      <c r="Q245" s="412"/>
      <c r="R245" s="76"/>
      <c r="S245" s="197"/>
      <c r="T245" s="198"/>
      <c r="U245" s="197"/>
      <c r="V245" s="198"/>
      <c r="W245" s="198"/>
      <c r="X245" s="198"/>
      <c r="Y245" s="198"/>
      <c r="Z245" s="198"/>
    </row>
    <row r="246">
      <c r="A246" s="403"/>
      <c r="B246" s="198"/>
      <c r="C246" s="403"/>
      <c r="D246" s="142"/>
      <c r="E246" s="403"/>
      <c r="F246" s="198"/>
      <c r="G246" s="403"/>
      <c r="H246" s="198"/>
      <c r="I246" s="411"/>
      <c r="J246" s="142"/>
      <c r="K246" s="411"/>
      <c r="L246" s="142"/>
      <c r="M246" s="411"/>
      <c r="N246" s="142"/>
      <c r="O246" s="403"/>
      <c r="P246" s="198"/>
      <c r="Q246" s="412"/>
      <c r="R246" s="76"/>
      <c r="S246" s="197"/>
      <c r="T246" s="198"/>
      <c r="U246" s="197"/>
      <c r="V246" s="198"/>
      <c r="W246" s="198"/>
      <c r="X246" s="198"/>
      <c r="Y246" s="198"/>
      <c r="Z246" s="198"/>
    </row>
    <row r="247">
      <c r="A247" s="403"/>
      <c r="B247" s="198"/>
      <c r="C247" s="403"/>
      <c r="D247" s="142"/>
      <c r="E247" s="403"/>
      <c r="F247" s="198"/>
      <c r="G247" s="403"/>
      <c r="H247" s="198"/>
      <c r="I247" s="411"/>
      <c r="J247" s="142"/>
      <c r="K247" s="411"/>
      <c r="L247" s="142"/>
      <c r="M247" s="411"/>
      <c r="N247" s="142"/>
      <c r="O247" s="403"/>
      <c r="P247" s="198"/>
      <c r="Q247" s="412"/>
      <c r="R247" s="76"/>
      <c r="S247" s="197"/>
      <c r="T247" s="198"/>
      <c r="U247" s="197"/>
      <c r="V247" s="198"/>
      <c r="W247" s="198"/>
      <c r="X247" s="198"/>
      <c r="Y247" s="198"/>
      <c r="Z247" s="198"/>
    </row>
    <row r="248">
      <c r="A248" s="403"/>
      <c r="B248" s="198"/>
      <c r="C248" s="403"/>
      <c r="D248" s="142"/>
      <c r="E248" s="403"/>
      <c r="F248" s="198"/>
      <c r="G248" s="403"/>
      <c r="H248" s="198"/>
      <c r="I248" s="411"/>
      <c r="J248" s="142"/>
      <c r="K248" s="411"/>
      <c r="L248" s="142"/>
      <c r="M248" s="411"/>
      <c r="N248" s="142"/>
      <c r="O248" s="403"/>
      <c r="P248" s="198"/>
      <c r="Q248" s="412"/>
      <c r="R248" s="76"/>
      <c r="S248" s="197"/>
      <c r="T248" s="198"/>
      <c r="U248" s="197"/>
      <c r="V248" s="198"/>
      <c r="W248" s="198"/>
      <c r="X248" s="198"/>
      <c r="Y248" s="198"/>
      <c r="Z248" s="198"/>
    </row>
    <row r="249">
      <c r="A249" s="403"/>
      <c r="B249" s="198"/>
      <c r="C249" s="403"/>
      <c r="D249" s="142"/>
      <c r="E249" s="403"/>
      <c r="F249" s="198"/>
      <c r="G249" s="403"/>
      <c r="H249" s="198"/>
      <c r="I249" s="411"/>
      <c r="J249" s="142"/>
      <c r="K249" s="411"/>
      <c r="L249" s="142"/>
      <c r="M249" s="411"/>
      <c r="N249" s="142"/>
      <c r="O249" s="403"/>
      <c r="P249" s="198"/>
      <c r="Q249" s="412"/>
      <c r="R249" s="76"/>
      <c r="S249" s="197"/>
      <c r="T249" s="198"/>
      <c r="U249" s="197"/>
      <c r="V249" s="198"/>
      <c r="W249" s="198"/>
      <c r="X249" s="198"/>
      <c r="Y249" s="198"/>
      <c r="Z249" s="198"/>
    </row>
    <row r="250">
      <c r="A250" s="403"/>
      <c r="B250" s="198"/>
      <c r="C250" s="403"/>
      <c r="D250" s="142"/>
      <c r="E250" s="403"/>
      <c r="F250" s="198"/>
      <c r="G250" s="403"/>
      <c r="H250" s="198"/>
      <c r="I250" s="411"/>
      <c r="J250" s="142"/>
      <c r="K250" s="411"/>
      <c r="L250" s="142"/>
      <c r="M250" s="411"/>
      <c r="N250" s="142"/>
      <c r="O250" s="403"/>
      <c r="P250" s="198"/>
      <c r="Q250" s="412"/>
      <c r="R250" s="76"/>
      <c r="S250" s="197"/>
      <c r="T250" s="198"/>
      <c r="U250" s="197"/>
      <c r="V250" s="198"/>
      <c r="W250" s="198"/>
      <c r="X250" s="198"/>
      <c r="Y250" s="198"/>
      <c r="Z250" s="198"/>
    </row>
    <row r="251">
      <c r="A251" s="403"/>
      <c r="B251" s="198"/>
      <c r="C251" s="403"/>
      <c r="D251" s="142"/>
      <c r="E251" s="403"/>
      <c r="F251" s="198"/>
      <c r="G251" s="403"/>
      <c r="H251" s="198"/>
      <c r="I251" s="411"/>
      <c r="J251" s="142"/>
      <c r="K251" s="411"/>
      <c r="L251" s="142"/>
      <c r="M251" s="411"/>
      <c r="N251" s="142"/>
      <c r="O251" s="403"/>
      <c r="P251" s="198"/>
      <c r="Q251" s="412"/>
      <c r="R251" s="76"/>
      <c r="S251" s="197"/>
      <c r="T251" s="198"/>
      <c r="U251" s="197"/>
      <c r="V251" s="198"/>
      <c r="W251" s="198"/>
      <c r="X251" s="198"/>
      <c r="Y251" s="198"/>
      <c r="Z251" s="198"/>
    </row>
    <row r="252">
      <c r="A252" s="403"/>
      <c r="B252" s="198"/>
      <c r="C252" s="403"/>
      <c r="D252" s="142"/>
      <c r="E252" s="403"/>
      <c r="F252" s="198"/>
      <c r="G252" s="403"/>
      <c r="H252" s="198"/>
      <c r="I252" s="411"/>
      <c r="J252" s="142"/>
      <c r="K252" s="411"/>
      <c r="L252" s="142"/>
      <c r="M252" s="411"/>
      <c r="N252" s="142"/>
      <c r="O252" s="403"/>
      <c r="P252" s="198"/>
      <c r="Q252" s="412"/>
      <c r="R252" s="76"/>
      <c r="S252" s="197"/>
      <c r="T252" s="198"/>
      <c r="U252" s="197"/>
      <c r="V252" s="198"/>
      <c r="W252" s="198"/>
      <c r="X252" s="198"/>
      <c r="Y252" s="198"/>
      <c r="Z252" s="198"/>
    </row>
    <row r="253">
      <c r="A253" s="403"/>
      <c r="B253" s="198"/>
      <c r="C253" s="403"/>
      <c r="D253" s="142"/>
      <c r="E253" s="403"/>
      <c r="F253" s="198"/>
      <c r="G253" s="403"/>
      <c r="H253" s="198"/>
      <c r="I253" s="411"/>
      <c r="J253" s="142"/>
      <c r="K253" s="411"/>
      <c r="L253" s="142"/>
      <c r="M253" s="411"/>
      <c r="N253" s="142"/>
      <c r="O253" s="403"/>
      <c r="P253" s="198"/>
      <c r="Q253" s="412"/>
      <c r="R253" s="76"/>
      <c r="S253" s="197"/>
      <c r="T253" s="198"/>
      <c r="U253" s="197"/>
      <c r="V253" s="198"/>
      <c r="W253" s="198"/>
      <c r="X253" s="198"/>
      <c r="Y253" s="198"/>
      <c r="Z253" s="198"/>
    </row>
    <row r="254">
      <c r="A254" s="403"/>
      <c r="B254" s="198"/>
      <c r="C254" s="403"/>
      <c r="D254" s="142"/>
      <c r="E254" s="403"/>
      <c r="F254" s="198"/>
      <c r="G254" s="403"/>
      <c r="H254" s="198"/>
      <c r="I254" s="411"/>
      <c r="J254" s="142"/>
      <c r="K254" s="411"/>
      <c r="L254" s="142"/>
      <c r="M254" s="411"/>
      <c r="N254" s="142"/>
      <c r="O254" s="403"/>
      <c r="P254" s="198"/>
      <c r="Q254" s="412"/>
      <c r="R254" s="76"/>
      <c r="S254" s="197"/>
      <c r="T254" s="198"/>
      <c r="U254" s="197"/>
      <c r="V254" s="198"/>
      <c r="W254" s="198"/>
      <c r="X254" s="198"/>
      <c r="Y254" s="198"/>
      <c r="Z254" s="198"/>
    </row>
    <row r="255">
      <c r="A255" s="403"/>
      <c r="B255" s="198"/>
      <c r="C255" s="403"/>
      <c r="D255" s="142"/>
      <c r="E255" s="403"/>
      <c r="F255" s="198"/>
      <c r="G255" s="403"/>
      <c r="H255" s="198"/>
      <c r="I255" s="411"/>
      <c r="J255" s="142"/>
      <c r="K255" s="411"/>
      <c r="L255" s="142"/>
      <c r="M255" s="411"/>
      <c r="N255" s="142"/>
      <c r="O255" s="403"/>
      <c r="P255" s="198"/>
      <c r="Q255" s="412"/>
      <c r="R255" s="76"/>
      <c r="S255" s="197"/>
      <c r="T255" s="198"/>
      <c r="U255" s="197"/>
      <c r="V255" s="198"/>
      <c r="W255" s="198"/>
      <c r="X255" s="198"/>
      <c r="Y255" s="198"/>
      <c r="Z255" s="198"/>
    </row>
    <row r="256">
      <c r="A256" s="403"/>
      <c r="B256" s="198"/>
      <c r="C256" s="403"/>
      <c r="D256" s="142"/>
      <c r="E256" s="403"/>
      <c r="F256" s="198"/>
      <c r="G256" s="403"/>
      <c r="H256" s="198"/>
      <c r="I256" s="411"/>
      <c r="J256" s="142"/>
      <c r="K256" s="411"/>
      <c r="L256" s="142"/>
      <c r="M256" s="411"/>
      <c r="N256" s="142"/>
      <c r="O256" s="403"/>
      <c r="P256" s="198"/>
      <c r="Q256" s="412"/>
      <c r="R256" s="76"/>
      <c r="S256" s="197"/>
      <c r="T256" s="198"/>
      <c r="U256" s="197"/>
      <c r="V256" s="198"/>
      <c r="W256" s="198"/>
      <c r="X256" s="198"/>
      <c r="Y256" s="198"/>
      <c r="Z256" s="198"/>
    </row>
    <row r="257">
      <c r="A257" s="403"/>
      <c r="B257" s="198"/>
      <c r="C257" s="403"/>
      <c r="D257" s="142"/>
      <c r="E257" s="403"/>
      <c r="F257" s="198"/>
      <c r="G257" s="403"/>
      <c r="H257" s="198"/>
      <c r="I257" s="411"/>
      <c r="J257" s="142"/>
      <c r="K257" s="411"/>
      <c r="L257" s="142"/>
      <c r="M257" s="411"/>
      <c r="N257" s="142"/>
      <c r="O257" s="403"/>
      <c r="P257" s="198"/>
      <c r="Q257" s="412"/>
      <c r="R257" s="76"/>
      <c r="S257" s="197"/>
      <c r="T257" s="198"/>
      <c r="U257" s="197"/>
      <c r="V257" s="198"/>
      <c r="W257" s="198"/>
      <c r="X257" s="198"/>
      <c r="Y257" s="198"/>
      <c r="Z257" s="198"/>
    </row>
    <row r="258">
      <c r="A258" s="403"/>
      <c r="B258" s="198"/>
      <c r="C258" s="403"/>
      <c r="D258" s="142"/>
      <c r="E258" s="403"/>
      <c r="F258" s="198"/>
      <c r="G258" s="403"/>
      <c r="H258" s="198"/>
      <c r="I258" s="411"/>
      <c r="J258" s="142"/>
      <c r="K258" s="411"/>
      <c r="L258" s="142"/>
      <c r="M258" s="411"/>
      <c r="N258" s="142"/>
      <c r="O258" s="403"/>
      <c r="P258" s="198"/>
      <c r="Q258" s="412"/>
      <c r="R258" s="76"/>
      <c r="S258" s="197"/>
      <c r="T258" s="198"/>
      <c r="U258" s="197"/>
      <c r="V258" s="198"/>
      <c r="W258" s="198"/>
      <c r="X258" s="198"/>
      <c r="Y258" s="198"/>
      <c r="Z258" s="198"/>
    </row>
    <row r="259">
      <c r="A259" s="403"/>
      <c r="B259" s="198"/>
      <c r="C259" s="403"/>
      <c r="D259" s="142"/>
      <c r="E259" s="403"/>
      <c r="F259" s="198"/>
      <c r="G259" s="403"/>
      <c r="H259" s="198"/>
      <c r="I259" s="411"/>
      <c r="J259" s="142"/>
      <c r="K259" s="411"/>
      <c r="L259" s="142"/>
      <c r="M259" s="411"/>
      <c r="N259" s="142"/>
      <c r="O259" s="403"/>
      <c r="P259" s="198"/>
      <c r="Q259" s="412"/>
      <c r="R259" s="76"/>
      <c r="S259" s="197"/>
      <c r="T259" s="198"/>
      <c r="U259" s="197"/>
      <c r="V259" s="198"/>
      <c r="W259" s="198"/>
      <c r="X259" s="198"/>
      <c r="Y259" s="198"/>
      <c r="Z259" s="198"/>
    </row>
    <row r="260">
      <c r="A260" s="403"/>
      <c r="B260" s="198"/>
      <c r="C260" s="403"/>
      <c r="D260" s="142"/>
      <c r="E260" s="403"/>
      <c r="F260" s="198"/>
      <c r="G260" s="403"/>
      <c r="H260" s="198"/>
      <c r="I260" s="411"/>
      <c r="J260" s="142"/>
      <c r="K260" s="411"/>
      <c r="L260" s="142"/>
      <c r="M260" s="411"/>
      <c r="N260" s="142"/>
      <c r="O260" s="403"/>
      <c r="P260" s="198"/>
      <c r="Q260" s="412"/>
      <c r="R260" s="76"/>
      <c r="S260" s="197"/>
      <c r="T260" s="198"/>
      <c r="U260" s="197"/>
      <c r="V260" s="198"/>
      <c r="W260" s="198"/>
      <c r="X260" s="198"/>
      <c r="Y260" s="198"/>
      <c r="Z260" s="198"/>
    </row>
    <row r="261">
      <c r="A261" s="403"/>
      <c r="B261" s="198"/>
      <c r="C261" s="403"/>
      <c r="D261" s="142"/>
      <c r="E261" s="403"/>
      <c r="F261" s="198"/>
      <c r="G261" s="403"/>
      <c r="H261" s="198"/>
      <c r="I261" s="411"/>
      <c r="J261" s="142"/>
      <c r="K261" s="411"/>
      <c r="L261" s="142"/>
      <c r="M261" s="411"/>
      <c r="N261" s="142"/>
      <c r="O261" s="403"/>
      <c r="P261" s="198"/>
      <c r="Q261" s="412"/>
      <c r="R261" s="76"/>
      <c r="S261" s="197"/>
      <c r="T261" s="198"/>
      <c r="U261" s="197"/>
      <c r="V261" s="198"/>
      <c r="W261" s="198"/>
      <c r="X261" s="198"/>
      <c r="Y261" s="198"/>
      <c r="Z261" s="198"/>
    </row>
    <row r="262">
      <c r="A262" s="403"/>
      <c r="B262" s="198"/>
      <c r="C262" s="403"/>
      <c r="D262" s="142"/>
      <c r="E262" s="403"/>
      <c r="F262" s="198"/>
      <c r="G262" s="403"/>
      <c r="H262" s="198"/>
      <c r="I262" s="411"/>
      <c r="J262" s="142"/>
      <c r="K262" s="411"/>
      <c r="L262" s="142"/>
      <c r="M262" s="411"/>
      <c r="N262" s="142"/>
      <c r="O262" s="403"/>
      <c r="P262" s="198"/>
      <c r="Q262" s="412"/>
      <c r="R262" s="76"/>
      <c r="S262" s="197"/>
      <c r="T262" s="198"/>
      <c r="U262" s="197"/>
      <c r="V262" s="198"/>
      <c r="W262" s="198"/>
      <c r="X262" s="198"/>
      <c r="Y262" s="198"/>
      <c r="Z262" s="198"/>
    </row>
    <row r="263">
      <c r="A263" s="403"/>
      <c r="B263" s="198"/>
      <c r="C263" s="403"/>
      <c r="D263" s="142"/>
      <c r="E263" s="403"/>
      <c r="F263" s="198"/>
      <c r="G263" s="403"/>
      <c r="H263" s="198"/>
      <c r="I263" s="411"/>
      <c r="J263" s="142"/>
      <c r="K263" s="411"/>
      <c r="L263" s="142"/>
      <c r="M263" s="411"/>
      <c r="N263" s="142"/>
      <c r="O263" s="403"/>
      <c r="P263" s="198"/>
      <c r="Q263" s="412"/>
      <c r="R263" s="76"/>
      <c r="S263" s="197"/>
      <c r="T263" s="198"/>
      <c r="U263" s="197"/>
      <c r="V263" s="198"/>
      <c r="W263" s="198"/>
      <c r="X263" s="198"/>
      <c r="Y263" s="198"/>
      <c r="Z263" s="198"/>
    </row>
    <row r="264">
      <c r="A264" s="403"/>
      <c r="B264" s="198"/>
      <c r="C264" s="403"/>
      <c r="D264" s="142"/>
      <c r="E264" s="403"/>
      <c r="F264" s="198"/>
      <c r="G264" s="403"/>
      <c r="H264" s="198"/>
      <c r="I264" s="411"/>
      <c r="J264" s="142"/>
      <c r="K264" s="411"/>
      <c r="L264" s="142"/>
      <c r="M264" s="411"/>
      <c r="N264" s="142"/>
      <c r="O264" s="403"/>
      <c r="P264" s="198"/>
      <c r="Q264" s="412"/>
      <c r="R264" s="76"/>
      <c r="S264" s="197"/>
      <c r="T264" s="198"/>
      <c r="U264" s="197"/>
      <c r="V264" s="198"/>
      <c r="W264" s="198"/>
      <c r="X264" s="198"/>
      <c r="Y264" s="198"/>
      <c r="Z264" s="198"/>
    </row>
    <row r="265">
      <c r="A265" s="403"/>
      <c r="B265" s="198"/>
      <c r="C265" s="403"/>
      <c r="D265" s="142"/>
      <c r="E265" s="403"/>
      <c r="F265" s="198"/>
      <c r="G265" s="403"/>
      <c r="H265" s="198"/>
      <c r="I265" s="411"/>
      <c r="J265" s="142"/>
      <c r="K265" s="411"/>
      <c r="L265" s="142"/>
      <c r="M265" s="411"/>
      <c r="N265" s="142"/>
      <c r="O265" s="403"/>
      <c r="P265" s="198"/>
      <c r="Q265" s="412"/>
      <c r="R265" s="76"/>
      <c r="S265" s="197"/>
      <c r="T265" s="198"/>
      <c r="U265" s="197"/>
      <c r="V265" s="198"/>
      <c r="W265" s="198"/>
      <c r="X265" s="198"/>
      <c r="Y265" s="198"/>
      <c r="Z265" s="198"/>
    </row>
    <row r="266">
      <c r="A266" s="403"/>
      <c r="B266" s="198"/>
      <c r="C266" s="403"/>
      <c r="D266" s="142"/>
      <c r="E266" s="403"/>
      <c r="F266" s="198"/>
      <c r="G266" s="403"/>
      <c r="H266" s="198"/>
      <c r="I266" s="411"/>
      <c r="J266" s="142"/>
      <c r="K266" s="411"/>
      <c r="L266" s="142"/>
      <c r="M266" s="411"/>
      <c r="N266" s="142"/>
      <c r="O266" s="403"/>
      <c r="P266" s="198"/>
      <c r="Q266" s="412"/>
      <c r="R266" s="76"/>
      <c r="S266" s="197"/>
      <c r="T266" s="198"/>
      <c r="U266" s="197"/>
      <c r="V266" s="198"/>
      <c r="W266" s="198"/>
      <c r="X266" s="198"/>
      <c r="Y266" s="198"/>
      <c r="Z266" s="198"/>
    </row>
    <row r="267">
      <c r="A267" s="403"/>
      <c r="B267" s="198"/>
      <c r="C267" s="403"/>
      <c r="D267" s="142"/>
      <c r="E267" s="403"/>
      <c r="F267" s="198"/>
      <c r="G267" s="403"/>
      <c r="H267" s="198"/>
      <c r="I267" s="411"/>
      <c r="J267" s="142"/>
      <c r="K267" s="411"/>
      <c r="L267" s="142"/>
      <c r="M267" s="411"/>
      <c r="N267" s="142"/>
      <c r="O267" s="403"/>
      <c r="P267" s="198"/>
      <c r="Q267" s="412"/>
      <c r="R267" s="76"/>
      <c r="S267" s="197"/>
      <c r="T267" s="198"/>
      <c r="U267" s="197"/>
      <c r="V267" s="198"/>
      <c r="W267" s="198"/>
      <c r="X267" s="198"/>
      <c r="Y267" s="198"/>
      <c r="Z267" s="198"/>
    </row>
    <row r="268">
      <c r="A268" s="403"/>
      <c r="B268" s="198"/>
      <c r="C268" s="403"/>
      <c r="D268" s="142"/>
      <c r="E268" s="403"/>
      <c r="F268" s="198"/>
      <c r="G268" s="403"/>
      <c r="H268" s="198"/>
      <c r="I268" s="411"/>
      <c r="J268" s="142"/>
      <c r="K268" s="411"/>
      <c r="L268" s="142"/>
      <c r="M268" s="411"/>
      <c r="N268" s="142"/>
      <c r="O268" s="403"/>
      <c r="P268" s="198"/>
      <c r="Q268" s="412"/>
      <c r="R268" s="76"/>
      <c r="S268" s="197"/>
      <c r="T268" s="198"/>
      <c r="U268" s="197"/>
      <c r="V268" s="198"/>
      <c r="W268" s="198"/>
      <c r="X268" s="198"/>
      <c r="Y268" s="198"/>
      <c r="Z268" s="198"/>
    </row>
    <row r="269">
      <c r="A269" s="403"/>
      <c r="B269" s="198"/>
      <c r="C269" s="403"/>
      <c r="D269" s="142"/>
      <c r="E269" s="403"/>
      <c r="F269" s="198"/>
      <c r="G269" s="403"/>
      <c r="H269" s="198"/>
      <c r="I269" s="411"/>
      <c r="J269" s="142"/>
      <c r="K269" s="411"/>
      <c r="L269" s="142"/>
      <c r="M269" s="411"/>
      <c r="N269" s="142"/>
      <c r="O269" s="403"/>
      <c r="P269" s="198"/>
      <c r="Q269" s="412"/>
      <c r="R269" s="76"/>
      <c r="S269" s="197"/>
      <c r="T269" s="198"/>
      <c r="U269" s="197"/>
      <c r="V269" s="198"/>
      <c r="W269" s="198"/>
      <c r="X269" s="198"/>
      <c r="Y269" s="198"/>
      <c r="Z269" s="198"/>
    </row>
    <row r="270">
      <c r="A270" s="403"/>
      <c r="B270" s="198"/>
      <c r="C270" s="403"/>
      <c r="D270" s="142"/>
      <c r="E270" s="403"/>
      <c r="F270" s="198"/>
      <c r="G270" s="403"/>
      <c r="H270" s="198"/>
      <c r="I270" s="411"/>
      <c r="J270" s="142"/>
      <c r="K270" s="411"/>
      <c r="L270" s="142"/>
      <c r="M270" s="411"/>
      <c r="N270" s="142"/>
      <c r="O270" s="403"/>
      <c r="P270" s="198"/>
      <c r="Q270" s="412"/>
      <c r="R270" s="76"/>
      <c r="S270" s="197"/>
      <c r="T270" s="198"/>
      <c r="U270" s="197"/>
      <c r="V270" s="198"/>
      <c r="W270" s="198"/>
      <c r="X270" s="198"/>
      <c r="Y270" s="198"/>
      <c r="Z270" s="198"/>
    </row>
    <row r="271">
      <c r="A271" s="403"/>
      <c r="B271" s="198"/>
      <c r="C271" s="403"/>
      <c r="D271" s="142"/>
      <c r="E271" s="403"/>
      <c r="F271" s="198"/>
      <c r="G271" s="403"/>
      <c r="H271" s="198"/>
      <c r="I271" s="411"/>
      <c r="J271" s="142"/>
      <c r="K271" s="411"/>
      <c r="L271" s="142"/>
      <c r="M271" s="411"/>
      <c r="N271" s="142"/>
      <c r="O271" s="403"/>
      <c r="P271" s="198"/>
      <c r="Q271" s="412"/>
      <c r="R271" s="76"/>
      <c r="S271" s="197"/>
      <c r="T271" s="198"/>
      <c r="U271" s="197"/>
      <c r="V271" s="198"/>
      <c r="W271" s="198"/>
      <c r="X271" s="198"/>
      <c r="Y271" s="198"/>
      <c r="Z271" s="198"/>
    </row>
    <row r="272">
      <c r="A272" s="403"/>
      <c r="B272" s="198"/>
      <c r="C272" s="403"/>
      <c r="D272" s="142"/>
      <c r="E272" s="403"/>
      <c r="F272" s="198"/>
      <c r="G272" s="403"/>
      <c r="H272" s="198"/>
      <c r="I272" s="411"/>
      <c r="J272" s="142"/>
      <c r="K272" s="411"/>
      <c r="L272" s="142"/>
      <c r="M272" s="411"/>
      <c r="N272" s="142"/>
      <c r="O272" s="403"/>
      <c r="P272" s="198"/>
      <c r="Q272" s="412"/>
      <c r="R272" s="76"/>
      <c r="S272" s="197"/>
      <c r="T272" s="198"/>
      <c r="U272" s="197"/>
      <c r="V272" s="198"/>
      <c r="W272" s="198"/>
      <c r="X272" s="198"/>
      <c r="Y272" s="198"/>
      <c r="Z272" s="198"/>
    </row>
    <row r="273">
      <c r="A273" s="403"/>
      <c r="B273" s="198"/>
      <c r="C273" s="403"/>
      <c r="D273" s="142"/>
      <c r="E273" s="403"/>
      <c r="F273" s="198"/>
      <c r="G273" s="403"/>
      <c r="H273" s="198"/>
      <c r="I273" s="411"/>
      <c r="J273" s="142"/>
      <c r="K273" s="411"/>
      <c r="L273" s="142"/>
      <c r="M273" s="411"/>
      <c r="N273" s="142"/>
      <c r="O273" s="403"/>
      <c r="P273" s="198"/>
      <c r="Q273" s="412"/>
      <c r="R273" s="76"/>
      <c r="S273" s="197"/>
      <c r="T273" s="198"/>
      <c r="U273" s="197"/>
      <c r="V273" s="198"/>
      <c r="W273" s="198"/>
      <c r="X273" s="198"/>
      <c r="Y273" s="198"/>
      <c r="Z273" s="198"/>
    </row>
    <row r="274">
      <c r="A274" s="403"/>
      <c r="B274" s="198"/>
      <c r="C274" s="403"/>
      <c r="D274" s="142"/>
      <c r="E274" s="403"/>
      <c r="F274" s="198"/>
      <c r="G274" s="403"/>
      <c r="H274" s="198"/>
      <c r="I274" s="411"/>
      <c r="J274" s="142"/>
      <c r="K274" s="411"/>
      <c r="L274" s="142"/>
      <c r="M274" s="411"/>
      <c r="N274" s="142"/>
      <c r="O274" s="403"/>
      <c r="P274" s="198"/>
      <c r="Q274" s="412"/>
      <c r="R274" s="76"/>
      <c r="S274" s="197"/>
      <c r="T274" s="198"/>
      <c r="U274" s="197"/>
      <c r="V274" s="198"/>
      <c r="W274" s="198"/>
      <c r="X274" s="198"/>
      <c r="Y274" s="198"/>
      <c r="Z274" s="198"/>
    </row>
    <row r="275">
      <c r="A275" s="403"/>
      <c r="B275" s="198"/>
      <c r="C275" s="403"/>
      <c r="D275" s="142"/>
      <c r="E275" s="403"/>
      <c r="F275" s="198"/>
      <c r="G275" s="403"/>
      <c r="H275" s="198"/>
      <c r="I275" s="411"/>
      <c r="J275" s="142"/>
      <c r="K275" s="411"/>
      <c r="L275" s="142"/>
      <c r="M275" s="411"/>
      <c r="N275" s="142"/>
      <c r="O275" s="403"/>
      <c r="P275" s="198"/>
      <c r="Q275" s="412"/>
      <c r="R275" s="76"/>
      <c r="S275" s="197"/>
      <c r="T275" s="198"/>
      <c r="U275" s="197"/>
      <c r="V275" s="198"/>
      <c r="W275" s="198"/>
      <c r="X275" s="198"/>
      <c r="Y275" s="198"/>
      <c r="Z275" s="198"/>
    </row>
    <row r="276">
      <c r="A276" s="403"/>
      <c r="B276" s="198"/>
      <c r="C276" s="403"/>
      <c r="D276" s="142"/>
      <c r="E276" s="403"/>
      <c r="F276" s="198"/>
      <c r="G276" s="403"/>
      <c r="H276" s="198"/>
      <c r="I276" s="411"/>
      <c r="J276" s="142"/>
      <c r="K276" s="411"/>
      <c r="L276" s="142"/>
      <c r="M276" s="411"/>
      <c r="N276" s="142"/>
      <c r="O276" s="403"/>
      <c r="P276" s="198"/>
      <c r="Q276" s="412"/>
      <c r="R276" s="76"/>
      <c r="S276" s="197"/>
      <c r="T276" s="198"/>
      <c r="U276" s="197"/>
      <c r="V276" s="198"/>
      <c r="W276" s="198"/>
      <c r="X276" s="198"/>
      <c r="Y276" s="198"/>
      <c r="Z276" s="198"/>
    </row>
    <row r="277">
      <c r="A277" s="403"/>
      <c r="B277" s="198"/>
      <c r="C277" s="403"/>
      <c r="D277" s="142"/>
      <c r="E277" s="403"/>
      <c r="F277" s="198"/>
      <c r="G277" s="403"/>
      <c r="H277" s="198"/>
      <c r="I277" s="411"/>
      <c r="J277" s="142"/>
      <c r="K277" s="411"/>
      <c r="L277" s="142"/>
      <c r="M277" s="411"/>
      <c r="N277" s="142"/>
      <c r="O277" s="403"/>
      <c r="P277" s="198"/>
      <c r="Q277" s="412"/>
      <c r="R277" s="76"/>
      <c r="S277" s="197"/>
      <c r="T277" s="198"/>
      <c r="U277" s="197"/>
      <c r="V277" s="198"/>
      <c r="W277" s="198"/>
      <c r="X277" s="198"/>
      <c r="Y277" s="198"/>
      <c r="Z277" s="198"/>
    </row>
    <row r="278">
      <c r="A278" s="403"/>
      <c r="B278" s="198"/>
      <c r="C278" s="403"/>
      <c r="D278" s="142"/>
      <c r="E278" s="403"/>
      <c r="F278" s="198"/>
      <c r="G278" s="403"/>
      <c r="H278" s="198"/>
      <c r="I278" s="411"/>
      <c r="J278" s="142"/>
      <c r="K278" s="411"/>
      <c r="L278" s="142"/>
      <c r="M278" s="411"/>
      <c r="N278" s="142"/>
      <c r="O278" s="403"/>
      <c r="P278" s="198"/>
      <c r="Q278" s="412"/>
      <c r="R278" s="76"/>
      <c r="S278" s="197"/>
      <c r="T278" s="198"/>
      <c r="U278" s="197"/>
      <c r="V278" s="198"/>
      <c r="W278" s="198"/>
      <c r="X278" s="198"/>
      <c r="Y278" s="198"/>
      <c r="Z278" s="198"/>
    </row>
    <row r="279">
      <c r="A279" s="403"/>
      <c r="B279" s="198"/>
      <c r="C279" s="403"/>
      <c r="D279" s="142"/>
      <c r="E279" s="403"/>
      <c r="F279" s="198"/>
      <c r="G279" s="403"/>
      <c r="H279" s="198"/>
      <c r="I279" s="411"/>
      <c r="J279" s="142"/>
      <c r="K279" s="411"/>
      <c r="L279" s="142"/>
      <c r="M279" s="411"/>
      <c r="N279" s="142"/>
      <c r="O279" s="403"/>
      <c r="P279" s="198"/>
      <c r="Q279" s="412"/>
      <c r="R279" s="76"/>
      <c r="S279" s="197"/>
      <c r="T279" s="198"/>
      <c r="U279" s="197"/>
      <c r="V279" s="198"/>
      <c r="W279" s="198"/>
      <c r="X279" s="198"/>
      <c r="Y279" s="198"/>
      <c r="Z279" s="198"/>
    </row>
    <row r="280">
      <c r="A280" s="403"/>
      <c r="B280" s="198"/>
      <c r="C280" s="403"/>
      <c r="D280" s="142"/>
      <c r="E280" s="403"/>
      <c r="F280" s="198"/>
      <c r="G280" s="403"/>
      <c r="H280" s="198"/>
      <c r="I280" s="411"/>
      <c r="J280" s="142"/>
      <c r="K280" s="411"/>
      <c r="L280" s="142"/>
      <c r="M280" s="411"/>
      <c r="N280" s="142"/>
      <c r="O280" s="403"/>
      <c r="P280" s="198"/>
      <c r="Q280" s="412"/>
      <c r="R280" s="76"/>
      <c r="S280" s="197"/>
      <c r="T280" s="198"/>
      <c r="U280" s="197"/>
      <c r="V280" s="198"/>
      <c r="W280" s="198"/>
      <c r="X280" s="198"/>
      <c r="Y280" s="198"/>
      <c r="Z280" s="198"/>
    </row>
    <row r="281">
      <c r="A281" s="403"/>
      <c r="B281" s="198"/>
      <c r="C281" s="403"/>
      <c r="D281" s="142"/>
      <c r="E281" s="403"/>
      <c r="F281" s="198"/>
      <c r="G281" s="403"/>
      <c r="H281" s="198"/>
      <c r="I281" s="411"/>
      <c r="J281" s="142"/>
      <c r="K281" s="411"/>
      <c r="L281" s="142"/>
      <c r="M281" s="411"/>
      <c r="N281" s="142"/>
      <c r="O281" s="403"/>
      <c r="P281" s="198"/>
      <c r="Q281" s="412"/>
      <c r="R281" s="76"/>
      <c r="S281" s="197"/>
      <c r="T281" s="198"/>
      <c r="U281" s="197"/>
      <c r="V281" s="198"/>
      <c r="W281" s="198"/>
      <c r="X281" s="198"/>
      <c r="Y281" s="198"/>
      <c r="Z281" s="198"/>
    </row>
    <row r="282">
      <c r="A282" s="403"/>
      <c r="B282" s="198"/>
      <c r="C282" s="403"/>
      <c r="D282" s="142"/>
      <c r="E282" s="403"/>
      <c r="F282" s="198"/>
      <c r="G282" s="403"/>
      <c r="H282" s="198"/>
      <c r="I282" s="411"/>
      <c r="J282" s="142"/>
      <c r="K282" s="411"/>
      <c r="L282" s="142"/>
      <c r="M282" s="411"/>
      <c r="N282" s="142"/>
      <c r="O282" s="403"/>
      <c r="P282" s="198"/>
      <c r="Q282" s="412"/>
      <c r="R282" s="76"/>
      <c r="S282" s="197"/>
      <c r="T282" s="198"/>
      <c r="U282" s="197"/>
      <c r="V282" s="198"/>
      <c r="W282" s="198"/>
      <c r="X282" s="198"/>
      <c r="Y282" s="198"/>
      <c r="Z282" s="198"/>
    </row>
    <row r="283">
      <c r="A283" s="403"/>
      <c r="B283" s="198"/>
      <c r="C283" s="403"/>
      <c r="D283" s="142"/>
      <c r="E283" s="403"/>
      <c r="F283" s="198"/>
      <c r="G283" s="403"/>
      <c r="H283" s="198"/>
      <c r="I283" s="411"/>
      <c r="J283" s="142"/>
      <c r="K283" s="411"/>
      <c r="L283" s="142"/>
      <c r="M283" s="411"/>
      <c r="N283" s="142"/>
      <c r="O283" s="403"/>
      <c r="P283" s="198"/>
      <c r="Q283" s="412"/>
      <c r="R283" s="76"/>
      <c r="S283" s="197"/>
      <c r="T283" s="198"/>
      <c r="U283" s="197"/>
      <c r="V283" s="198"/>
      <c r="W283" s="198"/>
      <c r="X283" s="198"/>
      <c r="Y283" s="198"/>
      <c r="Z283" s="198"/>
    </row>
    <row r="284">
      <c r="A284" s="403"/>
      <c r="B284" s="198"/>
      <c r="C284" s="403"/>
      <c r="D284" s="142"/>
      <c r="E284" s="403"/>
      <c r="F284" s="198"/>
      <c r="G284" s="403"/>
      <c r="H284" s="198"/>
      <c r="I284" s="411"/>
      <c r="J284" s="142"/>
      <c r="K284" s="411"/>
      <c r="L284" s="142"/>
      <c r="M284" s="411"/>
      <c r="N284" s="142"/>
      <c r="O284" s="403"/>
      <c r="P284" s="198"/>
      <c r="Q284" s="412"/>
      <c r="R284" s="76"/>
      <c r="S284" s="197"/>
      <c r="T284" s="198"/>
      <c r="U284" s="197"/>
      <c r="V284" s="198"/>
      <c r="W284" s="198"/>
      <c r="X284" s="198"/>
      <c r="Y284" s="198"/>
      <c r="Z284" s="198"/>
    </row>
    <row r="285">
      <c r="A285" s="403"/>
      <c r="B285" s="198"/>
      <c r="C285" s="403"/>
      <c r="D285" s="142"/>
      <c r="E285" s="403"/>
      <c r="F285" s="198"/>
      <c r="G285" s="403"/>
      <c r="H285" s="198"/>
      <c r="I285" s="411"/>
      <c r="J285" s="142"/>
      <c r="K285" s="411"/>
      <c r="L285" s="142"/>
      <c r="M285" s="411"/>
      <c r="N285" s="142"/>
      <c r="O285" s="403"/>
      <c r="P285" s="198"/>
      <c r="Q285" s="412"/>
      <c r="R285" s="76"/>
      <c r="S285" s="197"/>
      <c r="T285" s="198"/>
      <c r="U285" s="197"/>
      <c r="V285" s="198"/>
      <c r="W285" s="198"/>
      <c r="X285" s="198"/>
      <c r="Y285" s="198"/>
      <c r="Z285" s="198"/>
    </row>
    <row r="286">
      <c r="A286" s="403"/>
      <c r="B286" s="198"/>
      <c r="C286" s="403"/>
      <c r="D286" s="142"/>
      <c r="E286" s="403"/>
      <c r="F286" s="198"/>
      <c r="G286" s="403"/>
      <c r="H286" s="198"/>
      <c r="I286" s="411"/>
      <c r="J286" s="142"/>
      <c r="K286" s="411"/>
      <c r="L286" s="142"/>
      <c r="M286" s="411"/>
      <c r="N286" s="142"/>
      <c r="O286" s="403"/>
      <c r="P286" s="198"/>
      <c r="Q286" s="412"/>
      <c r="R286" s="76"/>
      <c r="S286" s="197"/>
      <c r="T286" s="198"/>
      <c r="U286" s="197"/>
      <c r="V286" s="198"/>
      <c r="W286" s="198"/>
      <c r="X286" s="198"/>
      <c r="Y286" s="198"/>
      <c r="Z286" s="198"/>
    </row>
    <row r="287">
      <c r="A287" s="403"/>
      <c r="B287" s="198"/>
      <c r="C287" s="403"/>
      <c r="D287" s="142"/>
      <c r="E287" s="403"/>
      <c r="F287" s="198"/>
      <c r="G287" s="403"/>
      <c r="H287" s="198"/>
      <c r="I287" s="411"/>
      <c r="J287" s="142"/>
      <c r="K287" s="411"/>
      <c r="L287" s="142"/>
      <c r="M287" s="411"/>
      <c r="N287" s="142"/>
      <c r="O287" s="403"/>
      <c r="P287" s="198"/>
      <c r="Q287" s="412"/>
      <c r="R287" s="76"/>
      <c r="S287" s="197"/>
      <c r="T287" s="198"/>
      <c r="U287" s="197"/>
      <c r="V287" s="198"/>
      <c r="W287" s="198"/>
      <c r="X287" s="198"/>
      <c r="Y287" s="198"/>
      <c r="Z287" s="198"/>
    </row>
    <row r="288">
      <c r="A288" s="403"/>
      <c r="B288" s="198"/>
      <c r="C288" s="403"/>
      <c r="D288" s="142"/>
      <c r="E288" s="403"/>
      <c r="F288" s="198"/>
      <c r="G288" s="403"/>
      <c r="H288" s="198"/>
      <c r="I288" s="411"/>
      <c r="J288" s="142"/>
      <c r="K288" s="411"/>
      <c r="L288" s="142"/>
      <c r="M288" s="411"/>
      <c r="N288" s="142"/>
      <c r="O288" s="403"/>
      <c r="P288" s="198"/>
      <c r="Q288" s="412"/>
      <c r="R288" s="76"/>
      <c r="S288" s="197"/>
      <c r="T288" s="198"/>
      <c r="U288" s="197"/>
      <c r="V288" s="198"/>
      <c r="W288" s="198"/>
      <c r="X288" s="198"/>
      <c r="Y288" s="198"/>
      <c r="Z288" s="198"/>
    </row>
    <row r="289">
      <c r="A289" s="403"/>
      <c r="B289" s="198"/>
      <c r="C289" s="403"/>
      <c r="D289" s="142"/>
      <c r="E289" s="403"/>
      <c r="F289" s="198"/>
      <c r="G289" s="403"/>
      <c r="H289" s="198"/>
      <c r="I289" s="411"/>
      <c r="J289" s="142"/>
      <c r="K289" s="411"/>
      <c r="L289" s="142"/>
      <c r="M289" s="411"/>
      <c r="N289" s="142"/>
      <c r="O289" s="403"/>
      <c r="P289" s="198"/>
      <c r="Q289" s="412"/>
      <c r="R289" s="76"/>
      <c r="S289" s="197"/>
      <c r="T289" s="198"/>
      <c r="U289" s="197"/>
      <c r="V289" s="198"/>
      <c r="W289" s="198"/>
      <c r="X289" s="198"/>
      <c r="Y289" s="198"/>
      <c r="Z289" s="198"/>
    </row>
    <row r="290">
      <c r="A290" s="403"/>
      <c r="B290" s="198"/>
      <c r="C290" s="403"/>
      <c r="D290" s="142"/>
      <c r="E290" s="403"/>
      <c r="F290" s="198"/>
      <c r="G290" s="403"/>
      <c r="H290" s="198"/>
      <c r="I290" s="411"/>
      <c r="J290" s="142"/>
      <c r="K290" s="411"/>
      <c r="L290" s="142"/>
      <c r="M290" s="411"/>
      <c r="N290" s="142"/>
      <c r="O290" s="403"/>
      <c r="P290" s="198"/>
      <c r="Q290" s="412"/>
      <c r="R290" s="76"/>
      <c r="S290" s="197"/>
      <c r="T290" s="198"/>
      <c r="U290" s="197"/>
      <c r="V290" s="198"/>
      <c r="W290" s="198"/>
      <c r="X290" s="198"/>
      <c r="Y290" s="198"/>
      <c r="Z290" s="198"/>
    </row>
    <row r="291">
      <c r="A291" s="403"/>
      <c r="B291" s="198"/>
      <c r="C291" s="403"/>
      <c r="D291" s="142"/>
      <c r="E291" s="403"/>
      <c r="F291" s="198"/>
      <c r="G291" s="403"/>
      <c r="H291" s="198"/>
      <c r="I291" s="411"/>
      <c r="J291" s="142"/>
      <c r="K291" s="411"/>
      <c r="L291" s="142"/>
      <c r="M291" s="411"/>
      <c r="N291" s="142"/>
      <c r="O291" s="403"/>
      <c r="P291" s="198"/>
      <c r="Q291" s="412"/>
      <c r="R291" s="76"/>
      <c r="S291" s="197"/>
      <c r="T291" s="198"/>
      <c r="U291" s="197"/>
      <c r="V291" s="198"/>
      <c r="W291" s="198"/>
      <c r="X291" s="198"/>
      <c r="Y291" s="198"/>
      <c r="Z291" s="198"/>
    </row>
    <row r="292">
      <c r="A292" s="403"/>
      <c r="B292" s="198"/>
      <c r="C292" s="403"/>
      <c r="D292" s="142"/>
      <c r="E292" s="403"/>
      <c r="F292" s="198"/>
      <c r="G292" s="403"/>
      <c r="H292" s="198"/>
      <c r="I292" s="411"/>
      <c r="J292" s="142"/>
      <c r="K292" s="411"/>
      <c r="L292" s="142"/>
      <c r="M292" s="411"/>
      <c r="N292" s="142"/>
      <c r="O292" s="403"/>
      <c r="P292" s="198"/>
      <c r="Q292" s="412"/>
      <c r="R292" s="76"/>
      <c r="S292" s="197"/>
      <c r="T292" s="198"/>
      <c r="U292" s="197"/>
      <c r="V292" s="198"/>
      <c r="W292" s="198"/>
      <c r="X292" s="198"/>
      <c r="Y292" s="198"/>
      <c r="Z292" s="198"/>
    </row>
    <row r="293">
      <c r="A293" s="403"/>
      <c r="B293" s="198"/>
      <c r="C293" s="403"/>
      <c r="D293" s="142"/>
      <c r="E293" s="403"/>
      <c r="F293" s="198"/>
      <c r="G293" s="403"/>
      <c r="H293" s="198"/>
      <c r="I293" s="411"/>
      <c r="J293" s="142"/>
      <c r="K293" s="411"/>
      <c r="L293" s="142"/>
      <c r="M293" s="411"/>
      <c r="N293" s="142"/>
      <c r="O293" s="403"/>
      <c r="P293" s="198"/>
      <c r="Q293" s="412"/>
      <c r="R293" s="76"/>
      <c r="S293" s="197"/>
      <c r="T293" s="198"/>
      <c r="U293" s="197"/>
      <c r="V293" s="198"/>
      <c r="W293" s="198"/>
      <c r="X293" s="198"/>
      <c r="Y293" s="198"/>
      <c r="Z293" s="198"/>
    </row>
    <row r="294">
      <c r="A294" s="403"/>
      <c r="B294" s="198"/>
      <c r="C294" s="403"/>
      <c r="D294" s="142"/>
      <c r="E294" s="403"/>
      <c r="F294" s="198"/>
      <c r="G294" s="403"/>
      <c r="H294" s="198"/>
      <c r="I294" s="411"/>
      <c r="J294" s="142"/>
      <c r="K294" s="411"/>
      <c r="L294" s="142"/>
      <c r="M294" s="411"/>
      <c r="N294" s="142"/>
      <c r="O294" s="403"/>
      <c r="P294" s="198"/>
      <c r="Q294" s="412"/>
      <c r="R294" s="76"/>
      <c r="S294" s="197"/>
      <c r="T294" s="198"/>
      <c r="U294" s="197"/>
      <c r="V294" s="198"/>
      <c r="W294" s="198"/>
      <c r="X294" s="198"/>
      <c r="Y294" s="198"/>
      <c r="Z294" s="198"/>
    </row>
    <row r="295">
      <c r="A295" s="403"/>
      <c r="B295" s="198"/>
      <c r="C295" s="403"/>
      <c r="D295" s="142"/>
      <c r="E295" s="403"/>
      <c r="F295" s="198"/>
      <c r="G295" s="403"/>
      <c r="H295" s="198"/>
      <c r="I295" s="411"/>
      <c r="J295" s="142"/>
      <c r="K295" s="411"/>
      <c r="L295" s="142"/>
      <c r="M295" s="411"/>
      <c r="N295" s="142"/>
      <c r="O295" s="403"/>
      <c r="P295" s="198"/>
      <c r="Q295" s="412"/>
      <c r="R295" s="76"/>
      <c r="S295" s="197"/>
      <c r="T295" s="198"/>
      <c r="U295" s="197"/>
      <c r="V295" s="198"/>
      <c r="W295" s="198"/>
      <c r="X295" s="198"/>
      <c r="Y295" s="198"/>
      <c r="Z295" s="198"/>
    </row>
    <row r="296">
      <c r="A296" s="403"/>
      <c r="B296" s="198"/>
      <c r="C296" s="403"/>
      <c r="D296" s="142"/>
      <c r="E296" s="403"/>
      <c r="F296" s="198"/>
      <c r="G296" s="403"/>
      <c r="H296" s="198"/>
      <c r="I296" s="411"/>
      <c r="J296" s="142"/>
      <c r="K296" s="411"/>
      <c r="L296" s="142"/>
      <c r="M296" s="411"/>
      <c r="N296" s="142"/>
      <c r="O296" s="403"/>
      <c r="P296" s="198"/>
      <c r="Q296" s="412"/>
      <c r="R296" s="76"/>
      <c r="S296" s="197"/>
      <c r="T296" s="198"/>
      <c r="U296" s="197"/>
      <c r="V296" s="198"/>
      <c r="W296" s="198"/>
      <c r="X296" s="198"/>
      <c r="Y296" s="198"/>
      <c r="Z296" s="198"/>
    </row>
    <row r="297">
      <c r="A297" s="403"/>
      <c r="B297" s="198"/>
      <c r="C297" s="403"/>
      <c r="D297" s="142"/>
      <c r="E297" s="403"/>
      <c r="F297" s="198"/>
      <c r="G297" s="403"/>
      <c r="H297" s="198"/>
      <c r="I297" s="411"/>
      <c r="J297" s="142"/>
      <c r="K297" s="411"/>
      <c r="L297" s="142"/>
      <c r="M297" s="411"/>
      <c r="N297" s="142"/>
      <c r="O297" s="403"/>
      <c r="P297" s="198"/>
      <c r="Q297" s="412"/>
      <c r="R297" s="76"/>
      <c r="S297" s="197"/>
      <c r="T297" s="198"/>
      <c r="U297" s="197"/>
      <c r="V297" s="198"/>
      <c r="W297" s="198"/>
      <c r="X297" s="198"/>
      <c r="Y297" s="198"/>
      <c r="Z297" s="198"/>
    </row>
    <row r="298">
      <c r="A298" s="403"/>
      <c r="B298" s="198"/>
      <c r="C298" s="403"/>
      <c r="D298" s="142"/>
      <c r="E298" s="403"/>
      <c r="F298" s="198"/>
      <c r="G298" s="403"/>
      <c r="H298" s="198"/>
      <c r="I298" s="411"/>
      <c r="J298" s="142"/>
      <c r="K298" s="411"/>
      <c r="L298" s="142"/>
      <c r="M298" s="411"/>
      <c r="N298" s="142"/>
      <c r="O298" s="403"/>
      <c r="P298" s="198"/>
      <c r="Q298" s="412"/>
      <c r="R298" s="76"/>
      <c r="S298" s="197"/>
      <c r="T298" s="198"/>
      <c r="U298" s="197"/>
      <c r="V298" s="198"/>
      <c r="W298" s="198"/>
      <c r="X298" s="198"/>
      <c r="Y298" s="198"/>
      <c r="Z298" s="198"/>
    </row>
    <row r="299">
      <c r="A299" s="403"/>
      <c r="B299" s="198"/>
      <c r="C299" s="403"/>
      <c r="D299" s="142"/>
      <c r="E299" s="403"/>
      <c r="F299" s="198"/>
      <c r="G299" s="403"/>
      <c r="H299" s="198"/>
      <c r="I299" s="411"/>
      <c r="J299" s="142"/>
      <c r="K299" s="411"/>
      <c r="L299" s="142"/>
      <c r="M299" s="411"/>
      <c r="N299" s="142"/>
      <c r="O299" s="403"/>
      <c r="P299" s="198"/>
      <c r="Q299" s="412"/>
      <c r="R299" s="76"/>
      <c r="S299" s="197"/>
      <c r="T299" s="198"/>
      <c r="U299" s="197"/>
      <c r="V299" s="198"/>
      <c r="W299" s="198"/>
      <c r="X299" s="198"/>
      <c r="Y299" s="198"/>
      <c r="Z299" s="198"/>
    </row>
    <row r="300">
      <c r="A300" s="403"/>
      <c r="B300" s="198"/>
      <c r="C300" s="403"/>
      <c r="D300" s="142"/>
      <c r="E300" s="403"/>
      <c r="F300" s="198"/>
      <c r="G300" s="403"/>
      <c r="H300" s="198"/>
      <c r="I300" s="411"/>
      <c r="J300" s="142"/>
      <c r="K300" s="411"/>
      <c r="L300" s="142"/>
      <c r="M300" s="411"/>
      <c r="N300" s="142"/>
      <c r="O300" s="403"/>
      <c r="P300" s="198"/>
      <c r="Q300" s="412"/>
      <c r="R300" s="76"/>
      <c r="S300" s="197"/>
      <c r="T300" s="198"/>
      <c r="U300" s="197"/>
      <c r="V300" s="198"/>
      <c r="W300" s="198"/>
      <c r="X300" s="198"/>
      <c r="Y300" s="198"/>
      <c r="Z300" s="198"/>
    </row>
    <row r="301">
      <c r="A301" s="403"/>
      <c r="B301" s="198"/>
      <c r="C301" s="403"/>
      <c r="D301" s="142"/>
      <c r="E301" s="403"/>
      <c r="F301" s="198"/>
      <c r="G301" s="403"/>
      <c r="H301" s="198"/>
      <c r="I301" s="411"/>
      <c r="J301" s="142"/>
      <c r="K301" s="411"/>
      <c r="L301" s="142"/>
      <c r="M301" s="411"/>
      <c r="N301" s="142"/>
      <c r="O301" s="403"/>
      <c r="P301" s="198"/>
      <c r="Q301" s="412"/>
      <c r="R301" s="76"/>
      <c r="S301" s="197"/>
      <c r="T301" s="198"/>
      <c r="U301" s="197"/>
      <c r="V301" s="198"/>
      <c r="W301" s="198"/>
      <c r="X301" s="198"/>
      <c r="Y301" s="198"/>
      <c r="Z301" s="198"/>
    </row>
    <row r="302">
      <c r="A302" s="403"/>
      <c r="B302" s="198"/>
      <c r="C302" s="403"/>
      <c r="D302" s="142"/>
      <c r="E302" s="403"/>
      <c r="F302" s="198"/>
      <c r="G302" s="403"/>
      <c r="H302" s="198"/>
      <c r="I302" s="411"/>
      <c r="J302" s="142"/>
      <c r="K302" s="411"/>
      <c r="L302" s="142"/>
      <c r="M302" s="411"/>
      <c r="N302" s="142"/>
      <c r="O302" s="403"/>
      <c r="P302" s="198"/>
      <c r="Q302" s="412"/>
      <c r="R302" s="76"/>
      <c r="S302" s="197"/>
      <c r="T302" s="198"/>
      <c r="U302" s="197"/>
      <c r="V302" s="198"/>
      <c r="W302" s="198"/>
      <c r="X302" s="198"/>
      <c r="Y302" s="198"/>
      <c r="Z302" s="198"/>
    </row>
    <row r="303">
      <c r="A303" s="403"/>
      <c r="B303" s="198"/>
      <c r="C303" s="403"/>
      <c r="D303" s="142"/>
      <c r="E303" s="403"/>
      <c r="F303" s="198"/>
      <c r="G303" s="403"/>
      <c r="H303" s="198"/>
      <c r="I303" s="411"/>
      <c r="J303" s="142"/>
      <c r="K303" s="411"/>
      <c r="L303" s="142"/>
      <c r="M303" s="411"/>
      <c r="N303" s="142"/>
      <c r="O303" s="403"/>
      <c r="P303" s="198"/>
      <c r="Q303" s="412"/>
      <c r="R303" s="76"/>
      <c r="S303" s="197"/>
      <c r="T303" s="198"/>
      <c r="U303" s="197"/>
      <c r="V303" s="198"/>
      <c r="W303" s="198"/>
      <c r="X303" s="198"/>
      <c r="Y303" s="198"/>
      <c r="Z303" s="198"/>
    </row>
    <row r="304">
      <c r="A304" s="403"/>
      <c r="B304" s="198"/>
      <c r="C304" s="403"/>
      <c r="D304" s="142"/>
      <c r="E304" s="403"/>
      <c r="F304" s="198"/>
      <c r="G304" s="403"/>
      <c r="H304" s="198"/>
      <c r="I304" s="411"/>
      <c r="J304" s="142"/>
      <c r="K304" s="411"/>
      <c r="L304" s="142"/>
      <c r="M304" s="411"/>
      <c r="N304" s="142"/>
      <c r="O304" s="403"/>
      <c r="P304" s="198"/>
      <c r="Q304" s="412"/>
      <c r="R304" s="76"/>
      <c r="S304" s="197"/>
      <c r="T304" s="198"/>
      <c r="U304" s="197"/>
      <c r="V304" s="198"/>
      <c r="W304" s="198"/>
      <c r="X304" s="198"/>
      <c r="Y304" s="198"/>
      <c r="Z304" s="198"/>
    </row>
    <row r="305">
      <c r="A305" s="403"/>
      <c r="B305" s="198"/>
      <c r="C305" s="403"/>
      <c r="D305" s="142"/>
      <c r="E305" s="403"/>
      <c r="F305" s="198"/>
      <c r="G305" s="403"/>
      <c r="H305" s="198"/>
      <c r="I305" s="411"/>
      <c r="J305" s="142"/>
      <c r="K305" s="411"/>
      <c r="L305" s="142"/>
      <c r="M305" s="411"/>
      <c r="N305" s="142"/>
      <c r="O305" s="403"/>
      <c r="P305" s="198"/>
      <c r="Q305" s="412"/>
      <c r="R305" s="76"/>
      <c r="S305" s="197"/>
      <c r="T305" s="198"/>
      <c r="U305" s="197"/>
      <c r="V305" s="198"/>
      <c r="W305" s="198"/>
      <c r="X305" s="198"/>
      <c r="Y305" s="198"/>
      <c r="Z305" s="198"/>
    </row>
    <row r="306">
      <c r="A306" s="403"/>
      <c r="B306" s="198"/>
      <c r="C306" s="403"/>
      <c r="D306" s="142"/>
      <c r="E306" s="403"/>
      <c r="F306" s="198"/>
      <c r="G306" s="403"/>
      <c r="H306" s="198"/>
      <c r="I306" s="411"/>
      <c r="J306" s="142"/>
      <c r="K306" s="411"/>
      <c r="L306" s="142"/>
      <c r="M306" s="411"/>
      <c r="N306" s="142"/>
      <c r="O306" s="403"/>
      <c r="P306" s="198"/>
      <c r="Q306" s="412"/>
      <c r="R306" s="76"/>
      <c r="S306" s="197"/>
      <c r="T306" s="198"/>
      <c r="U306" s="197"/>
      <c r="V306" s="198"/>
      <c r="W306" s="198"/>
      <c r="X306" s="198"/>
      <c r="Y306" s="198"/>
      <c r="Z306" s="198"/>
    </row>
    <row r="307">
      <c r="A307" s="403"/>
      <c r="B307" s="198"/>
      <c r="C307" s="403"/>
      <c r="D307" s="142"/>
      <c r="E307" s="403"/>
      <c r="F307" s="198"/>
      <c r="G307" s="403"/>
      <c r="H307" s="198"/>
      <c r="I307" s="411"/>
      <c r="J307" s="142"/>
      <c r="K307" s="411"/>
      <c r="L307" s="142"/>
      <c r="M307" s="411"/>
      <c r="N307" s="142"/>
      <c r="O307" s="403"/>
      <c r="P307" s="198"/>
      <c r="Q307" s="412"/>
      <c r="R307" s="76"/>
      <c r="S307" s="197"/>
      <c r="T307" s="198"/>
      <c r="U307" s="197"/>
      <c r="V307" s="198"/>
      <c r="W307" s="198"/>
      <c r="X307" s="198"/>
      <c r="Y307" s="198"/>
      <c r="Z307" s="198"/>
    </row>
    <row r="308">
      <c r="A308" s="403"/>
      <c r="B308" s="198"/>
      <c r="C308" s="403"/>
      <c r="D308" s="142"/>
      <c r="E308" s="403"/>
      <c r="F308" s="198"/>
      <c r="G308" s="403"/>
      <c r="H308" s="198"/>
      <c r="I308" s="411"/>
      <c r="J308" s="142"/>
      <c r="K308" s="411"/>
      <c r="L308" s="142"/>
      <c r="M308" s="411"/>
      <c r="N308" s="142"/>
      <c r="O308" s="403"/>
      <c r="P308" s="198"/>
      <c r="Q308" s="412"/>
      <c r="R308" s="76"/>
      <c r="S308" s="197"/>
      <c r="T308" s="198"/>
      <c r="U308" s="197"/>
      <c r="V308" s="198"/>
      <c r="W308" s="198"/>
      <c r="X308" s="198"/>
      <c r="Y308" s="198"/>
      <c r="Z308" s="198"/>
    </row>
    <row r="309">
      <c r="A309" s="403"/>
      <c r="B309" s="198"/>
      <c r="C309" s="403"/>
      <c r="D309" s="142"/>
      <c r="E309" s="403"/>
      <c r="F309" s="198"/>
      <c r="G309" s="403"/>
      <c r="H309" s="198"/>
      <c r="I309" s="411"/>
      <c r="J309" s="142"/>
      <c r="K309" s="411"/>
      <c r="L309" s="142"/>
      <c r="M309" s="411"/>
      <c r="N309" s="142"/>
      <c r="O309" s="403"/>
      <c r="P309" s="198"/>
      <c r="Q309" s="412"/>
      <c r="R309" s="76"/>
      <c r="S309" s="197"/>
      <c r="T309" s="198"/>
      <c r="U309" s="197"/>
      <c r="V309" s="198"/>
      <c r="W309" s="198"/>
      <c r="X309" s="198"/>
      <c r="Y309" s="198"/>
      <c r="Z309" s="198"/>
    </row>
    <row r="310">
      <c r="A310" s="403"/>
      <c r="B310" s="198"/>
      <c r="C310" s="403"/>
      <c r="D310" s="142"/>
      <c r="E310" s="403"/>
      <c r="F310" s="198"/>
      <c r="G310" s="403"/>
      <c r="H310" s="198"/>
      <c r="I310" s="411"/>
      <c r="J310" s="142"/>
      <c r="K310" s="411"/>
      <c r="L310" s="142"/>
      <c r="M310" s="411"/>
      <c r="N310" s="142"/>
      <c r="O310" s="403"/>
      <c r="P310" s="198"/>
      <c r="Q310" s="412"/>
      <c r="R310" s="76"/>
      <c r="S310" s="197"/>
      <c r="T310" s="198"/>
      <c r="U310" s="197"/>
      <c r="V310" s="198"/>
      <c r="W310" s="198"/>
      <c r="X310" s="198"/>
      <c r="Y310" s="198"/>
      <c r="Z310" s="198"/>
    </row>
    <row r="311">
      <c r="A311" s="403"/>
      <c r="B311" s="198"/>
      <c r="C311" s="403"/>
      <c r="D311" s="142"/>
      <c r="E311" s="403"/>
      <c r="F311" s="198"/>
      <c r="G311" s="403"/>
      <c r="H311" s="198"/>
      <c r="I311" s="411"/>
      <c r="J311" s="142"/>
      <c r="K311" s="411"/>
      <c r="L311" s="142"/>
      <c r="M311" s="411"/>
      <c r="N311" s="142"/>
      <c r="O311" s="403"/>
      <c r="P311" s="198"/>
      <c r="Q311" s="412"/>
      <c r="R311" s="76"/>
      <c r="S311" s="197"/>
      <c r="T311" s="198"/>
      <c r="U311" s="197"/>
      <c r="V311" s="198"/>
      <c r="W311" s="198"/>
      <c r="X311" s="198"/>
      <c r="Y311" s="198"/>
      <c r="Z311" s="198"/>
    </row>
    <row r="312">
      <c r="A312" s="403"/>
      <c r="B312" s="198"/>
      <c r="C312" s="403"/>
      <c r="D312" s="142"/>
      <c r="E312" s="403"/>
      <c r="F312" s="198"/>
      <c r="G312" s="403"/>
      <c r="H312" s="198"/>
      <c r="I312" s="411"/>
      <c r="J312" s="142"/>
      <c r="K312" s="411"/>
      <c r="L312" s="142"/>
      <c r="M312" s="411"/>
      <c r="N312" s="142"/>
      <c r="O312" s="403"/>
      <c r="P312" s="198"/>
      <c r="Q312" s="412"/>
      <c r="R312" s="76"/>
      <c r="S312" s="197"/>
      <c r="T312" s="198"/>
      <c r="U312" s="197"/>
      <c r="V312" s="198"/>
      <c r="W312" s="198"/>
      <c r="X312" s="198"/>
      <c r="Y312" s="198"/>
      <c r="Z312" s="198"/>
    </row>
    <row r="313">
      <c r="A313" s="403"/>
      <c r="B313" s="198"/>
      <c r="C313" s="403"/>
      <c r="D313" s="142"/>
      <c r="E313" s="403"/>
      <c r="F313" s="198"/>
      <c r="G313" s="403"/>
      <c r="H313" s="198"/>
      <c r="I313" s="411"/>
      <c r="J313" s="142"/>
      <c r="K313" s="411"/>
      <c r="L313" s="142"/>
      <c r="M313" s="411"/>
      <c r="N313" s="142"/>
      <c r="O313" s="403"/>
      <c r="P313" s="198"/>
      <c r="Q313" s="412"/>
      <c r="R313" s="76"/>
      <c r="S313" s="197"/>
      <c r="T313" s="198"/>
      <c r="U313" s="197"/>
      <c r="V313" s="198"/>
      <c r="W313" s="198"/>
      <c r="X313" s="198"/>
      <c r="Y313" s="198"/>
      <c r="Z313" s="198"/>
    </row>
    <row r="314">
      <c r="A314" s="403"/>
      <c r="B314" s="198"/>
      <c r="C314" s="403"/>
      <c r="D314" s="142"/>
      <c r="E314" s="403"/>
      <c r="F314" s="198"/>
      <c r="G314" s="403"/>
      <c r="H314" s="198"/>
      <c r="I314" s="411"/>
      <c r="J314" s="142"/>
      <c r="K314" s="411"/>
      <c r="L314" s="142"/>
      <c r="M314" s="411"/>
      <c r="N314" s="142"/>
      <c r="O314" s="403"/>
      <c r="P314" s="198"/>
      <c r="Q314" s="412"/>
      <c r="R314" s="76"/>
      <c r="S314" s="197"/>
      <c r="T314" s="198"/>
      <c r="U314" s="197"/>
      <c r="V314" s="198"/>
      <c r="W314" s="198"/>
      <c r="X314" s="198"/>
      <c r="Y314" s="198"/>
      <c r="Z314" s="198"/>
    </row>
    <row r="315">
      <c r="A315" s="403"/>
      <c r="B315" s="198"/>
      <c r="C315" s="403"/>
      <c r="D315" s="142"/>
      <c r="E315" s="403"/>
      <c r="F315" s="198"/>
      <c r="G315" s="403"/>
      <c r="H315" s="198"/>
      <c r="I315" s="411"/>
      <c r="J315" s="142"/>
      <c r="K315" s="411"/>
      <c r="L315" s="142"/>
      <c r="M315" s="411"/>
      <c r="N315" s="142"/>
      <c r="O315" s="403"/>
      <c r="P315" s="198"/>
      <c r="Q315" s="412"/>
      <c r="R315" s="76"/>
      <c r="S315" s="197"/>
      <c r="T315" s="198"/>
      <c r="U315" s="197"/>
      <c r="V315" s="198"/>
      <c r="W315" s="198"/>
      <c r="X315" s="198"/>
      <c r="Y315" s="198"/>
      <c r="Z315" s="198"/>
    </row>
    <row r="316">
      <c r="A316" s="403"/>
      <c r="B316" s="198"/>
      <c r="C316" s="403"/>
      <c r="D316" s="142"/>
      <c r="E316" s="403"/>
      <c r="F316" s="198"/>
      <c r="G316" s="403"/>
      <c r="H316" s="198"/>
      <c r="I316" s="411"/>
      <c r="J316" s="142"/>
      <c r="K316" s="411"/>
      <c r="L316" s="142"/>
      <c r="M316" s="411"/>
      <c r="N316" s="142"/>
      <c r="O316" s="403"/>
      <c r="P316" s="198"/>
      <c r="Q316" s="412"/>
      <c r="R316" s="76"/>
      <c r="S316" s="197"/>
      <c r="T316" s="198"/>
      <c r="U316" s="197"/>
      <c r="V316" s="198"/>
      <c r="W316" s="198"/>
      <c r="X316" s="198"/>
      <c r="Y316" s="198"/>
      <c r="Z316" s="198"/>
    </row>
    <row r="317">
      <c r="A317" s="403"/>
      <c r="B317" s="198"/>
      <c r="C317" s="403"/>
      <c r="D317" s="142"/>
      <c r="E317" s="403"/>
      <c r="F317" s="198"/>
      <c r="G317" s="403"/>
      <c r="H317" s="198"/>
      <c r="I317" s="411"/>
      <c r="J317" s="142"/>
      <c r="K317" s="411"/>
      <c r="L317" s="142"/>
      <c r="M317" s="411"/>
      <c r="N317" s="142"/>
      <c r="O317" s="403"/>
      <c r="P317" s="198"/>
      <c r="Q317" s="412"/>
      <c r="R317" s="76"/>
      <c r="S317" s="197"/>
      <c r="T317" s="198"/>
      <c r="U317" s="197"/>
      <c r="V317" s="198"/>
      <c r="W317" s="198"/>
      <c r="X317" s="198"/>
      <c r="Y317" s="198"/>
      <c r="Z317" s="198"/>
    </row>
    <row r="318">
      <c r="A318" s="403"/>
      <c r="B318" s="198"/>
      <c r="C318" s="403"/>
      <c r="D318" s="142"/>
      <c r="E318" s="403"/>
      <c r="F318" s="198"/>
      <c r="G318" s="403"/>
      <c r="H318" s="198"/>
      <c r="I318" s="411"/>
      <c r="J318" s="142"/>
      <c r="K318" s="411"/>
      <c r="L318" s="142"/>
      <c r="M318" s="411"/>
      <c r="N318" s="142"/>
      <c r="O318" s="403"/>
      <c r="P318" s="198"/>
      <c r="Q318" s="412"/>
      <c r="R318" s="76"/>
      <c r="S318" s="197"/>
      <c r="T318" s="198"/>
      <c r="U318" s="197"/>
      <c r="V318" s="198"/>
      <c r="W318" s="198"/>
      <c r="X318" s="198"/>
      <c r="Y318" s="198"/>
      <c r="Z318" s="198"/>
    </row>
    <row r="319">
      <c r="A319" s="403"/>
      <c r="B319" s="198"/>
      <c r="C319" s="403"/>
      <c r="D319" s="142"/>
      <c r="E319" s="403"/>
      <c r="F319" s="198"/>
      <c r="G319" s="403"/>
      <c r="H319" s="198"/>
      <c r="I319" s="411"/>
      <c r="J319" s="142"/>
      <c r="K319" s="411"/>
      <c r="L319" s="142"/>
      <c r="M319" s="411"/>
      <c r="N319" s="142"/>
      <c r="O319" s="403"/>
      <c r="P319" s="198"/>
      <c r="Q319" s="412"/>
      <c r="R319" s="76"/>
      <c r="S319" s="197"/>
      <c r="T319" s="198"/>
      <c r="U319" s="197"/>
      <c r="V319" s="198"/>
      <c r="W319" s="198"/>
      <c r="X319" s="198"/>
      <c r="Y319" s="198"/>
      <c r="Z319" s="198"/>
    </row>
    <row r="320">
      <c r="A320" s="403"/>
      <c r="B320" s="198"/>
      <c r="C320" s="403"/>
      <c r="D320" s="142"/>
      <c r="E320" s="403"/>
      <c r="F320" s="198"/>
      <c r="G320" s="403"/>
      <c r="H320" s="198"/>
      <c r="I320" s="411"/>
      <c r="J320" s="142"/>
      <c r="K320" s="411"/>
      <c r="L320" s="142"/>
      <c r="M320" s="411"/>
      <c r="N320" s="142"/>
      <c r="O320" s="403"/>
      <c r="P320" s="198"/>
      <c r="Q320" s="412"/>
      <c r="R320" s="76"/>
      <c r="S320" s="197"/>
      <c r="T320" s="198"/>
      <c r="U320" s="197"/>
      <c r="V320" s="198"/>
      <c r="W320" s="198"/>
      <c r="X320" s="198"/>
      <c r="Y320" s="198"/>
      <c r="Z320" s="198"/>
    </row>
    <row r="321">
      <c r="A321" s="403"/>
      <c r="B321" s="198"/>
      <c r="C321" s="403"/>
      <c r="D321" s="142"/>
      <c r="E321" s="403"/>
      <c r="F321" s="198"/>
      <c r="G321" s="403"/>
      <c r="H321" s="198"/>
      <c r="I321" s="411"/>
      <c r="J321" s="142"/>
      <c r="K321" s="411"/>
      <c r="L321" s="142"/>
      <c r="M321" s="411"/>
      <c r="N321" s="142"/>
      <c r="O321" s="403"/>
      <c r="P321" s="198"/>
      <c r="Q321" s="412"/>
      <c r="R321" s="76"/>
      <c r="S321" s="197"/>
      <c r="T321" s="198"/>
      <c r="U321" s="197"/>
      <c r="V321" s="198"/>
      <c r="W321" s="198"/>
      <c r="X321" s="198"/>
      <c r="Y321" s="198"/>
      <c r="Z321" s="198"/>
    </row>
    <row r="322">
      <c r="A322" s="403"/>
      <c r="B322" s="198"/>
      <c r="C322" s="403"/>
      <c r="D322" s="142"/>
      <c r="E322" s="403"/>
      <c r="F322" s="198"/>
      <c r="G322" s="403"/>
      <c r="H322" s="198"/>
      <c r="I322" s="411"/>
      <c r="J322" s="142"/>
      <c r="K322" s="411"/>
      <c r="L322" s="142"/>
      <c r="M322" s="411"/>
      <c r="N322" s="142"/>
      <c r="O322" s="403"/>
      <c r="P322" s="198"/>
      <c r="Q322" s="412"/>
      <c r="R322" s="76"/>
      <c r="S322" s="197"/>
      <c r="T322" s="198"/>
      <c r="U322" s="197"/>
      <c r="V322" s="198"/>
      <c r="W322" s="198"/>
      <c r="X322" s="198"/>
      <c r="Y322" s="198"/>
      <c r="Z322" s="198"/>
    </row>
    <row r="323">
      <c r="A323" s="403"/>
      <c r="B323" s="198"/>
      <c r="C323" s="403"/>
      <c r="D323" s="142"/>
      <c r="E323" s="403"/>
      <c r="F323" s="198"/>
      <c r="G323" s="403"/>
      <c r="H323" s="198"/>
      <c r="I323" s="411"/>
      <c r="J323" s="142"/>
      <c r="K323" s="411"/>
      <c r="L323" s="142"/>
      <c r="M323" s="411"/>
      <c r="N323" s="142"/>
      <c r="O323" s="403"/>
      <c r="P323" s="198"/>
      <c r="Q323" s="412"/>
      <c r="R323" s="76"/>
      <c r="S323" s="197"/>
      <c r="T323" s="198"/>
      <c r="U323" s="197"/>
      <c r="V323" s="198"/>
      <c r="W323" s="198"/>
      <c r="X323" s="198"/>
      <c r="Y323" s="198"/>
      <c r="Z323" s="198"/>
    </row>
    <row r="324">
      <c r="A324" s="403"/>
      <c r="B324" s="198"/>
      <c r="C324" s="403"/>
      <c r="D324" s="142"/>
      <c r="E324" s="403"/>
      <c r="F324" s="198"/>
      <c r="G324" s="403"/>
      <c r="H324" s="198"/>
      <c r="I324" s="411"/>
      <c r="J324" s="142"/>
      <c r="K324" s="411"/>
      <c r="L324" s="142"/>
      <c r="M324" s="411"/>
      <c r="N324" s="142"/>
      <c r="O324" s="403"/>
      <c r="P324" s="198"/>
      <c r="Q324" s="412"/>
      <c r="R324" s="76"/>
      <c r="S324" s="197"/>
      <c r="T324" s="198"/>
      <c r="U324" s="197"/>
      <c r="V324" s="198"/>
      <c r="W324" s="198"/>
      <c r="X324" s="198"/>
      <c r="Y324" s="198"/>
      <c r="Z324" s="198"/>
    </row>
    <row r="325">
      <c r="A325" s="403"/>
      <c r="B325" s="198"/>
      <c r="C325" s="403"/>
      <c r="D325" s="142"/>
      <c r="E325" s="403"/>
      <c r="F325" s="198"/>
      <c r="G325" s="403"/>
      <c r="H325" s="198"/>
      <c r="I325" s="411"/>
      <c r="J325" s="142"/>
      <c r="K325" s="411"/>
      <c r="L325" s="142"/>
      <c r="M325" s="411"/>
      <c r="N325" s="142"/>
      <c r="O325" s="403"/>
      <c r="P325" s="198"/>
      <c r="Q325" s="412"/>
      <c r="R325" s="76"/>
      <c r="S325" s="197"/>
      <c r="T325" s="198"/>
      <c r="U325" s="197"/>
      <c r="V325" s="198"/>
      <c r="W325" s="198"/>
      <c r="X325" s="198"/>
      <c r="Y325" s="198"/>
      <c r="Z325" s="198"/>
    </row>
    <row r="326">
      <c r="A326" s="403"/>
      <c r="B326" s="198"/>
      <c r="C326" s="403"/>
      <c r="D326" s="142"/>
      <c r="E326" s="403"/>
      <c r="F326" s="198"/>
      <c r="G326" s="403"/>
      <c r="H326" s="198"/>
      <c r="I326" s="411"/>
      <c r="J326" s="142"/>
      <c r="K326" s="411"/>
      <c r="L326" s="142"/>
      <c r="M326" s="411"/>
      <c r="N326" s="142"/>
      <c r="O326" s="403"/>
      <c r="P326" s="198"/>
      <c r="Q326" s="412"/>
      <c r="R326" s="76"/>
      <c r="S326" s="197"/>
      <c r="T326" s="198"/>
      <c r="U326" s="197"/>
      <c r="V326" s="198"/>
      <c r="W326" s="198"/>
      <c r="X326" s="198"/>
      <c r="Y326" s="198"/>
      <c r="Z326" s="198"/>
    </row>
    <row r="327">
      <c r="A327" s="403"/>
      <c r="B327" s="198"/>
      <c r="C327" s="403"/>
      <c r="D327" s="142"/>
      <c r="E327" s="403"/>
      <c r="F327" s="198"/>
      <c r="G327" s="403"/>
      <c r="H327" s="198"/>
      <c r="I327" s="411"/>
      <c r="J327" s="142"/>
      <c r="K327" s="411"/>
      <c r="L327" s="142"/>
      <c r="M327" s="411"/>
      <c r="N327" s="142"/>
      <c r="O327" s="403"/>
      <c r="P327" s="198"/>
      <c r="Q327" s="412"/>
      <c r="R327" s="76"/>
      <c r="S327" s="197"/>
      <c r="T327" s="198"/>
      <c r="U327" s="197"/>
      <c r="V327" s="198"/>
      <c r="W327" s="198"/>
      <c r="X327" s="198"/>
      <c r="Y327" s="198"/>
      <c r="Z327" s="198"/>
    </row>
    <row r="328">
      <c r="A328" s="403"/>
      <c r="B328" s="198"/>
      <c r="C328" s="403"/>
      <c r="D328" s="142"/>
      <c r="E328" s="403"/>
      <c r="F328" s="198"/>
      <c r="G328" s="403"/>
      <c r="H328" s="198"/>
      <c r="I328" s="411"/>
      <c r="J328" s="142"/>
      <c r="K328" s="411"/>
      <c r="L328" s="142"/>
      <c r="M328" s="411"/>
      <c r="N328" s="142"/>
      <c r="O328" s="403"/>
      <c r="P328" s="198"/>
      <c r="Q328" s="412"/>
      <c r="R328" s="76"/>
      <c r="S328" s="197"/>
      <c r="T328" s="198"/>
      <c r="U328" s="197"/>
      <c r="V328" s="198"/>
      <c r="W328" s="198"/>
      <c r="X328" s="198"/>
      <c r="Y328" s="198"/>
      <c r="Z328" s="198"/>
    </row>
    <row r="329">
      <c r="A329" s="403"/>
      <c r="B329" s="198"/>
      <c r="C329" s="403"/>
      <c r="D329" s="142"/>
      <c r="E329" s="403"/>
      <c r="F329" s="198"/>
      <c r="G329" s="403"/>
      <c r="H329" s="198"/>
      <c r="I329" s="411"/>
      <c r="J329" s="142"/>
      <c r="K329" s="411"/>
      <c r="L329" s="142"/>
      <c r="M329" s="411"/>
      <c r="N329" s="142"/>
      <c r="O329" s="403"/>
      <c r="P329" s="198"/>
      <c r="Q329" s="412"/>
      <c r="R329" s="76"/>
      <c r="S329" s="197"/>
      <c r="T329" s="198"/>
      <c r="U329" s="197"/>
      <c r="V329" s="198"/>
      <c r="W329" s="198"/>
      <c r="X329" s="198"/>
      <c r="Y329" s="198"/>
      <c r="Z329" s="198"/>
    </row>
    <row r="330">
      <c r="A330" s="403"/>
      <c r="B330" s="198"/>
      <c r="C330" s="403"/>
      <c r="D330" s="142"/>
      <c r="E330" s="403"/>
      <c r="F330" s="198"/>
      <c r="G330" s="403"/>
      <c r="H330" s="198"/>
      <c r="I330" s="411"/>
      <c r="J330" s="142"/>
      <c r="K330" s="411"/>
      <c r="L330" s="142"/>
      <c r="M330" s="411"/>
      <c r="N330" s="142"/>
      <c r="O330" s="403"/>
      <c r="P330" s="198"/>
      <c r="Q330" s="412"/>
      <c r="R330" s="76"/>
      <c r="S330" s="197"/>
      <c r="T330" s="198"/>
      <c r="U330" s="197"/>
      <c r="V330" s="198"/>
      <c r="W330" s="198"/>
      <c r="X330" s="198"/>
      <c r="Y330" s="198"/>
      <c r="Z330" s="198"/>
    </row>
    <row r="331">
      <c r="A331" s="403"/>
      <c r="B331" s="198"/>
      <c r="C331" s="403"/>
      <c r="D331" s="142"/>
      <c r="E331" s="403"/>
      <c r="F331" s="198"/>
      <c r="G331" s="403"/>
      <c r="H331" s="198"/>
      <c r="I331" s="411"/>
      <c r="J331" s="142"/>
      <c r="K331" s="411"/>
      <c r="L331" s="142"/>
      <c r="M331" s="411"/>
      <c r="N331" s="142"/>
      <c r="O331" s="403"/>
      <c r="P331" s="198"/>
      <c r="Q331" s="412"/>
      <c r="R331" s="76"/>
      <c r="S331" s="197"/>
      <c r="T331" s="198"/>
      <c r="U331" s="197"/>
      <c r="V331" s="198"/>
      <c r="W331" s="198"/>
      <c r="X331" s="198"/>
      <c r="Y331" s="198"/>
      <c r="Z331" s="198"/>
    </row>
    <row r="332">
      <c r="A332" s="403"/>
      <c r="B332" s="198"/>
      <c r="C332" s="403"/>
      <c r="D332" s="142"/>
      <c r="E332" s="403"/>
      <c r="F332" s="198"/>
      <c r="G332" s="403"/>
      <c r="H332" s="198"/>
      <c r="I332" s="411"/>
      <c r="J332" s="142"/>
      <c r="K332" s="411"/>
      <c r="L332" s="142"/>
      <c r="M332" s="411"/>
      <c r="N332" s="142"/>
      <c r="O332" s="403"/>
      <c r="P332" s="198"/>
      <c r="Q332" s="412"/>
      <c r="R332" s="76"/>
      <c r="S332" s="197"/>
      <c r="T332" s="198"/>
      <c r="U332" s="197"/>
      <c r="V332" s="198"/>
      <c r="W332" s="198"/>
      <c r="X332" s="198"/>
      <c r="Y332" s="198"/>
      <c r="Z332" s="198"/>
    </row>
    <row r="333">
      <c r="A333" s="403"/>
      <c r="B333" s="198"/>
      <c r="C333" s="403"/>
      <c r="D333" s="142"/>
      <c r="E333" s="403"/>
      <c r="F333" s="198"/>
      <c r="G333" s="403"/>
      <c r="H333" s="198"/>
      <c r="I333" s="411"/>
      <c r="J333" s="142"/>
      <c r="K333" s="411"/>
      <c r="L333" s="142"/>
      <c r="M333" s="411"/>
      <c r="N333" s="142"/>
      <c r="O333" s="403"/>
      <c r="P333" s="198"/>
      <c r="Q333" s="412"/>
      <c r="R333" s="76"/>
      <c r="S333" s="197"/>
      <c r="T333" s="198"/>
      <c r="U333" s="197"/>
      <c r="V333" s="198"/>
      <c r="W333" s="198"/>
      <c r="X333" s="198"/>
      <c r="Y333" s="198"/>
      <c r="Z333" s="198"/>
    </row>
    <row r="334">
      <c r="A334" s="403"/>
      <c r="B334" s="198"/>
      <c r="C334" s="403"/>
      <c r="D334" s="142"/>
      <c r="E334" s="403"/>
      <c r="F334" s="198"/>
      <c r="G334" s="403"/>
      <c r="H334" s="198"/>
      <c r="I334" s="411"/>
      <c r="J334" s="142"/>
      <c r="K334" s="411"/>
      <c r="L334" s="142"/>
      <c r="M334" s="411"/>
      <c r="N334" s="142"/>
      <c r="O334" s="403"/>
      <c r="P334" s="198"/>
      <c r="Q334" s="412"/>
      <c r="R334" s="76"/>
      <c r="S334" s="197"/>
      <c r="T334" s="198"/>
      <c r="U334" s="197"/>
      <c r="V334" s="198"/>
      <c r="W334" s="198"/>
      <c r="X334" s="198"/>
      <c r="Y334" s="198"/>
      <c r="Z334" s="198"/>
    </row>
    <row r="335">
      <c r="A335" s="403"/>
      <c r="B335" s="198"/>
      <c r="C335" s="403"/>
      <c r="D335" s="142"/>
      <c r="E335" s="403"/>
      <c r="F335" s="198"/>
      <c r="G335" s="403"/>
      <c r="H335" s="198"/>
      <c r="I335" s="411"/>
      <c r="J335" s="142"/>
      <c r="K335" s="411"/>
      <c r="L335" s="142"/>
      <c r="M335" s="411"/>
      <c r="N335" s="142"/>
      <c r="O335" s="403"/>
      <c r="P335" s="198"/>
      <c r="Q335" s="412"/>
      <c r="R335" s="76"/>
      <c r="S335" s="197"/>
      <c r="T335" s="198"/>
      <c r="U335" s="197"/>
      <c r="V335" s="198"/>
      <c r="W335" s="198"/>
      <c r="X335" s="198"/>
      <c r="Y335" s="198"/>
      <c r="Z335" s="198"/>
    </row>
    <row r="336">
      <c r="A336" s="403"/>
      <c r="B336" s="198"/>
      <c r="C336" s="403"/>
      <c r="D336" s="142"/>
      <c r="E336" s="403"/>
      <c r="F336" s="198"/>
      <c r="G336" s="403"/>
      <c r="H336" s="198"/>
      <c r="I336" s="411"/>
      <c r="J336" s="142"/>
      <c r="K336" s="411"/>
      <c r="L336" s="142"/>
      <c r="M336" s="411"/>
      <c r="N336" s="142"/>
      <c r="O336" s="403"/>
      <c r="P336" s="198"/>
      <c r="Q336" s="412"/>
      <c r="R336" s="76"/>
      <c r="S336" s="197"/>
      <c r="T336" s="198"/>
      <c r="U336" s="197"/>
      <c r="V336" s="198"/>
      <c r="W336" s="198"/>
      <c r="X336" s="198"/>
      <c r="Y336" s="198"/>
      <c r="Z336" s="198"/>
    </row>
    <row r="337">
      <c r="A337" s="403"/>
      <c r="B337" s="198"/>
      <c r="C337" s="403"/>
      <c r="D337" s="142"/>
      <c r="E337" s="403"/>
      <c r="F337" s="198"/>
      <c r="G337" s="403"/>
      <c r="H337" s="198"/>
      <c r="I337" s="411"/>
      <c r="J337" s="142"/>
      <c r="K337" s="411"/>
      <c r="L337" s="142"/>
      <c r="M337" s="411"/>
      <c r="N337" s="142"/>
      <c r="O337" s="403"/>
      <c r="P337" s="198"/>
      <c r="Q337" s="412"/>
      <c r="R337" s="76"/>
      <c r="S337" s="197"/>
      <c r="T337" s="198"/>
      <c r="U337" s="197"/>
      <c r="V337" s="198"/>
      <c r="W337" s="198"/>
      <c r="X337" s="198"/>
      <c r="Y337" s="198"/>
      <c r="Z337" s="198"/>
    </row>
    <row r="338">
      <c r="A338" s="403"/>
      <c r="B338" s="198"/>
      <c r="C338" s="403"/>
      <c r="D338" s="142"/>
      <c r="E338" s="403"/>
      <c r="F338" s="198"/>
      <c r="G338" s="403"/>
      <c r="H338" s="198"/>
      <c r="I338" s="411"/>
      <c r="J338" s="142"/>
      <c r="K338" s="411"/>
      <c r="L338" s="142"/>
      <c r="M338" s="411"/>
      <c r="N338" s="142"/>
      <c r="O338" s="403"/>
      <c r="P338" s="198"/>
      <c r="Q338" s="412"/>
      <c r="R338" s="76"/>
      <c r="S338" s="197"/>
      <c r="T338" s="198"/>
      <c r="U338" s="197"/>
      <c r="V338" s="198"/>
      <c r="W338" s="198"/>
      <c r="X338" s="198"/>
      <c r="Y338" s="198"/>
      <c r="Z338" s="198"/>
    </row>
    <row r="339">
      <c r="A339" s="403"/>
      <c r="B339" s="198"/>
      <c r="C339" s="403"/>
      <c r="D339" s="142"/>
      <c r="E339" s="403"/>
      <c r="F339" s="198"/>
      <c r="G339" s="403"/>
      <c r="H339" s="198"/>
      <c r="I339" s="411"/>
      <c r="J339" s="142"/>
      <c r="K339" s="411"/>
      <c r="L339" s="142"/>
      <c r="M339" s="411"/>
      <c r="N339" s="142"/>
      <c r="O339" s="403"/>
      <c r="P339" s="198"/>
      <c r="Q339" s="412"/>
      <c r="R339" s="76"/>
      <c r="S339" s="197"/>
      <c r="T339" s="198"/>
      <c r="U339" s="197"/>
      <c r="V339" s="198"/>
      <c r="W339" s="198"/>
      <c r="X339" s="198"/>
      <c r="Y339" s="198"/>
      <c r="Z339" s="198"/>
    </row>
    <row r="340">
      <c r="A340" s="403"/>
      <c r="B340" s="198"/>
      <c r="C340" s="403"/>
      <c r="D340" s="142"/>
      <c r="E340" s="403"/>
      <c r="F340" s="198"/>
      <c r="G340" s="403"/>
      <c r="H340" s="198"/>
      <c r="I340" s="411"/>
      <c r="J340" s="142"/>
      <c r="K340" s="411"/>
      <c r="L340" s="142"/>
      <c r="M340" s="411"/>
      <c r="N340" s="142"/>
      <c r="O340" s="403"/>
      <c r="P340" s="198"/>
      <c r="Q340" s="412"/>
      <c r="R340" s="76"/>
      <c r="S340" s="197"/>
      <c r="T340" s="198"/>
      <c r="U340" s="197"/>
      <c r="V340" s="198"/>
      <c r="W340" s="198"/>
      <c r="X340" s="198"/>
      <c r="Y340" s="198"/>
      <c r="Z340" s="198"/>
    </row>
    <row r="341">
      <c r="A341" s="403"/>
      <c r="B341" s="198"/>
      <c r="C341" s="403"/>
      <c r="D341" s="142"/>
      <c r="E341" s="403"/>
      <c r="F341" s="198"/>
      <c r="G341" s="403"/>
      <c r="H341" s="198"/>
      <c r="I341" s="411"/>
      <c r="J341" s="142"/>
      <c r="K341" s="411"/>
      <c r="L341" s="142"/>
      <c r="M341" s="411"/>
      <c r="N341" s="142"/>
      <c r="O341" s="403"/>
      <c r="P341" s="198"/>
      <c r="Q341" s="412"/>
      <c r="R341" s="76"/>
      <c r="S341" s="197"/>
      <c r="T341" s="198"/>
      <c r="U341" s="197"/>
      <c r="V341" s="198"/>
      <c r="W341" s="198"/>
      <c r="X341" s="198"/>
      <c r="Y341" s="198"/>
      <c r="Z341" s="198"/>
    </row>
    <row r="342">
      <c r="A342" s="403"/>
      <c r="B342" s="198"/>
      <c r="C342" s="403"/>
      <c r="D342" s="142"/>
      <c r="E342" s="403"/>
      <c r="F342" s="198"/>
      <c r="G342" s="403"/>
      <c r="H342" s="198"/>
      <c r="I342" s="411"/>
      <c r="J342" s="142"/>
      <c r="K342" s="411"/>
      <c r="L342" s="142"/>
      <c r="M342" s="411"/>
      <c r="N342" s="142"/>
      <c r="O342" s="403"/>
      <c r="P342" s="198"/>
      <c r="Q342" s="412"/>
      <c r="R342" s="76"/>
      <c r="S342" s="197"/>
      <c r="T342" s="198"/>
      <c r="U342" s="197"/>
      <c r="V342" s="198"/>
      <c r="W342" s="198"/>
      <c r="X342" s="198"/>
      <c r="Y342" s="198"/>
      <c r="Z342" s="198"/>
    </row>
    <row r="343">
      <c r="A343" s="403"/>
      <c r="B343" s="198"/>
      <c r="C343" s="403"/>
      <c r="D343" s="142"/>
      <c r="E343" s="403"/>
      <c r="F343" s="198"/>
      <c r="G343" s="403"/>
      <c r="H343" s="198"/>
      <c r="I343" s="411"/>
      <c r="J343" s="142"/>
      <c r="K343" s="411"/>
      <c r="L343" s="142"/>
      <c r="M343" s="411"/>
      <c r="N343" s="142"/>
      <c r="O343" s="403"/>
      <c r="P343" s="198"/>
      <c r="Q343" s="412"/>
      <c r="R343" s="76"/>
      <c r="S343" s="197"/>
      <c r="T343" s="198"/>
      <c r="U343" s="197"/>
      <c r="V343" s="198"/>
      <c r="W343" s="198"/>
      <c r="X343" s="198"/>
      <c r="Y343" s="198"/>
      <c r="Z343" s="198"/>
    </row>
    <row r="344">
      <c r="A344" s="403"/>
      <c r="B344" s="198"/>
      <c r="C344" s="403"/>
      <c r="D344" s="142"/>
      <c r="E344" s="403"/>
      <c r="F344" s="198"/>
      <c r="G344" s="403"/>
      <c r="H344" s="198"/>
      <c r="I344" s="411"/>
      <c r="J344" s="142"/>
      <c r="K344" s="411"/>
      <c r="L344" s="142"/>
      <c r="M344" s="411"/>
      <c r="N344" s="142"/>
      <c r="O344" s="403"/>
      <c r="P344" s="198"/>
      <c r="Q344" s="412"/>
      <c r="R344" s="76"/>
      <c r="S344" s="197"/>
      <c r="T344" s="198"/>
      <c r="U344" s="197"/>
      <c r="V344" s="198"/>
      <c r="W344" s="198"/>
      <c r="X344" s="198"/>
      <c r="Y344" s="198"/>
      <c r="Z344" s="198"/>
    </row>
    <row r="345">
      <c r="A345" s="403"/>
      <c r="B345" s="198"/>
      <c r="C345" s="403"/>
      <c r="D345" s="142"/>
      <c r="E345" s="403"/>
      <c r="F345" s="198"/>
      <c r="G345" s="403"/>
      <c r="H345" s="198"/>
      <c r="I345" s="411"/>
      <c r="J345" s="142"/>
      <c r="K345" s="411"/>
      <c r="L345" s="142"/>
      <c r="M345" s="411"/>
      <c r="N345" s="142"/>
      <c r="O345" s="403"/>
      <c r="P345" s="198"/>
      <c r="Q345" s="412"/>
      <c r="R345" s="76"/>
      <c r="S345" s="197"/>
      <c r="T345" s="198"/>
      <c r="U345" s="197"/>
      <c r="V345" s="198"/>
      <c r="W345" s="198"/>
      <c r="X345" s="198"/>
      <c r="Y345" s="198"/>
      <c r="Z345" s="198"/>
    </row>
    <row r="346">
      <c r="A346" s="403"/>
      <c r="B346" s="198"/>
      <c r="C346" s="403"/>
      <c r="D346" s="142"/>
      <c r="E346" s="403"/>
      <c r="F346" s="198"/>
      <c r="G346" s="403"/>
      <c r="H346" s="198"/>
      <c r="I346" s="411"/>
      <c r="J346" s="142"/>
      <c r="K346" s="411"/>
      <c r="L346" s="142"/>
      <c r="M346" s="411"/>
      <c r="N346" s="142"/>
      <c r="O346" s="403"/>
      <c r="P346" s="198"/>
      <c r="Q346" s="412"/>
      <c r="R346" s="76"/>
      <c r="S346" s="197"/>
      <c r="T346" s="198"/>
      <c r="U346" s="197"/>
      <c r="V346" s="198"/>
      <c r="W346" s="198"/>
      <c r="X346" s="198"/>
      <c r="Y346" s="198"/>
      <c r="Z346" s="198"/>
    </row>
    <row r="347">
      <c r="A347" s="403"/>
      <c r="B347" s="198"/>
      <c r="C347" s="403"/>
      <c r="D347" s="142"/>
      <c r="E347" s="403"/>
      <c r="F347" s="198"/>
      <c r="G347" s="403"/>
      <c r="H347" s="198"/>
      <c r="I347" s="411"/>
      <c r="J347" s="142"/>
      <c r="K347" s="411"/>
      <c r="L347" s="142"/>
      <c r="M347" s="411"/>
      <c r="N347" s="142"/>
      <c r="O347" s="403"/>
      <c r="P347" s="198"/>
      <c r="Q347" s="412"/>
      <c r="R347" s="76"/>
      <c r="S347" s="197"/>
      <c r="T347" s="198"/>
      <c r="U347" s="197"/>
      <c r="V347" s="198"/>
      <c r="W347" s="198"/>
      <c r="X347" s="198"/>
      <c r="Y347" s="198"/>
      <c r="Z347" s="198"/>
    </row>
    <row r="348">
      <c r="A348" s="403"/>
      <c r="B348" s="198"/>
      <c r="C348" s="403"/>
      <c r="D348" s="142"/>
      <c r="E348" s="403"/>
      <c r="F348" s="198"/>
      <c r="G348" s="403"/>
      <c r="H348" s="198"/>
      <c r="I348" s="411"/>
      <c r="J348" s="142"/>
      <c r="K348" s="411"/>
      <c r="L348" s="142"/>
      <c r="M348" s="411"/>
      <c r="N348" s="142"/>
      <c r="O348" s="403"/>
      <c r="P348" s="198"/>
      <c r="Q348" s="412"/>
      <c r="R348" s="76"/>
      <c r="S348" s="197"/>
      <c r="T348" s="198"/>
      <c r="U348" s="197"/>
      <c r="V348" s="198"/>
      <c r="W348" s="198"/>
      <c r="X348" s="198"/>
      <c r="Y348" s="198"/>
      <c r="Z348" s="198"/>
    </row>
    <row r="349">
      <c r="A349" s="403"/>
      <c r="B349" s="198"/>
      <c r="C349" s="403"/>
      <c r="D349" s="142"/>
      <c r="E349" s="403"/>
      <c r="F349" s="198"/>
      <c r="G349" s="403"/>
      <c r="H349" s="198"/>
      <c r="I349" s="411"/>
      <c r="J349" s="142"/>
      <c r="K349" s="411"/>
      <c r="L349" s="142"/>
      <c r="M349" s="411"/>
      <c r="N349" s="142"/>
      <c r="O349" s="403"/>
      <c r="P349" s="198"/>
      <c r="Q349" s="412"/>
      <c r="R349" s="76"/>
      <c r="S349" s="197"/>
      <c r="T349" s="198"/>
      <c r="U349" s="197"/>
      <c r="V349" s="198"/>
      <c r="W349" s="198"/>
      <c r="X349" s="198"/>
      <c r="Y349" s="198"/>
      <c r="Z349" s="198"/>
    </row>
    <row r="350">
      <c r="A350" s="403"/>
      <c r="B350" s="198"/>
      <c r="C350" s="403"/>
      <c r="D350" s="142"/>
      <c r="E350" s="403"/>
      <c r="F350" s="198"/>
      <c r="G350" s="403"/>
      <c r="H350" s="198"/>
      <c r="I350" s="411"/>
      <c r="J350" s="142"/>
      <c r="K350" s="411"/>
      <c r="L350" s="142"/>
      <c r="M350" s="411"/>
      <c r="N350" s="142"/>
      <c r="O350" s="403"/>
      <c r="P350" s="198"/>
      <c r="Q350" s="412"/>
      <c r="R350" s="76"/>
      <c r="S350" s="197"/>
      <c r="T350" s="198"/>
      <c r="U350" s="197"/>
      <c r="V350" s="198"/>
      <c r="W350" s="198"/>
      <c r="X350" s="198"/>
      <c r="Y350" s="198"/>
      <c r="Z350" s="198"/>
    </row>
    <row r="351">
      <c r="A351" s="403"/>
      <c r="B351" s="198"/>
      <c r="C351" s="403"/>
      <c r="D351" s="142"/>
      <c r="E351" s="403"/>
      <c r="F351" s="198"/>
      <c r="G351" s="403"/>
      <c r="H351" s="198"/>
      <c r="I351" s="411"/>
      <c r="J351" s="142"/>
      <c r="K351" s="411"/>
      <c r="L351" s="142"/>
      <c r="M351" s="411"/>
      <c r="N351" s="142"/>
      <c r="O351" s="403"/>
      <c r="P351" s="198"/>
      <c r="Q351" s="412"/>
      <c r="R351" s="76"/>
      <c r="S351" s="197"/>
      <c r="T351" s="198"/>
      <c r="U351" s="197"/>
      <c r="V351" s="198"/>
      <c r="W351" s="198"/>
      <c r="X351" s="198"/>
      <c r="Y351" s="198"/>
      <c r="Z351" s="198"/>
    </row>
    <row r="352">
      <c r="A352" s="403"/>
      <c r="B352" s="198"/>
      <c r="C352" s="403"/>
      <c r="D352" s="142"/>
      <c r="E352" s="403"/>
      <c r="F352" s="198"/>
      <c r="G352" s="403"/>
      <c r="H352" s="198"/>
      <c r="I352" s="411"/>
      <c r="J352" s="142"/>
      <c r="K352" s="411"/>
      <c r="L352" s="142"/>
      <c r="M352" s="411"/>
      <c r="N352" s="142"/>
      <c r="O352" s="403"/>
      <c r="P352" s="198"/>
      <c r="Q352" s="412"/>
      <c r="R352" s="76"/>
      <c r="S352" s="197"/>
      <c r="T352" s="198"/>
      <c r="U352" s="197"/>
      <c r="V352" s="198"/>
      <c r="W352" s="198"/>
      <c r="X352" s="198"/>
      <c r="Y352" s="198"/>
      <c r="Z352" s="198"/>
    </row>
    <row r="353">
      <c r="A353" s="403"/>
      <c r="B353" s="198"/>
      <c r="C353" s="403"/>
      <c r="D353" s="142"/>
      <c r="E353" s="403"/>
      <c r="F353" s="198"/>
      <c r="G353" s="403"/>
      <c r="H353" s="198"/>
      <c r="I353" s="411"/>
      <c r="J353" s="142"/>
      <c r="K353" s="411"/>
      <c r="L353" s="142"/>
      <c r="M353" s="411"/>
      <c r="N353" s="142"/>
      <c r="O353" s="403"/>
      <c r="P353" s="198"/>
      <c r="Q353" s="412"/>
      <c r="R353" s="76"/>
      <c r="S353" s="197"/>
      <c r="T353" s="198"/>
      <c r="U353" s="197"/>
      <c r="V353" s="198"/>
      <c r="W353" s="198"/>
      <c r="X353" s="198"/>
      <c r="Y353" s="198"/>
      <c r="Z353" s="198"/>
    </row>
    <row r="354">
      <c r="A354" s="403"/>
      <c r="B354" s="198"/>
      <c r="C354" s="403"/>
      <c r="D354" s="142"/>
      <c r="E354" s="403"/>
      <c r="F354" s="198"/>
      <c r="G354" s="403"/>
      <c r="H354" s="198"/>
      <c r="I354" s="411"/>
      <c r="J354" s="142"/>
      <c r="K354" s="411"/>
      <c r="L354" s="142"/>
      <c r="M354" s="411"/>
      <c r="N354" s="142"/>
      <c r="O354" s="403"/>
      <c r="P354" s="198"/>
      <c r="Q354" s="412"/>
      <c r="R354" s="76"/>
      <c r="S354" s="197"/>
      <c r="T354" s="198"/>
      <c r="U354" s="197"/>
      <c r="V354" s="198"/>
      <c r="W354" s="198"/>
      <c r="X354" s="198"/>
      <c r="Y354" s="198"/>
      <c r="Z354" s="198"/>
    </row>
    <row r="355">
      <c r="A355" s="403"/>
      <c r="B355" s="198"/>
      <c r="C355" s="403"/>
      <c r="D355" s="142"/>
      <c r="E355" s="403"/>
      <c r="F355" s="198"/>
      <c r="G355" s="403"/>
      <c r="H355" s="198"/>
      <c r="I355" s="411"/>
      <c r="J355" s="142"/>
      <c r="K355" s="411"/>
      <c r="L355" s="142"/>
      <c r="M355" s="411"/>
      <c r="N355" s="142"/>
      <c r="O355" s="403"/>
      <c r="P355" s="198"/>
      <c r="Q355" s="412"/>
      <c r="R355" s="76"/>
      <c r="S355" s="197"/>
      <c r="T355" s="198"/>
      <c r="U355" s="197"/>
      <c r="V355" s="198"/>
      <c r="W355" s="198"/>
      <c r="X355" s="198"/>
      <c r="Y355" s="198"/>
      <c r="Z355" s="198"/>
    </row>
    <row r="356">
      <c r="A356" s="403"/>
      <c r="B356" s="198"/>
      <c r="C356" s="403"/>
      <c r="D356" s="142"/>
      <c r="E356" s="403"/>
      <c r="F356" s="198"/>
      <c r="G356" s="403"/>
      <c r="H356" s="198"/>
      <c r="I356" s="411"/>
      <c r="J356" s="142"/>
      <c r="K356" s="411"/>
      <c r="L356" s="142"/>
      <c r="M356" s="411"/>
      <c r="N356" s="142"/>
      <c r="O356" s="403"/>
      <c r="P356" s="198"/>
      <c r="Q356" s="412"/>
      <c r="R356" s="76"/>
      <c r="S356" s="197"/>
      <c r="T356" s="198"/>
      <c r="U356" s="197"/>
      <c r="V356" s="198"/>
      <c r="W356" s="198"/>
      <c r="X356" s="198"/>
      <c r="Y356" s="198"/>
      <c r="Z356" s="198"/>
    </row>
    <row r="357">
      <c r="A357" s="403"/>
      <c r="B357" s="198"/>
      <c r="C357" s="403"/>
      <c r="D357" s="142"/>
      <c r="E357" s="403"/>
      <c r="F357" s="198"/>
      <c r="G357" s="403"/>
      <c r="H357" s="198"/>
      <c r="I357" s="411"/>
      <c r="J357" s="142"/>
      <c r="K357" s="411"/>
      <c r="L357" s="142"/>
      <c r="M357" s="411"/>
      <c r="N357" s="142"/>
      <c r="O357" s="403"/>
      <c r="P357" s="198"/>
      <c r="Q357" s="412"/>
      <c r="R357" s="76"/>
      <c r="S357" s="197"/>
      <c r="T357" s="198"/>
      <c r="U357" s="197"/>
      <c r="V357" s="198"/>
      <c r="W357" s="198"/>
      <c r="X357" s="198"/>
      <c r="Y357" s="198"/>
      <c r="Z357" s="198"/>
    </row>
    <row r="358">
      <c r="A358" s="403"/>
      <c r="B358" s="198"/>
      <c r="C358" s="403"/>
      <c r="D358" s="142"/>
      <c r="E358" s="403"/>
      <c r="F358" s="198"/>
      <c r="G358" s="403"/>
      <c r="H358" s="198"/>
      <c r="I358" s="411"/>
      <c r="J358" s="142"/>
      <c r="K358" s="411"/>
      <c r="L358" s="142"/>
      <c r="M358" s="411"/>
      <c r="N358" s="142"/>
      <c r="O358" s="403"/>
      <c r="P358" s="198"/>
      <c r="Q358" s="412"/>
      <c r="R358" s="76"/>
      <c r="S358" s="197"/>
      <c r="T358" s="198"/>
      <c r="U358" s="197"/>
      <c r="V358" s="198"/>
      <c r="W358" s="198"/>
      <c r="X358" s="198"/>
      <c r="Y358" s="198"/>
      <c r="Z358" s="198"/>
    </row>
    <row r="359">
      <c r="A359" s="403"/>
      <c r="B359" s="198"/>
      <c r="C359" s="403"/>
      <c r="D359" s="142"/>
      <c r="E359" s="403"/>
      <c r="F359" s="198"/>
      <c r="G359" s="403"/>
      <c r="H359" s="198"/>
      <c r="I359" s="411"/>
      <c r="J359" s="142"/>
      <c r="K359" s="411"/>
      <c r="L359" s="142"/>
      <c r="M359" s="411"/>
      <c r="N359" s="142"/>
      <c r="O359" s="403"/>
      <c r="P359" s="198"/>
      <c r="Q359" s="412"/>
      <c r="R359" s="76"/>
      <c r="S359" s="197"/>
      <c r="T359" s="198"/>
      <c r="U359" s="197"/>
      <c r="V359" s="198"/>
      <c r="W359" s="198"/>
      <c r="X359" s="198"/>
      <c r="Y359" s="198"/>
      <c r="Z359" s="198"/>
    </row>
    <row r="360">
      <c r="A360" s="403"/>
      <c r="B360" s="198"/>
      <c r="C360" s="403"/>
      <c r="D360" s="142"/>
      <c r="E360" s="403"/>
      <c r="F360" s="198"/>
      <c r="G360" s="403"/>
      <c r="H360" s="198"/>
      <c r="I360" s="411"/>
      <c r="J360" s="142"/>
      <c r="K360" s="411"/>
      <c r="L360" s="142"/>
      <c r="M360" s="411"/>
      <c r="N360" s="142"/>
      <c r="O360" s="403"/>
      <c r="P360" s="198"/>
      <c r="Q360" s="412"/>
      <c r="R360" s="76"/>
      <c r="S360" s="197"/>
      <c r="T360" s="198"/>
      <c r="U360" s="197"/>
      <c r="V360" s="198"/>
      <c r="W360" s="198"/>
      <c r="X360" s="198"/>
      <c r="Y360" s="198"/>
      <c r="Z360" s="198"/>
    </row>
    <row r="361">
      <c r="A361" s="403"/>
      <c r="B361" s="198"/>
      <c r="C361" s="403"/>
      <c r="D361" s="142"/>
      <c r="E361" s="403"/>
      <c r="F361" s="198"/>
      <c r="G361" s="403"/>
      <c r="H361" s="198"/>
      <c r="I361" s="411"/>
      <c r="J361" s="142"/>
      <c r="K361" s="411"/>
      <c r="L361" s="142"/>
      <c r="M361" s="411"/>
      <c r="N361" s="142"/>
      <c r="O361" s="403"/>
      <c r="P361" s="198"/>
      <c r="Q361" s="412"/>
      <c r="R361" s="76"/>
      <c r="S361" s="197"/>
      <c r="T361" s="198"/>
      <c r="U361" s="197"/>
      <c r="V361" s="198"/>
      <c r="W361" s="198"/>
      <c r="X361" s="198"/>
      <c r="Y361" s="198"/>
      <c r="Z361" s="198"/>
    </row>
    <row r="362">
      <c r="A362" s="403"/>
      <c r="B362" s="198"/>
      <c r="C362" s="403"/>
      <c r="D362" s="142"/>
      <c r="E362" s="403"/>
      <c r="F362" s="198"/>
      <c r="G362" s="403"/>
      <c r="H362" s="198"/>
      <c r="I362" s="411"/>
      <c r="J362" s="142"/>
      <c r="K362" s="411"/>
      <c r="L362" s="142"/>
      <c r="M362" s="411"/>
      <c r="N362" s="142"/>
      <c r="O362" s="403"/>
      <c r="P362" s="198"/>
      <c r="Q362" s="412"/>
      <c r="R362" s="76"/>
      <c r="S362" s="197"/>
      <c r="T362" s="198"/>
      <c r="U362" s="197"/>
      <c r="V362" s="198"/>
      <c r="W362" s="198"/>
      <c r="X362" s="198"/>
      <c r="Y362" s="198"/>
      <c r="Z362" s="198"/>
    </row>
    <row r="363">
      <c r="A363" s="403"/>
      <c r="B363" s="198"/>
      <c r="C363" s="403"/>
      <c r="D363" s="142"/>
      <c r="E363" s="403"/>
      <c r="F363" s="198"/>
      <c r="G363" s="403"/>
      <c r="H363" s="198"/>
      <c r="I363" s="411"/>
      <c r="J363" s="142"/>
      <c r="K363" s="411"/>
      <c r="L363" s="142"/>
      <c r="M363" s="411"/>
      <c r="N363" s="142"/>
      <c r="O363" s="403"/>
      <c r="P363" s="198"/>
      <c r="Q363" s="412"/>
      <c r="R363" s="76"/>
      <c r="S363" s="197"/>
      <c r="T363" s="198"/>
      <c r="U363" s="197"/>
      <c r="V363" s="198"/>
      <c r="W363" s="198"/>
      <c r="X363" s="198"/>
      <c r="Y363" s="198"/>
      <c r="Z363" s="198"/>
    </row>
    <row r="364">
      <c r="A364" s="403"/>
      <c r="B364" s="198"/>
      <c r="C364" s="403"/>
      <c r="D364" s="142"/>
      <c r="E364" s="403"/>
      <c r="F364" s="198"/>
      <c r="G364" s="403"/>
      <c r="H364" s="198"/>
      <c r="I364" s="411"/>
      <c r="J364" s="142"/>
      <c r="K364" s="411"/>
      <c r="L364" s="142"/>
      <c r="M364" s="411"/>
      <c r="N364" s="142"/>
      <c r="O364" s="403"/>
      <c r="P364" s="198"/>
      <c r="Q364" s="412"/>
      <c r="R364" s="76"/>
      <c r="S364" s="197"/>
      <c r="T364" s="198"/>
      <c r="U364" s="197"/>
      <c r="V364" s="198"/>
      <c r="W364" s="198"/>
      <c r="X364" s="198"/>
      <c r="Y364" s="198"/>
      <c r="Z364" s="198"/>
    </row>
    <row r="365">
      <c r="A365" s="403"/>
      <c r="B365" s="198"/>
      <c r="C365" s="403"/>
      <c r="D365" s="142"/>
      <c r="E365" s="403"/>
      <c r="F365" s="198"/>
      <c r="G365" s="403"/>
      <c r="H365" s="198"/>
      <c r="I365" s="411"/>
      <c r="J365" s="142"/>
      <c r="K365" s="411"/>
      <c r="L365" s="142"/>
      <c r="M365" s="411"/>
      <c r="N365" s="142"/>
      <c r="O365" s="403"/>
      <c r="P365" s="198"/>
      <c r="Q365" s="412"/>
      <c r="R365" s="76"/>
      <c r="S365" s="197"/>
      <c r="T365" s="198"/>
      <c r="U365" s="197"/>
      <c r="V365" s="198"/>
      <c r="W365" s="198"/>
      <c r="X365" s="198"/>
      <c r="Y365" s="198"/>
      <c r="Z365" s="198"/>
    </row>
    <row r="366">
      <c r="A366" s="403"/>
      <c r="B366" s="198"/>
      <c r="C366" s="403"/>
      <c r="D366" s="142"/>
      <c r="E366" s="403"/>
      <c r="F366" s="198"/>
      <c r="G366" s="403"/>
      <c r="H366" s="198"/>
      <c r="I366" s="411"/>
      <c r="J366" s="142"/>
      <c r="K366" s="411"/>
      <c r="L366" s="142"/>
      <c r="M366" s="411"/>
      <c r="N366" s="142"/>
      <c r="O366" s="403"/>
      <c r="P366" s="198"/>
      <c r="Q366" s="412"/>
      <c r="R366" s="76"/>
      <c r="S366" s="197"/>
      <c r="T366" s="198"/>
      <c r="U366" s="197"/>
      <c r="V366" s="198"/>
      <c r="W366" s="198"/>
      <c r="X366" s="198"/>
      <c r="Y366" s="198"/>
      <c r="Z366" s="198"/>
    </row>
    <row r="367">
      <c r="A367" s="403"/>
      <c r="B367" s="198"/>
      <c r="C367" s="403"/>
      <c r="D367" s="142"/>
      <c r="E367" s="403"/>
      <c r="F367" s="198"/>
      <c r="G367" s="403"/>
      <c r="H367" s="198"/>
      <c r="I367" s="411"/>
      <c r="J367" s="142"/>
      <c r="K367" s="411"/>
      <c r="L367" s="142"/>
      <c r="M367" s="411"/>
      <c r="N367" s="142"/>
      <c r="O367" s="403"/>
      <c r="P367" s="198"/>
      <c r="Q367" s="412"/>
      <c r="R367" s="76"/>
      <c r="S367" s="197"/>
      <c r="T367" s="198"/>
      <c r="U367" s="197"/>
      <c r="V367" s="198"/>
      <c r="W367" s="198"/>
      <c r="X367" s="198"/>
      <c r="Y367" s="198"/>
      <c r="Z367" s="198"/>
    </row>
    <row r="368">
      <c r="A368" s="403"/>
      <c r="B368" s="198"/>
      <c r="C368" s="403"/>
      <c r="D368" s="142"/>
      <c r="E368" s="403"/>
      <c r="F368" s="198"/>
      <c r="G368" s="403"/>
      <c r="H368" s="198"/>
      <c r="I368" s="411"/>
      <c r="J368" s="142"/>
      <c r="K368" s="411"/>
      <c r="L368" s="142"/>
      <c r="M368" s="411"/>
      <c r="N368" s="142"/>
      <c r="O368" s="403"/>
      <c r="P368" s="198"/>
      <c r="Q368" s="412"/>
      <c r="R368" s="76"/>
      <c r="S368" s="197"/>
      <c r="T368" s="198"/>
      <c r="U368" s="197"/>
      <c r="V368" s="198"/>
      <c r="W368" s="198"/>
      <c r="X368" s="198"/>
      <c r="Y368" s="198"/>
      <c r="Z368" s="198"/>
    </row>
    <row r="369">
      <c r="A369" s="403"/>
      <c r="B369" s="198"/>
      <c r="C369" s="403"/>
      <c r="D369" s="142"/>
      <c r="E369" s="403"/>
      <c r="F369" s="198"/>
      <c r="G369" s="403"/>
      <c r="H369" s="198"/>
      <c r="I369" s="411"/>
      <c r="J369" s="142"/>
      <c r="K369" s="411"/>
      <c r="L369" s="142"/>
      <c r="M369" s="411"/>
      <c r="N369" s="142"/>
      <c r="O369" s="403"/>
      <c r="P369" s="198"/>
      <c r="Q369" s="412"/>
      <c r="R369" s="76"/>
      <c r="S369" s="197"/>
      <c r="T369" s="198"/>
      <c r="U369" s="197"/>
      <c r="V369" s="198"/>
      <c r="W369" s="198"/>
      <c r="X369" s="198"/>
      <c r="Y369" s="198"/>
      <c r="Z369" s="198"/>
    </row>
    <row r="370">
      <c r="A370" s="403"/>
      <c r="B370" s="198"/>
      <c r="C370" s="403"/>
      <c r="D370" s="142"/>
      <c r="E370" s="403"/>
      <c r="F370" s="198"/>
      <c r="G370" s="403"/>
      <c r="H370" s="198"/>
      <c r="I370" s="411"/>
      <c r="J370" s="142"/>
      <c r="K370" s="411"/>
      <c r="L370" s="142"/>
      <c r="M370" s="411"/>
      <c r="N370" s="142"/>
      <c r="O370" s="403"/>
      <c r="P370" s="198"/>
      <c r="Q370" s="412"/>
      <c r="R370" s="76"/>
      <c r="S370" s="197"/>
      <c r="T370" s="198"/>
      <c r="U370" s="197"/>
      <c r="V370" s="198"/>
      <c r="W370" s="198"/>
      <c r="X370" s="198"/>
      <c r="Y370" s="198"/>
      <c r="Z370" s="198"/>
    </row>
    <row r="371">
      <c r="A371" s="403"/>
      <c r="B371" s="198"/>
      <c r="C371" s="403"/>
      <c r="D371" s="142"/>
      <c r="E371" s="403"/>
      <c r="F371" s="198"/>
      <c r="G371" s="403"/>
      <c r="H371" s="198"/>
      <c r="I371" s="411"/>
      <c r="J371" s="142"/>
      <c r="K371" s="411"/>
      <c r="L371" s="142"/>
      <c r="M371" s="411"/>
      <c r="N371" s="142"/>
      <c r="O371" s="403"/>
      <c r="P371" s="198"/>
      <c r="Q371" s="412"/>
      <c r="R371" s="76"/>
      <c r="S371" s="197"/>
      <c r="T371" s="198"/>
      <c r="U371" s="197"/>
      <c r="V371" s="198"/>
      <c r="W371" s="198"/>
      <c r="X371" s="198"/>
      <c r="Y371" s="198"/>
      <c r="Z371" s="198"/>
    </row>
    <row r="372">
      <c r="A372" s="403"/>
      <c r="B372" s="198"/>
      <c r="C372" s="403"/>
      <c r="D372" s="142"/>
      <c r="E372" s="403"/>
      <c r="F372" s="198"/>
      <c r="G372" s="403"/>
      <c r="H372" s="198"/>
      <c r="I372" s="411"/>
      <c r="J372" s="142"/>
      <c r="K372" s="411"/>
      <c r="L372" s="142"/>
      <c r="M372" s="411"/>
      <c r="N372" s="142"/>
      <c r="O372" s="403"/>
      <c r="P372" s="198"/>
      <c r="Q372" s="412"/>
      <c r="R372" s="76"/>
      <c r="S372" s="197"/>
      <c r="T372" s="198"/>
      <c r="U372" s="197"/>
      <c r="V372" s="198"/>
      <c r="W372" s="198"/>
      <c r="X372" s="198"/>
      <c r="Y372" s="198"/>
      <c r="Z372" s="198"/>
    </row>
    <row r="373">
      <c r="A373" s="403"/>
      <c r="B373" s="198"/>
      <c r="C373" s="403"/>
      <c r="D373" s="142"/>
      <c r="E373" s="403"/>
      <c r="F373" s="198"/>
      <c r="G373" s="403"/>
      <c r="H373" s="198"/>
      <c r="I373" s="411"/>
      <c r="J373" s="142"/>
      <c r="K373" s="411"/>
      <c r="L373" s="142"/>
      <c r="M373" s="411"/>
      <c r="N373" s="142"/>
      <c r="O373" s="403"/>
      <c r="P373" s="198"/>
      <c r="Q373" s="412"/>
      <c r="R373" s="76"/>
      <c r="S373" s="197"/>
      <c r="T373" s="198"/>
      <c r="U373" s="197"/>
      <c r="V373" s="198"/>
      <c r="W373" s="198"/>
      <c r="X373" s="198"/>
      <c r="Y373" s="198"/>
      <c r="Z373" s="198"/>
    </row>
    <row r="374">
      <c r="A374" s="403"/>
      <c r="B374" s="198"/>
      <c r="C374" s="403"/>
      <c r="D374" s="142"/>
      <c r="E374" s="403"/>
      <c r="F374" s="198"/>
      <c r="G374" s="403"/>
      <c r="H374" s="198"/>
      <c r="I374" s="411"/>
      <c r="J374" s="142"/>
      <c r="K374" s="411"/>
      <c r="L374" s="142"/>
      <c r="M374" s="411"/>
      <c r="N374" s="142"/>
      <c r="O374" s="403"/>
      <c r="P374" s="198"/>
      <c r="Q374" s="412"/>
      <c r="R374" s="76"/>
      <c r="S374" s="197"/>
      <c r="T374" s="198"/>
      <c r="U374" s="197"/>
      <c r="V374" s="198"/>
      <c r="W374" s="198"/>
      <c r="X374" s="198"/>
      <c r="Y374" s="198"/>
      <c r="Z374" s="198"/>
    </row>
    <row r="375">
      <c r="A375" s="403"/>
      <c r="B375" s="198"/>
      <c r="C375" s="403"/>
      <c r="D375" s="142"/>
      <c r="E375" s="403"/>
      <c r="F375" s="198"/>
      <c r="G375" s="403"/>
      <c r="H375" s="198"/>
      <c r="I375" s="411"/>
      <c r="J375" s="142"/>
      <c r="K375" s="411"/>
      <c r="L375" s="142"/>
      <c r="M375" s="411"/>
      <c r="N375" s="142"/>
      <c r="O375" s="403"/>
      <c r="P375" s="198"/>
      <c r="Q375" s="412"/>
      <c r="R375" s="76"/>
      <c r="S375" s="197"/>
      <c r="T375" s="198"/>
      <c r="U375" s="197"/>
      <c r="V375" s="198"/>
      <c r="W375" s="198"/>
      <c r="X375" s="198"/>
      <c r="Y375" s="198"/>
      <c r="Z375" s="198"/>
    </row>
    <row r="376">
      <c r="A376" s="403"/>
      <c r="B376" s="198"/>
      <c r="C376" s="403"/>
      <c r="D376" s="142"/>
      <c r="E376" s="403"/>
      <c r="F376" s="198"/>
      <c r="G376" s="403"/>
      <c r="H376" s="198"/>
      <c r="I376" s="411"/>
      <c r="J376" s="142"/>
      <c r="K376" s="411"/>
      <c r="L376" s="142"/>
      <c r="M376" s="411"/>
      <c r="N376" s="142"/>
      <c r="O376" s="403"/>
      <c r="P376" s="198"/>
      <c r="Q376" s="412"/>
      <c r="R376" s="76"/>
      <c r="S376" s="197"/>
      <c r="T376" s="198"/>
      <c r="U376" s="197"/>
      <c r="V376" s="198"/>
      <c r="W376" s="198"/>
      <c r="X376" s="198"/>
      <c r="Y376" s="198"/>
      <c r="Z376" s="198"/>
    </row>
    <row r="377">
      <c r="A377" s="403"/>
      <c r="B377" s="198"/>
      <c r="C377" s="403"/>
      <c r="D377" s="142"/>
      <c r="E377" s="403"/>
      <c r="F377" s="198"/>
      <c r="G377" s="403"/>
      <c r="H377" s="198"/>
      <c r="I377" s="411"/>
      <c r="J377" s="142"/>
      <c r="K377" s="411"/>
      <c r="L377" s="142"/>
      <c r="M377" s="411"/>
      <c r="N377" s="142"/>
      <c r="O377" s="403"/>
      <c r="P377" s="198"/>
      <c r="Q377" s="412"/>
      <c r="R377" s="76"/>
      <c r="S377" s="197"/>
      <c r="T377" s="198"/>
      <c r="U377" s="197"/>
      <c r="V377" s="198"/>
      <c r="W377" s="198"/>
      <c r="X377" s="198"/>
      <c r="Y377" s="198"/>
      <c r="Z377" s="198"/>
    </row>
    <row r="378">
      <c r="A378" s="403"/>
      <c r="B378" s="198"/>
      <c r="C378" s="403"/>
      <c r="D378" s="142"/>
      <c r="E378" s="403"/>
      <c r="F378" s="198"/>
      <c r="G378" s="403"/>
      <c r="H378" s="198"/>
      <c r="I378" s="411"/>
      <c r="J378" s="142"/>
      <c r="K378" s="411"/>
      <c r="L378" s="142"/>
      <c r="M378" s="411"/>
      <c r="N378" s="142"/>
      <c r="O378" s="403"/>
      <c r="P378" s="198"/>
      <c r="Q378" s="412"/>
      <c r="R378" s="76"/>
      <c r="S378" s="197"/>
      <c r="T378" s="198"/>
      <c r="U378" s="197"/>
      <c r="V378" s="198"/>
      <c r="W378" s="198"/>
      <c r="X378" s="198"/>
      <c r="Y378" s="198"/>
      <c r="Z378" s="198"/>
    </row>
    <row r="379">
      <c r="A379" s="403"/>
      <c r="B379" s="198"/>
      <c r="C379" s="403"/>
      <c r="D379" s="142"/>
      <c r="E379" s="403"/>
      <c r="F379" s="198"/>
      <c r="G379" s="403"/>
      <c r="H379" s="198"/>
      <c r="I379" s="411"/>
      <c r="J379" s="142"/>
      <c r="K379" s="411"/>
      <c r="L379" s="142"/>
      <c r="M379" s="411"/>
      <c r="N379" s="142"/>
      <c r="O379" s="403"/>
      <c r="P379" s="198"/>
      <c r="Q379" s="412"/>
      <c r="R379" s="76"/>
      <c r="S379" s="197"/>
      <c r="T379" s="198"/>
      <c r="U379" s="197"/>
      <c r="V379" s="198"/>
      <c r="W379" s="198"/>
      <c r="X379" s="198"/>
      <c r="Y379" s="198"/>
      <c r="Z379" s="198"/>
    </row>
    <row r="380">
      <c r="A380" s="403"/>
      <c r="B380" s="198"/>
      <c r="C380" s="403"/>
      <c r="D380" s="142"/>
      <c r="E380" s="403"/>
      <c r="F380" s="198"/>
      <c r="G380" s="403"/>
      <c r="H380" s="198"/>
      <c r="I380" s="411"/>
      <c r="J380" s="142"/>
      <c r="K380" s="411"/>
      <c r="L380" s="142"/>
      <c r="M380" s="411"/>
      <c r="N380" s="142"/>
      <c r="O380" s="403"/>
      <c r="P380" s="198"/>
      <c r="Q380" s="412"/>
      <c r="R380" s="76"/>
      <c r="S380" s="197"/>
      <c r="T380" s="198"/>
      <c r="U380" s="197"/>
      <c r="V380" s="198"/>
      <c r="W380" s="198"/>
      <c r="X380" s="198"/>
      <c r="Y380" s="198"/>
      <c r="Z380" s="198"/>
    </row>
    <row r="381">
      <c r="A381" s="403"/>
      <c r="B381" s="198"/>
      <c r="C381" s="403"/>
      <c r="D381" s="142"/>
      <c r="E381" s="403"/>
      <c r="F381" s="198"/>
      <c r="G381" s="403"/>
      <c r="H381" s="198"/>
      <c r="I381" s="411"/>
      <c r="J381" s="142"/>
      <c r="K381" s="411"/>
      <c r="L381" s="142"/>
      <c r="M381" s="411"/>
      <c r="N381" s="142"/>
      <c r="O381" s="403"/>
      <c r="P381" s="198"/>
      <c r="Q381" s="412"/>
      <c r="R381" s="76"/>
      <c r="S381" s="197"/>
      <c r="T381" s="198"/>
      <c r="U381" s="197"/>
      <c r="V381" s="198"/>
      <c r="W381" s="198"/>
      <c r="X381" s="198"/>
      <c r="Y381" s="198"/>
      <c r="Z381" s="198"/>
    </row>
    <row r="382">
      <c r="A382" s="403"/>
      <c r="B382" s="198"/>
      <c r="C382" s="403"/>
      <c r="D382" s="142"/>
      <c r="E382" s="403"/>
      <c r="F382" s="198"/>
      <c r="G382" s="403"/>
      <c r="H382" s="198"/>
      <c r="I382" s="411"/>
      <c r="J382" s="142"/>
      <c r="K382" s="411"/>
      <c r="L382" s="142"/>
      <c r="M382" s="411"/>
      <c r="N382" s="142"/>
      <c r="O382" s="403"/>
      <c r="P382" s="198"/>
      <c r="Q382" s="412"/>
      <c r="R382" s="76"/>
      <c r="S382" s="197"/>
      <c r="T382" s="198"/>
      <c r="U382" s="197"/>
      <c r="V382" s="198"/>
      <c r="W382" s="198"/>
      <c r="X382" s="198"/>
      <c r="Y382" s="198"/>
      <c r="Z382" s="198"/>
    </row>
    <row r="383">
      <c r="A383" s="403"/>
      <c r="B383" s="198"/>
      <c r="C383" s="403"/>
      <c r="D383" s="142"/>
      <c r="E383" s="403"/>
      <c r="F383" s="198"/>
      <c r="G383" s="403"/>
      <c r="H383" s="198"/>
      <c r="I383" s="411"/>
      <c r="J383" s="142"/>
      <c r="K383" s="411"/>
      <c r="L383" s="142"/>
      <c r="M383" s="411"/>
      <c r="N383" s="142"/>
      <c r="O383" s="403"/>
      <c r="P383" s="198"/>
      <c r="Q383" s="412"/>
      <c r="R383" s="76"/>
      <c r="S383" s="197"/>
      <c r="T383" s="198"/>
      <c r="U383" s="197"/>
      <c r="V383" s="198"/>
      <c r="W383" s="198"/>
      <c r="X383" s="198"/>
      <c r="Y383" s="198"/>
      <c r="Z383" s="198"/>
    </row>
    <row r="384">
      <c r="A384" s="403"/>
      <c r="B384" s="198"/>
      <c r="C384" s="403"/>
      <c r="D384" s="142"/>
      <c r="E384" s="403"/>
      <c r="F384" s="198"/>
      <c r="G384" s="403"/>
      <c r="H384" s="198"/>
      <c r="I384" s="411"/>
      <c r="J384" s="142"/>
      <c r="K384" s="411"/>
      <c r="L384" s="142"/>
      <c r="M384" s="411"/>
      <c r="N384" s="142"/>
      <c r="O384" s="403"/>
      <c r="P384" s="198"/>
      <c r="Q384" s="412"/>
      <c r="R384" s="76"/>
      <c r="S384" s="197"/>
      <c r="T384" s="198"/>
      <c r="U384" s="197"/>
      <c r="V384" s="198"/>
      <c r="W384" s="198"/>
      <c r="X384" s="198"/>
      <c r="Y384" s="198"/>
      <c r="Z384" s="198"/>
    </row>
    <row r="385">
      <c r="A385" s="403"/>
      <c r="B385" s="198"/>
      <c r="C385" s="403"/>
      <c r="D385" s="142"/>
      <c r="E385" s="403"/>
      <c r="F385" s="198"/>
      <c r="G385" s="403"/>
      <c r="H385" s="198"/>
      <c r="I385" s="411"/>
      <c r="J385" s="142"/>
      <c r="K385" s="411"/>
      <c r="L385" s="142"/>
      <c r="M385" s="411"/>
      <c r="N385" s="142"/>
      <c r="O385" s="403"/>
      <c r="P385" s="198"/>
      <c r="Q385" s="412"/>
      <c r="R385" s="76"/>
      <c r="S385" s="197"/>
      <c r="T385" s="198"/>
      <c r="U385" s="197"/>
      <c r="V385" s="198"/>
      <c r="W385" s="198"/>
      <c r="X385" s="198"/>
      <c r="Y385" s="198"/>
      <c r="Z385" s="198"/>
    </row>
    <row r="386">
      <c r="A386" s="403"/>
      <c r="B386" s="198"/>
      <c r="C386" s="403"/>
      <c r="D386" s="142"/>
      <c r="E386" s="403"/>
      <c r="F386" s="198"/>
      <c r="G386" s="403"/>
      <c r="H386" s="198"/>
      <c r="I386" s="411"/>
      <c r="J386" s="142"/>
      <c r="K386" s="411"/>
      <c r="L386" s="142"/>
      <c r="M386" s="411"/>
      <c r="N386" s="142"/>
      <c r="O386" s="403"/>
      <c r="P386" s="198"/>
      <c r="Q386" s="412"/>
      <c r="R386" s="76"/>
      <c r="S386" s="197"/>
      <c r="T386" s="198"/>
      <c r="U386" s="197"/>
      <c r="V386" s="198"/>
      <c r="W386" s="198"/>
      <c r="X386" s="198"/>
      <c r="Y386" s="198"/>
      <c r="Z386" s="198"/>
    </row>
    <row r="387">
      <c r="A387" s="403"/>
      <c r="B387" s="198"/>
      <c r="C387" s="403"/>
      <c r="D387" s="142"/>
      <c r="E387" s="403"/>
      <c r="F387" s="198"/>
      <c r="G387" s="403"/>
      <c r="H387" s="198"/>
      <c r="I387" s="411"/>
      <c r="J387" s="142"/>
      <c r="K387" s="411"/>
      <c r="L387" s="142"/>
      <c r="M387" s="411"/>
      <c r="N387" s="142"/>
      <c r="O387" s="403"/>
      <c r="P387" s="198"/>
      <c r="Q387" s="412"/>
      <c r="R387" s="76"/>
      <c r="S387" s="197"/>
      <c r="T387" s="198"/>
      <c r="U387" s="197"/>
      <c r="V387" s="198"/>
      <c r="W387" s="198"/>
      <c r="X387" s="198"/>
      <c r="Y387" s="198"/>
      <c r="Z387" s="198"/>
    </row>
    <row r="388">
      <c r="A388" s="403"/>
      <c r="B388" s="198"/>
      <c r="C388" s="403"/>
      <c r="D388" s="142"/>
      <c r="E388" s="403"/>
      <c r="F388" s="198"/>
      <c r="G388" s="403"/>
      <c r="H388" s="198"/>
      <c r="I388" s="411"/>
      <c r="J388" s="142"/>
      <c r="K388" s="411"/>
      <c r="L388" s="142"/>
      <c r="M388" s="411"/>
      <c r="N388" s="142"/>
      <c r="O388" s="403"/>
      <c r="P388" s="198"/>
      <c r="Q388" s="412"/>
      <c r="R388" s="76"/>
      <c r="S388" s="197"/>
      <c r="T388" s="198"/>
      <c r="U388" s="197"/>
      <c r="V388" s="198"/>
      <c r="W388" s="198"/>
      <c r="X388" s="198"/>
      <c r="Y388" s="198"/>
      <c r="Z388" s="198"/>
    </row>
    <row r="389">
      <c r="A389" s="403"/>
      <c r="B389" s="198"/>
      <c r="C389" s="403"/>
      <c r="D389" s="142"/>
      <c r="E389" s="403"/>
      <c r="F389" s="198"/>
      <c r="G389" s="403"/>
      <c r="H389" s="198"/>
      <c r="I389" s="411"/>
      <c r="J389" s="142"/>
      <c r="K389" s="411"/>
      <c r="L389" s="142"/>
      <c r="M389" s="411"/>
      <c r="N389" s="142"/>
      <c r="O389" s="403"/>
      <c r="P389" s="198"/>
      <c r="Q389" s="412"/>
      <c r="R389" s="76"/>
      <c r="S389" s="197"/>
      <c r="T389" s="198"/>
      <c r="U389" s="197"/>
      <c r="V389" s="198"/>
      <c r="W389" s="198"/>
      <c r="X389" s="198"/>
      <c r="Y389" s="198"/>
      <c r="Z389" s="198"/>
    </row>
    <row r="390">
      <c r="A390" s="403"/>
      <c r="B390" s="198"/>
      <c r="C390" s="403"/>
      <c r="D390" s="142"/>
      <c r="E390" s="403"/>
      <c r="F390" s="198"/>
      <c r="G390" s="403"/>
      <c r="H390" s="198"/>
      <c r="I390" s="411"/>
      <c r="J390" s="142"/>
      <c r="K390" s="411"/>
      <c r="L390" s="142"/>
      <c r="M390" s="411"/>
      <c r="N390" s="142"/>
      <c r="O390" s="403"/>
      <c r="P390" s="198"/>
      <c r="Q390" s="412"/>
      <c r="R390" s="76"/>
      <c r="S390" s="197"/>
      <c r="T390" s="198"/>
      <c r="U390" s="197"/>
      <c r="V390" s="198"/>
      <c r="W390" s="198"/>
      <c r="X390" s="198"/>
      <c r="Y390" s="198"/>
      <c r="Z390" s="198"/>
    </row>
    <row r="391">
      <c r="A391" s="403"/>
      <c r="B391" s="198"/>
      <c r="C391" s="403"/>
      <c r="D391" s="142"/>
      <c r="E391" s="403"/>
      <c r="F391" s="198"/>
      <c r="G391" s="403"/>
      <c r="H391" s="198"/>
      <c r="I391" s="411"/>
      <c r="J391" s="142"/>
      <c r="K391" s="411"/>
      <c r="L391" s="142"/>
      <c r="M391" s="411"/>
      <c r="N391" s="142"/>
      <c r="O391" s="403"/>
      <c r="P391" s="198"/>
      <c r="Q391" s="412"/>
      <c r="R391" s="76"/>
      <c r="S391" s="197"/>
      <c r="T391" s="198"/>
      <c r="U391" s="197"/>
      <c r="V391" s="198"/>
      <c r="W391" s="198"/>
      <c r="X391" s="198"/>
      <c r="Y391" s="198"/>
      <c r="Z391" s="198"/>
    </row>
    <row r="392">
      <c r="A392" s="403"/>
      <c r="B392" s="198"/>
      <c r="C392" s="403"/>
      <c r="D392" s="142"/>
      <c r="E392" s="403"/>
      <c r="F392" s="198"/>
      <c r="G392" s="403"/>
      <c r="H392" s="198"/>
      <c r="I392" s="411"/>
      <c r="J392" s="142"/>
      <c r="K392" s="411"/>
      <c r="L392" s="142"/>
      <c r="M392" s="411"/>
      <c r="N392" s="142"/>
      <c r="O392" s="403"/>
      <c r="P392" s="198"/>
      <c r="Q392" s="412"/>
      <c r="R392" s="76"/>
      <c r="S392" s="197"/>
      <c r="T392" s="198"/>
      <c r="U392" s="197"/>
      <c r="V392" s="198"/>
      <c r="W392" s="198"/>
      <c r="X392" s="198"/>
      <c r="Y392" s="198"/>
      <c r="Z392" s="198"/>
    </row>
    <row r="393">
      <c r="A393" s="403"/>
      <c r="B393" s="198"/>
      <c r="C393" s="403"/>
      <c r="D393" s="142"/>
      <c r="E393" s="403"/>
      <c r="F393" s="198"/>
      <c r="G393" s="403"/>
      <c r="H393" s="198"/>
      <c r="I393" s="411"/>
      <c r="J393" s="142"/>
      <c r="K393" s="411"/>
      <c r="L393" s="142"/>
      <c r="M393" s="411"/>
      <c r="N393" s="142"/>
      <c r="O393" s="403"/>
      <c r="P393" s="198"/>
      <c r="Q393" s="412"/>
      <c r="R393" s="76"/>
      <c r="S393" s="197"/>
      <c r="T393" s="198"/>
      <c r="U393" s="197"/>
      <c r="V393" s="198"/>
      <c r="W393" s="198"/>
      <c r="X393" s="198"/>
      <c r="Y393" s="198"/>
      <c r="Z393" s="198"/>
    </row>
    <row r="394">
      <c r="A394" s="403"/>
      <c r="B394" s="198"/>
      <c r="C394" s="403"/>
      <c r="D394" s="142"/>
      <c r="E394" s="403"/>
      <c r="F394" s="198"/>
      <c r="G394" s="403"/>
      <c r="H394" s="198"/>
      <c r="I394" s="411"/>
      <c r="J394" s="142"/>
      <c r="K394" s="411"/>
      <c r="L394" s="142"/>
      <c r="M394" s="411"/>
      <c r="N394" s="142"/>
      <c r="O394" s="403"/>
      <c r="P394" s="198"/>
      <c r="Q394" s="412"/>
      <c r="R394" s="76"/>
      <c r="S394" s="197"/>
      <c r="T394" s="198"/>
      <c r="U394" s="197"/>
      <c r="V394" s="198"/>
      <c r="W394" s="198"/>
      <c r="X394" s="198"/>
      <c r="Y394" s="198"/>
      <c r="Z394" s="198"/>
    </row>
    <row r="395">
      <c r="A395" s="403"/>
      <c r="B395" s="198"/>
      <c r="C395" s="403"/>
      <c r="D395" s="142"/>
      <c r="E395" s="403"/>
      <c r="F395" s="198"/>
      <c r="G395" s="403"/>
      <c r="H395" s="198"/>
      <c r="I395" s="411"/>
      <c r="J395" s="142"/>
      <c r="K395" s="411"/>
      <c r="L395" s="142"/>
      <c r="M395" s="411"/>
      <c r="N395" s="142"/>
      <c r="O395" s="403"/>
      <c r="P395" s="198"/>
      <c r="Q395" s="412"/>
      <c r="R395" s="76"/>
      <c r="S395" s="197"/>
      <c r="T395" s="198"/>
      <c r="U395" s="197"/>
      <c r="V395" s="198"/>
      <c r="W395" s="198"/>
      <c r="X395" s="198"/>
      <c r="Y395" s="198"/>
      <c r="Z395" s="198"/>
    </row>
    <row r="396">
      <c r="A396" s="403"/>
      <c r="B396" s="198"/>
      <c r="C396" s="403"/>
      <c r="D396" s="142"/>
      <c r="E396" s="403"/>
      <c r="F396" s="198"/>
      <c r="G396" s="403"/>
      <c r="H396" s="198"/>
      <c r="I396" s="411"/>
      <c r="J396" s="142"/>
      <c r="K396" s="411"/>
      <c r="L396" s="142"/>
      <c r="M396" s="411"/>
      <c r="N396" s="142"/>
      <c r="O396" s="403"/>
      <c r="P396" s="198"/>
      <c r="Q396" s="412"/>
      <c r="R396" s="76"/>
      <c r="S396" s="197"/>
      <c r="T396" s="198"/>
      <c r="U396" s="197"/>
      <c r="V396" s="198"/>
      <c r="W396" s="198"/>
      <c r="X396" s="198"/>
      <c r="Y396" s="198"/>
      <c r="Z396" s="198"/>
    </row>
    <row r="397">
      <c r="A397" s="403"/>
      <c r="B397" s="198"/>
      <c r="C397" s="403"/>
      <c r="D397" s="142"/>
      <c r="E397" s="403"/>
      <c r="F397" s="198"/>
      <c r="G397" s="403"/>
      <c r="H397" s="198"/>
      <c r="I397" s="411"/>
      <c r="J397" s="142"/>
      <c r="K397" s="411"/>
      <c r="L397" s="142"/>
      <c r="M397" s="411"/>
      <c r="N397" s="142"/>
      <c r="O397" s="403"/>
      <c r="P397" s="198"/>
      <c r="Q397" s="412"/>
      <c r="R397" s="76"/>
      <c r="S397" s="197"/>
      <c r="T397" s="198"/>
      <c r="U397" s="197"/>
      <c r="V397" s="198"/>
      <c r="W397" s="198"/>
      <c r="X397" s="198"/>
      <c r="Y397" s="198"/>
      <c r="Z397" s="198"/>
    </row>
    <row r="398">
      <c r="A398" s="403"/>
      <c r="B398" s="198"/>
      <c r="C398" s="403"/>
      <c r="D398" s="142"/>
      <c r="E398" s="403"/>
      <c r="F398" s="198"/>
      <c r="G398" s="403"/>
      <c r="H398" s="198"/>
      <c r="I398" s="411"/>
      <c r="J398" s="142"/>
      <c r="K398" s="411"/>
      <c r="L398" s="142"/>
      <c r="M398" s="411"/>
      <c r="N398" s="142"/>
      <c r="O398" s="403"/>
      <c r="P398" s="198"/>
      <c r="Q398" s="412"/>
      <c r="R398" s="76"/>
      <c r="S398" s="197"/>
      <c r="T398" s="198"/>
      <c r="U398" s="197"/>
      <c r="V398" s="198"/>
      <c r="W398" s="198"/>
      <c r="X398" s="198"/>
      <c r="Y398" s="198"/>
      <c r="Z398" s="198"/>
    </row>
    <row r="399">
      <c r="A399" s="403"/>
      <c r="B399" s="198"/>
      <c r="C399" s="403"/>
      <c r="D399" s="142"/>
      <c r="E399" s="403"/>
      <c r="F399" s="198"/>
      <c r="G399" s="403"/>
      <c r="H399" s="198"/>
      <c r="I399" s="411"/>
      <c r="J399" s="142"/>
      <c r="K399" s="411"/>
      <c r="L399" s="142"/>
      <c r="M399" s="411"/>
      <c r="N399" s="142"/>
      <c r="O399" s="403"/>
      <c r="P399" s="198"/>
      <c r="Q399" s="412"/>
      <c r="R399" s="76"/>
      <c r="S399" s="197"/>
      <c r="T399" s="198"/>
      <c r="U399" s="197"/>
      <c r="V399" s="198"/>
      <c r="W399" s="198"/>
      <c r="X399" s="198"/>
      <c r="Y399" s="198"/>
      <c r="Z399" s="198"/>
    </row>
    <row r="400">
      <c r="A400" s="403"/>
      <c r="B400" s="198"/>
      <c r="C400" s="403"/>
      <c r="D400" s="142"/>
      <c r="E400" s="403"/>
      <c r="F400" s="198"/>
      <c r="G400" s="403"/>
      <c r="H400" s="198"/>
      <c r="I400" s="411"/>
      <c r="J400" s="142"/>
      <c r="K400" s="411"/>
      <c r="L400" s="142"/>
      <c r="M400" s="411"/>
      <c r="N400" s="142"/>
      <c r="O400" s="403"/>
      <c r="P400" s="198"/>
      <c r="Q400" s="412"/>
      <c r="R400" s="76"/>
      <c r="S400" s="197"/>
      <c r="T400" s="198"/>
      <c r="U400" s="197"/>
      <c r="V400" s="198"/>
      <c r="W400" s="198"/>
      <c r="X400" s="198"/>
      <c r="Y400" s="198"/>
      <c r="Z400" s="198"/>
    </row>
    <row r="401">
      <c r="A401" s="403"/>
      <c r="B401" s="198"/>
      <c r="C401" s="403"/>
      <c r="D401" s="142"/>
      <c r="E401" s="403"/>
      <c r="F401" s="198"/>
      <c r="G401" s="403"/>
      <c r="H401" s="198"/>
      <c r="I401" s="411"/>
      <c r="J401" s="142"/>
      <c r="K401" s="411"/>
      <c r="L401" s="142"/>
      <c r="M401" s="411"/>
      <c r="N401" s="142"/>
      <c r="O401" s="403"/>
      <c r="P401" s="198"/>
      <c r="Q401" s="412"/>
      <c r="R401" s="76"/>
      <c r="S401" s="197"/>
      <c r="T401" s="198"/>
      <c r="U401" s="197"/>
      <c r="V401" s="198"/>
      <c r="W401" s="198"/>
      <c r="X401" s="198"/>
      <c r="Y401" s="198"/>
      <c r="Z401" s="198"/>
    </row>
    <row r="402">
      <c r="A402" s="403"/>
      <c r="B402" s="198"/>
      <c r="C402" s="403"/>
      <c r="D402" s="142"/>
      <c r="E402" s="403"/>
      <c r="F402" s="198"/>
      <c r="G402" s="403"/>
      <c r="H402" s="198"/>
      <c r="I402" s="411"/>
      <c r="J402" s="142"/>
      <c r="K402" s="411"/>
      <c r="L402" s="142"/>
      <c r="M402" s="411"/>
      <c r="N402" s="142"/>
      <c r="O402" s="403"/>
      <c r="P402" s="198"/>
      <c r="Q402" s="412"/>
      <c r="R402" s="76"/>
      <c r="S402" s="197"/>
      <c r="T402" s="198"/>
      <c r="U402" s="197"/>
      <c r="V402" s="198"/>
      <c r="W402" s="198"/>
      <c r="X402" s="198"/>
      <c r="Y402" s="198"/>
      <c r="Z402" s="198"/>
    </row>
    <row r="403">
      <c r="A403" s="403"/>
      <c r="B403" s="198"/>
      <c r="C403" s="403"/>
      <c r="D403" s="142"/>
      <c r="E403" s="403"/>
      <c r="F403" s="198"/>
      <c r="G403" s="403"/>
      <c r="H403" s="198"/>
      <c r="I403" s="411"/>
      <c r="J403" s="142"/>
      <c r="K403" s="411"/>
      <c r="L403" s="142"/>
      <c r="M403" s="411"/>
      <c r="N403" s="142"/>
      <c r="O403" s="403"/>
      <c r="P403" s="198"/>
      <c r="Q403" s="412"/>
      <c r="R403" s="76"/>
      <c r="S403" s="197"/>
      <c r="T403" s="198"/>
      <c r="U403" s="197"/>
      <c r="V403" s="198"/>
      <c r="W403" s="198"/>
      <c r="X403" s="198"/>
      <c r="Y403" s="198"/>
      <c r="Z403" s="198"/>
    </row>
    <row r="404">
      <c r="A404" s="403"/>
      <c r="B404" s="198"/>
      <c r="C404" s="403"/>
      <c r="D404" s="142"/>
      <c r="E404" s="403"/>
      <c r="F404" s="198"/>
      <c r="G404" s="403"/>
      <c r="H404" s="198"/>
      <c r="I404" s="411"/>
      <c r="J404" s="142"/>
      <c r="K404" s="411"/>
      <c r="L404" s="142"/>
      <c r="M404" s="411"/>
      <c r="N404" s="142"/>
      <c r="O404" s="403"/>
      <c r="P404" s="198"/>
      <c r="Q404" s="412"/>
      <c r="R404" s="76"/>
      <c r="S404" s="197"/>
      <c r="T404" s="198"/>
      <c r="U404" s="197"/>
      <c r="V404" s="198"/>
      <c r="W404" s="198"/>
      <c r="X404" s="198"/>
      <c r="Y404" s="198"/>
      <c r="Z404" s="198"/>
    </row>
    <row r="405">
      <c r="A405" s="403"/>
      <c r="B405" s="198"/>
      <c r="C405" s="403"/>
      <c r="D405" s="142"/>
      <c r="E405" s="403"/>
      <c r="F405" s="198"/>
      <c r="G405" s="403"/>
      <c r="H405" s="198"/>
      <c r="I405" s="411"/>
      <c r="J405" s="142"/>
      <c r="K405" s="411"/>
      <c r="L405" s="142"/>
      <c r="M405" s="411"/>
      <c r="N405" s="142"/>
      <c r="O405" s="403"/>
      <c r="P405" s="198"/>
      <c r="Q405" s="412"/>
      <c r="R405" s="76"/>
      <c r="S405" s="197"/>
      <c r="T405" s="198"/>
      <c r="U405" s="197"/>
      <c r="V405" s="198"/>
      <c r="W405" s="198"/>
      <c r="X405" s="198"/>
      <c r="Y405" s="198"/>
      <c r="Z405" s="198"/>
    </row>
    <row r="406">
      <c r="A406" s="403"/>
      <c r="B406" s="198"/>
      <c r="C406" s="403"/>
      <c r="D406" s="142"/>
      <c r="E406" s="403"/>
      <c r="F406" s="198"/>
      <c r="G406" s="403"/>
      <c r="H406" s="198"/>
      <c r="I406" s="411"/>
      <c r="J406" s="142"/>
      <c r="K406" s="411"/>
      <c r="L406" s="142"/>
      <c r="M406" s="411"/>
      <c r="N406" s="142"/>
      <c r="O406" s="403"/>
      <c r="P406" s="198"/>
      <c r="Q406" s="412"/>
      <c r="R406" s="76"/>
      <c r="S406" s="197"/>
      <c r="T406" s="198"/>
      <c r="U406" s="197"/>
      <c r="V406" s="198"/>
      <c r="W406" s="198"/>
      <c r="X406" s="198"/>
      <c r="Y406" s="198"/>
      <c r="Z406" s="198"/>
    </row>
    <row r="407">
      <c r="A407" s="403"/>
      <c r="B407" s="198"/>
      <c r="C407" s="403"/>
      <c r="D407" s="142"/>
      <c r="E407" s="403"/>
      <c r="F407" s="198"/>
      <c r="G407" s="403"/>
      <c r="H407" s="198"/>
      <c r="I407" s="411"/>
      <c r="J407" s="142"/>
      <c r="K407" s="411"/>
      <c r="L407" s="142"/>
      <c r="M407" s="411"/>
      <c r="N407" s="142"/>
      <c r="O407" s="403"/>
      <c r="P407" s="198"/>
      <c r="Q407" s="412"/>
      <c r="R407" s="76"/>
      <c r="S407" s="197"/>
      <c r="T407" s="198"/>
      <c r="U407" s="197"/>
      <c r="V407" s="198"/>
      <c r="W407" s="198"/>
      <c r="X407" s="198"/>
      <c r="Y407" s="198"/>
      <c r="Z407" s="198"/>
    </row>
    <row r="408">
      <c r="A408" s="403"/>
      <c r="B408" s="198"/>
      <c r="C408" s="403"/>
      <c r="D408" s="142"/>
      <c r="E408" s="403"/>
      <c r="F408" s="198"/>
      <c r="G408" s="403"/>
      <c r="H408" s="198"/>
      <c r="I408" s="411"/>
      <c r="J408" s="142"/>
      <c r="K408" s="411"/>
      <c r="L408" s="142"/>
      <c r="M408" s="411"/>
      <c r="N408" s="142"/>
      <c r="O408" s="403"/>
      <c r="P408" s="198"/>
      <c r="Q408" s="412"/>
      <c r="R408" s="76"/>
      <c r="S408" s="197"/>
      <c r="T408" s="198"/>
      <c r="U408" s="197"/>
      <c r="V408" s="198"/>
      <c r="W408" s="198"/>
      <c r="X408" s="198"/>
      <c r="Y408" s="198"/>
      <c r="Z408" s="198"/>
    </row>
    <row r="409">
      <c r="A409" s="403"/>
      <c r="B409" s="198"/>
      <c r="C409" s="403"/>
      <c r="D409" s="142"/>
      <c r="E409" s="403"/>
      <c r="F409" s="198"/>
      <c r="G409" s="403"/>
      <c r="H409" s="198"/>
      <c r="I409" s="411"/>
      <c r="J409" s="142"/>
      <c r="K409" s="411"/>
      <c r="L409" s="142"/>
      <c r="M409" s="411"/>
      <c r="N409" s="142"/>
      <c r="O409" s="403"/>
      <c r="P409" s="198"/>
      <c r="Q409" s="412"/>
      <c r="R409" s="76"/>
      <c r="S409" s="197"/>
      <c r="T409" s="198"/>
      <c r="U409" s="197"/>
      <c r="V409" s="198"/>
      <c r="W409" s="198"/>
      <c r="X409" s="198"/>
      <c r="Y409" s="198"/>
      <c r="Z409" s="198"/>
    </row>
    <row r="410">
      <c r="A410" s="403"/>
      <c r="B410" s="198"/>
      <c r="C410" s="403"/>
      <c r="D410" s="142"/>
      <c r="E410" s="403"/>
      <c r="F410" s="198"/>
      <c r="G410" s="403"/>
      <c r="H410" s="198"/>
      <c r="I410" s="411"/>
      <c r="J410" s="142"/>
      <c r="K410" s="411"/>
      <c r="L410" s="142"/>
      <c r="M410" s="411"/>
      <c r="N410" s="142"/>
      <c r="O410" s="403"/>
      <c r="P410" s="198"/>
      <c r="Q410" s="412"/>
      <c r="R410" s="76"/>
      <c r="S410" s="197"/>
      <c r="T410" s="198"/>
      <c r="U410" s="197"/>
      <c r="V410" s="198"/>
      <c r="W410" s="198"/>
      <c r="X410" s="198"/>
      <c r="Y410" s="198"/>
      <c r="Z410" s="198"/>
    </row>
    <row r="411">
      <c r="A411" s="403"/>
      <c r="B411" s="198"/>
      <c r="C411" s="403"/>
      <c r="D411" s="142"/>
      <c r="E411" s="403"/>
      <c r="F411" s="198"/>
      <c r="G411" s="403"/>
      <c r="H411" s="198"/>
      <c r="I411" s="411"/>
      <c r="J411" s="142"/>
      <c r="K411" s="411"/>
      <c r="L411" s="142"/>
      <c r="M411" s="411"/>
      <c r="N411" s="142"/>
      <c r="O411" s="403"/>
      <c r="P411" s="198"/>
      <c r="Q411" s="412"/>
      <c r="R411" s="76"/>
      <c r="S411" s="197"/>
      <c r="T411" s="198"/>
      <c r="U411" s="197"/>
      <c r="V411" s="198"/>
      <c r="W411" s="198"/>
      <c r="X411" s="198"/>
      <c r="Y411" s="198"/>
      <c r="Z411" s="198"/>
    </row>
    <row r="412">
      <c r="A412" s="403"/>
      <c r="B412" s="198"/>
      <c r="C412" s="403"/>
      <c r="D412" s="142"/>
      <c r="E412" s="403"/>
      <c r="F412" s="198"/>
      <c r="G412" s="403"/>
      <c r="H412" s="198"/>
      <c r="I412" s="411"/>
      <c r="J412" s="142"/>
      <c r="K412" s="411"/>
      <c r="L412" s="142"/>
      <c r="M412" s="411"/>
      <c r="N412" s="142"/>
      <c r="O412" s="403"/>
      <c r="P412" s="198"/>
      <c r="Q412" s="412"/>
      <c r="R412" s="76"/>
      <c r="S412" s="197"/>
      <c r="T412" s="198"/>
      <c r="U412" s="197"/>
      <c r="V412" s="198"/>
      <c r="W412" s="198"/>
      <c r="X412" s="198"/>
      <c r="Y412" s="198"/>
      <c r="Z412" s="198"/>
    </row>
    <row r="413">
      <c r="A413" s="403"/>
      <c r="B413" s="198"/>
      <c r="C413" s="403"/>
      <c r="D413" s="142"/>
      <c r="E413" s="403"/>
      <c r="F413" s="198"/>
      <c r="G413" s="403"/>
      <c r="H413" s="198"/>
      <c r="I413" s="411"/>
      <c r="J413" s="142"/>
      <c r="K413" s="411"/>
      <c r="L413" s="142"/>
      <c r="M413" s="411"/>
      <c r="N413" s="142"/>
      <c r="O413" s="403"/>
      <c r="P413" s="198"/>
      <c r="Q413" s="412"/>
      <c r="R413" s="76"/>
      <c r="S413" s="197"/>
      <c r="T413" s="198"/>
      <c r="U413" s="197"/>
      <c r="V413" s="198"/>
      <c r="W413" s="198"/>
      <c r="X413" s="198"/>
      <c r="Y413" s="198"/>
      <c r="Z413" s="198"/>
    </row>
    <row r="414">
      <c r="A414" s="403"/>
      <c r="B414" s="198"/>
      <c r="C414" s="403"/>
      <c r="D414" s="142"/>
      <c r="E414" s="403"/>
      <c r="F414" s="198"/>
      <c r="G414" s="403"/>
      <c r="H414" s="198"/>
      <c r="I414" s="411"/>
      <c r="J414" s="142"/>
      <c r="K414" s="411"/>
      <c r="L414" s="142"/>
      <c r="M414" s="411"/>
      <c r="N414" s="142"/>
      <c r="O414" s="403"/>
      <c r="P414" s="198"/>
      <c r="Q414" s="412"/>
      <c r="R414" s="76"/>
      <c r="S414" s="197"/>
      <c r="T414" s="198"/>
      <c r="U414" s="197"/>
      <c r="V414" s="198"/>
      <c r="W414" s="198"/>
      <c r="X414" s="198"/>
      <c r="Y414" s="198"/>
      <c r="Z414" s="198"/>
    </row>
    <row r="415">
      <c r="A415" s="403"/>
      <c r="B415" s="198"/>
      <c r="C415" s="403"/>
      <c r="D415" s="142"/>
      <c r="E415" s="403"/>
      <c r="F415" s="198"/>
      <c r="G415" s="403"/>
      <c r="H415" s="198"/>
      <c r="I415" s="411"/>
      <c r="J415" s="142"/>
      <c r="K415" s="411"/>
      <c r="L415" s="142"/>
      <c r="M415" s="411"/>
      <c r="N415" s="142"/>
      <c r="O415" s="403"/>
      <c r="P415" s="198"/>
      <c r="Q415" s="412"/>
      <c r="R415" s="76"/>
      <c r="S415" s="197"/>
      <c r="T415" s="198"/>
      <c r="U415" s="197"/>
      <c r="V415" s="198"/>
      <c r="W415" s="198"/>
      <c r="X415" s="198"/>
      <c r="Y415" s="198"/>
      <c r="Z415" s="198"/>
    </row>
    <row r="416">
      <c r="A416" s="403"/>
      <c r="B416" s="198"/>
      <c r="C416" s="403"/>
      <c r="D416" s="142"/>
      <c r="E416" s="403"/>
      <c r="F416" s="198"/>
      <c r="G416" s="403"/>
      <c r="H416" s="198"/>
      <c r="I416" s="411"/>
      <c r="J416" s="142"/>
      <c r="K416" s="411"/>
      <c r="L416" s="142"/>
      <c r="M416" s="411"/>
      <c r="N416" s="142"/>
      <c r="O416" s="403"/>
      <c r="P416" s="198"/>
      <c r="Q416" s="412"/>
      <c r="R416" s="76"/>
      <c r="S416" s="197"/>
      <c r="T416" s="198"/>
      <c r="U416" s="197"/>
      <c r="V416" s="198"/>
      <c r="W416" s="198"/>
      <c r="X416" s="198"/>
      <c r="Y416" s="198"/>
      <c r="Z416" s="198"/>
    </row>
    <row r="417">
      <c r="A417" s="403"/>
      <c r="B417" s="198"/>
      <c r="C417" s="403"/>
      <c r="D417" s="142"/>
      <c r="E417" s="403"/>
      <c r="F417" s="198"/>
      <c r="G417" s="403"/>
      <c r="H417" s="198"/>
      <c r="I417" s="411"/>
      <c r="J417" s="142"/>
      <c r="K417" s="411"/>
      <c r="L417" s="142"/>
      <c r="M417" s="411"/>
      <c r="N417" s="142"/>
      <c r="O417" s="403"/>
      <c r="P417" s="198"/>
      <c r="Q417" s="412"/>
      <c r="R417" s="76"/>
      <c r="S417" s="197"/>
      <c r="T417" s="198"/>
      <c r="U417" s="197"/>
      <c r="V417" s="198"/>
      <c r="W417" s="198"/>
      <c r="X417" s="198"/>
      <c r="Y417" s="198"/>
      <c r="Z417" s="198"/>
    </row>
    <row r="418">
      <c r="A418" s="403"/>
      <c r="B418" s="198"/>
      <c r="C418" s="403"/>
      <c r="D418" s="142"/>
      <c r="E418" s="403"/>
      <c r="F418" s="198"/>
      <c r="G418" s="403"/>
      <c r="H418" s="198"/>
      <c r="I418" s="411"/>
      <c r="J418" s="142"/>
      <c r="K418" s="411"/>
      <c r="L418" s="142"/>
      <c r="M418" s="411"/>
      <c r="N418" s="142"/>
      <c r="O418" s="403"/>
      <c r="P418" s="198"/>
      <c r="Q418" s="412"/>
      <c r="R418" s="76"/>
      <c r="S418" s="197"/>
      <c r="T418" s="198"/>
      <c r="U418" s="197"/>
      <c r="V418" s="198"/>
      <c r="W418" s="198"/>
      <c r="X418" s="198"/>
      <c r="Y418" s="198"/>
      <c r="Z418" s="198"/>
    </row>
    <row r="419">
      <c r="A419" s="403"/>
      <c r="B419" s="198"/>
      <c r="C419" s="403"/>
      <c r="D419" s="142"/>
      <c r="E419" s="403"/>
      <c r="F419" s="198"/>
      <c r="G419" s="403"/>
      <c r="H419" s="198"/>
      <c r="I419" s="411"/>
      <c r="J419" s="142"/>
      <c r="K419" s="411"/>
      <c r="L419" s="142"/>
      <c r="M419" s="411"/>
      <c r="N419" s="142"/>
      <c r="O419" s="403"/>
      <c r="P419" s="198"/>
      <c r="Q419" s="412"/>
      <c r="R419" s="76"/>
      <c r="S419" s="197"/>
      <c r="T419" s="198"/>
      <c r="U419" s="197"/>
      <c r="V419" s="198"/>
      <c r="W419" s="198"/>
      <c r="X419" s="198"/>
      <c r="Y419" s="198"/>
      <c r="Z419" s="198"/>
    </row>
    <row r="420">
      <c r="A420" s="403"/>
      <c r="B420" s="198"/>
      <c r="C420" s="403"/>
      <c r="D420" s="142"/>
      <c r="E420" s="403"/>
      <c r="F420" s="198"/>
      <c r="G420" s="403"/>
      <c r="H420" s="198"/>
      <c r="I420" s="411"/>
      <c r="J420" s="142"/>
      <c r="K420" s="411"/>
      <c r="L420" s="142"/>
      <c r="M420" s="411"/>
      <c r="N420" s="142"/>
      <c r="O420" s="403"/>
      <c r="P420" s="198"/>
      <c r="Q420" s="412"/>
      <c r="R420" s="76"/>
      <c r="S420" s="197"/>
      <c r="T420" s="198"/>
      <c r="U420" s="197"/>
      <c r="V420" s="198"/>
      <c r="W420" s="198"/>
      <c r="X420" s="198"/>
      <c r="Y420" s="198"/>
      <c r="Z420" s="198"/>
    </row>
    <row r="421">
      <c r="A421" s="403"/>
      <c r="B421" s="198"/>
      <c r="C421" s="403"/>
      <c r="D421" s="142"/>
      <c r="E421" s="403"/>
      <c r="F421" s="198"/>
      <c r="G421" s="403"/>
      <c r="H421" s="198"/>
      <c r="I421" s="411"/>
      <c r="J421" s="142"/>
      <c r="K421" s="411"/>
      <c r="L421" s="142"/>
      <c r="M421" s="411"/>
      <c r="N421" s="142"/>
      <c r="O421" s="403"/>
      <c r="P421" s="198"/>
      <c r="Q421" s="412"/>
      <c r="R421" s="76"/>
      <c r="S421" s="197"/>
      <c r="T421" s="198"/>
      <c r="U421" s="197"/>
      <c r="V421" s="198"/>
      <c r="W421" s="198"/>
      <c r="X421" s="198"/>
      <c r="Y421" s="198"/>
      <c r="Z421" s="198"/>
    </row>
    <row r="422">
      <c r="A422" s="403"/>
      <c r="B422" s="198"/>
      <c r="C422" s="403"/>
      <c r="D422" s="142"/>
      <c r="E422" s="403"/>
      <c r="F422" s="198"/>
      <c r="G422" s="403"/>
      <c r="H422" s="198"/>
      <c r="I422" s="411"/>
      <c r="J422" s="142"/>
      <c r="K422" s="411"/>
      <c r="L422" s="142"/>
      <c r="M422" s="411"/>
      <c r="N422" s="142"/>
      <c r="O422" s="403"/>
      <c r="P422" s="198"/>
      <c r="Q422" s="412"/>
      <c r="R422" s="76"/>
      <c r="S422" s="197"/>
      <c r="T422" s="198"/>
      <c r="U422" s="197"/>
      <c r="V422" s="198"/>
      <c r="W422" s="198"/>
      <c r="X422" s="198"/>
      <c r="Y422" s="198"/>
      <c r="Z422" s="198"/>
    </row>
    <row r="423">
      <c r="A423" s="403"/>
      <c r="B423" s="198"/>
      <c r="C423" s="403"/>
      <c r="D423" s="142"/>
      <c r="E423" s="403"/>
      <c r="F423" s="198"/>
      <c r="G423" s="403"/>
      <c r="H423" s="198"/>
      <c r="I423" s="411"/>
      <c r="J423" s="142"/>
      <c r="K423" s="411"/>
      <c r="L423" s="142"/>
      <c r="M423" s="411"/>
      <c r="N423" s="142"/>
      <c r="O423" s="403"/>
      <c r="P423" s="198"/>
      <c r="Q423" s="412"/>
      <c r="R423" s="76"/>
      <c r="S423" s="197"/>
      <c r="T423" s="198"/>
      <c r="U423" s="197"/>
      <c r="V423" s="198"/>
      <c r="W423" s="198"/>
      <c r="X423" s="198"/>
      <c r="Y423" s="198"/>
      <c r="Z423" s="198"/>
    </row>
    <row r="424">
      <c r="A424" s="403"/>
      <c r="B424" s="198"/>
      <c r="C424" s="403"/>
      <c r="D424" s="142"/>
      <c r="E424" s="403"/>
      <c r="F424" s="198"/>
      <c r="G424" s="403"/>
      <c r="H424" s="198"/>
      <c r="I424" s="411"/>
      <c r="J424" s="142"/>
      <c r="K424" s="411"/>
      <c r="L424" s="142"/>
      <c r="M424" s="411"/>
      <c r="N424" s="142"/>
      <c r="O424" s="403"/>
      <c r="P424" s="198"/>
      <c r="Q424" s="412"/>
      <c r="R424" s="76"/>
      <c r="S424" s="197"/>
      <c r="T424" s="198"/>
      <c r="U424" s="197"/>
      <c r="V424" s="198"/>
      <c r="W424" s="198"/>
      <c r="X424" s="198"/>
      <c r="Y424" s="198"/>
      <c r="Z424" s="198"/>
    </row>
    <row r="425">
      <c r="A425" s="403"/>
      <c r="B425" s="198"/>
      <c r="C425" s="403"/>
      <c r="D425" s="142"/>
      <c r="E425" s="403"/>
      <c r="F425" s="198"/>
      <c r="G425" s="403"/>
      <c r="H425" s="198"/>
      <c r="I425" s="411"/>
      <c r="J425" s="142"/>
      <c r="K425" s="411"/>
      <c r="L425" s="142"/>
      <c r="M425" s="411"/>
      <c r="N425" s="142"/>
      <c r="O425" s="403"/>
      <c r="P425" s="198"/>
      <c r="Q425" s="412"/>
      <c r="R425" s="76"/>
      <c r="S425" s="197"/>
      <c r="T425" s="198"/>
      <c r="U425" s="197"/>
      <c r="V425" s="198"/>
      <c r="W425" s="198"/>
      <c r="X425" s="198"/>
      <c r="Y425" s="198"/>
      <c r="Z425" s="198"/>
    </row>
    <row r="426">
      <c r="A426" s="403"/>
      <c r="B426" s="198"/>
      <c r="C426" s="403"/>
      <c r="D426" s="142"/>
      <c r="E426" s="403"/>
      <c r="F426" s="198"/>
      <c r="G426" s="403"/>
      <c r="H426" s="198"/>
      <c r="I426" s="411"/>
      <c r="J426" s="142"/>
      <c r="K426" s="411"/>
      <c r="L426" s="142"/>
      <c r="M426" s="411"/>
      <c r="N426" s="142"/>
      <c r="O426" s="403"/>
      <c r="P426" s="198"/>
      <c r="Q426" s="412"/>
      <c r="R426" s="76"/>
      <c r="S426" s="197"/>
      <c r="T426" s="198"/>
      <c r="U426" s="197"/>
      <c r="V426" s="198"/>
      <c r="W426" s="198"/>
      <c r="X426" s="198"/>
      <c r="Y426" s="198"/>
      <c r="Z426" s="198"/>
    </row>
    <row r="427">
      <c r="A427" s="403"/>
      <c r="B427" s="198"/>
      <c r="C427" s="403"/>
      <c r="D427" s="142"/>
      <c r="E427" s="403"/>
      <c r="F427" s="198"/>
      <c r="G427" s="403"/>
      <c r="H427" s="198"/>
      <c r="I427" s="411"/>
      <c r="J427" s="142"/>
      <c r="K427" s="411"/>
      <c r="L427" s="142"/>
      <c r="M427" s="411"/>
      <c r="N427" s="142"/>
      <c r="O427" s="403"/>
      <c r="P427" s="198"/>
      <c r="Q427" s="412"/>
      <c r="R427" s="76"/>
      <c r="S427" s="197"/>
      <c r="T427" s="198"/>
      <c r="U427" s="197"/>
      <c r="V427" s="198"/>
      <c r="W427" s="198"/>
      <c r="X427" s="198"/>
      <c r="Y427" s="198"/>
      <c r="Z427" s="198"/>
    </row>
    <row r="428">
      <c r="A428" s="403"/>
      <c r="B428" s="198"/>
      <c r="C428" s="403"/>
      <c r="D428" s="142"/>
      <c r="E428" s="403"/>
      <c r="F428" s="198"/>
      <c r="G428" s="403"/>
      <c r="H428" s="198"/>
      <c r="I428" s="411"/>
      <c r="J428" s="142"/>
      <c r="K428" s="411"/>
      <c r="L428" s="142"/>
      <c r="M428" s="411"/>
      <c r="N428" s="142"/>
      <c r="O428" s="403"/>
      <c r="P428" s="198"/>
      <c r="Q428" s="412"/>
      <c r="R428" s="76"/>
      <c r="S428" s="197"/>
      <c r="T428" s="198"/>
      <c r="U428" s="197"/>
      <c r="V428" s="198"/>
      <c r="W428" s="198"/>
      <c r="X428" s="198"/>
      <c r="Y428" s="198"/>
      <c r="Z428" s="198"/>
    </row>
    <row r="429">
      <c r="A429" s="403"/>
      <c r="B429" s="198"/>
      <c r="C429" s="403"/>
      <c r="D429" s="142"/>
      <c r="E429" s="403"/>
      <c r="F429" s="198"/>
      <c r="G429" s="403"/>
      <c r="H429" s="198"/>
      <c r="I429" s="411"/>
      <c r="J429" s="142"/>
      <c r="K429" s="411"/>
      <c r="L429" s="142"/>
      <c r="M429" s="411"/>
      <c r="N429" s="142"/>
      <c r="O429" s="403"/>
      <c r="P429" s="198"/>
      <c r="Q429" s="412"/>
      <c r="R429" s="76"/>
      <c r="S429" s="197"/>
      <c r="T429" s="198"/>
      <c r="U429" s="197"/>
      <c r="V429" s="198"/>
      <c r="W429" s="198"/>
      <c r="X429" s="198"/>
      <c r="Y429" s="198"/>
      <c r="Z429" s="198"/>
    </row>
    <row r="430">
      <c r="A430" s="403"/>
      <c r="B430" s="198"/>
      <c r="C430" s="403"/>
      <c r="D430" s="142"/>
      <c r="E430" s="403"/>
      <c r="F430" s="198"/>
      <c r="G430" s="403"/>
      <c r="H430" s="198"/>
      <c r="I430" s="411"/>
      <c r="J430" s="142"/>
      <c r="K430" s="411"/>
      <c r="L430" s="142"/>
      <c r="M430" s="411"/>
      <c r="N430" s="142"/>
      <c r="O430" s="403"/>
      <c r="P430" s="198"/>
      <c r="Q430" s="412"/>
      <c r="R430" s="76"/>
      <c r="S430" s="197"/>
      <c r="T430" s="198"/>
      <c r="U430" s="197"/>
      <c r="V430" s="198"/>
      <c r="W430" s="198"/>
      <c r="X430" s="198"/>
      <c r="Y430" s="198"/>
      <c r="Z430" s="198"/>
    </row>
    <row r="431">
      <c r="A431" s="403"/>
      <c r="B431" s="198"/>
      <c r="C431" s="403"/>
      <c r="D431" s="142"/>
      <c r="E431" s="403"/>
      <c r="F431" s="198"/>
      <c r="G431" s="403"/>
      <c r="H431" s="198"/>
      <c r="I431" s="411"/>
      <c r="J431" s="142"/>
      <c r="K431" s="411"/>
      <c r="L431" s="142"/>
      <c r="M431" s="411"/>
      <c r="N431" s="142"/>
      <c r="O431" s="403"/>
      <c r="P431" s="198"/>
      <c r="Q431" s="412"/>
      <c r="R431" s="76"/>
      <c r="S431" s="197"/>
      <c r="T431" s="198"/>
      <c r="U431" s="197"/>
      <c r="V431" s="198"/>
      <c r="W431" s="198"/>
      <c r="X431" s="198"/>
      <c r="Y431" s="198"/>
      <c r="Z431" s="198"/>
    </row>
    <row r="432">
      <c r="A432" s="403"/>
      <c r="B432" s="198"/>
      <c r="C432" s="403"/>
      <c r="D432" s="142"/>
      <c r="E432" s="403"/>
      <c r="F432" s="198"/>
      <c r="G432" s="403"/>
      <c r="H432" s="198"/>
      <c r="I432" s="411"/>
      <c r="J432" s="142"/>
      <c r="K432" s="411"/>
      <c r="L432" s="142"/>
      <c r="M432" s="411"/>
      <c r="N432" s="142"/>
      <c r="O432" s="403"/>
      <c r="P432" s="198"/>
      <c r="Q432" s="412"/>
      <c r="R432" s="76"/>
      <c r="S432" s="197"/>
      <c r="T432" s="198"/>
      <c r="U432" s="197"/>
      <c r="V432" s="198"/>
      <c r="W432" s="198"/>
      <c r="X432" s="198"/>
      <c r="Y432" s="198"/>
      <c r="Z432" s="198"/>
    </row>
    <row r="433">
      <c r="A433" s="403"/>
      <c r="B433" s="198"/>
      <c r="C433" s="403"/>
      <c r="D433" s="142"/>
      <c r="E433" s="403"/>
      <c r="F433" s="198"/>
      <c r="G433" s="403"/>
      <c r="H433" s="198"/>
      <c r="I433" s="411"/>
      <c r="J433" s="142"/>
      <c r="K433" s="411"/>
      <c r="L433" s="142"/>
      <c r="M433" s="411"/>
      <c r="N433" s="142"/>
      <c r="O433" s="403"/>
      <c r="P433" s="198"/>
      <c r="Q433" s="412"/>
      <c r="R433" s="76"/>
      <c r="S433" s="197"/>
      <c r="T433" s="198"/>
      <c r="U433" s="197"/>
      <c r="V433" s="198"/>
      <c r="W433" s="198"/>
      <c r="X433" s="198"/>
      <c r="Y433" s="198"/>
      <c r="Z433" s="198"/>
    </row>
    <row r="434">
      <c r="A434" s="403"/>
      <c r="B434" s="198"/>
      <c r="C434" s="403"/>
      <c r="D434" s="142"/>
      <c r="E434" s="403"/>
      <c r="F434" s="198"/>
      <c r="G434" s="403"/>
      <c r="H434" s="198"/>
      <c r="I434" s="411"/>
      <c r="J434" s="142"/>
      <c r="K434" s="411"/>
      <c r="L434" s="142"/>
      <c r="M434" s="411"/>
      <c r="N434" s="142"/>
      <c r="O434" s="403"/>
      <c r="P434" s="198"/>
      <c r="Q434" s="412"/>
      <c r="R434" s="76"/>
      <c r="S434" s="197"/>
      <c r="T434" s="198"/>
      <c r="U434" s="197"/>
      <c r="V434" s="198"/>
      <c r="W434" s="198"/>
      <c r="X434" s="198"/>
      <c r="Y434" s="198"/>
      <c r="Z434" s="198"/>
    </row>
    <row r="435">
      <c r="A435" s="403"/>
      <c r="B435" s="198"/>
      <c r="C435" s="403"/>
      <c r="D435" s="142"/>
      <c r="E435" s="403"/>
      <c r="F435" s="198"/>
      <c r="G435" s="403"/>
      <c r="H435" s="198"/>
      <c r="I435" s="411"/>
      <c r="J435" s="142"/>
      <c r="K435" s="411"/>
      <c r="L435" s="142"/>
      <c r="M435" s="411"/>
      <c r="N435" s="142"/>
      <c r="O435" s="403"/>
      <c r="P435" s="198"/>
      <c r="Q435" s="412"/>
      <c r="R435" s="76"/>
      <c r="S435" s="197"/>
      <c r="T435" s="198"/>
      <c r="U435" s="197"/>
      <c r="V435" s="198"/>
      <c r="W435" s="198"/>
      <c r="X435" s="198"/>
      <c r="Y435" s="198"/>
      <c r="Z435" s="198"/>
    </row>
    <row r="436">
      <c r="A436" s="403"/>
      <c r="B436" s="198"/>
      <c r="C436" s="403"/>
      <c r="D436" s="142"/>
      <c r="E436" s="403"/>
      <c r="F436" s="198"/>
      <c r="G436" s="403"/>
      <c r="H436" s="198"/>
      <c r="I436" s="411"/>
      <c r="J436" s="142"/>
      <c r="K436" s="411"/>
      <c r="L436" s="142"/>
      <c r="M436" s="411"/>
      <c r="N436" s="142"/>
      <c r="O436" s="403"/>
      <c r="P436" s="198"/>
      <c r="Q436" s="412"/>
      <c r="R436" s="76"/>
      <c r="S436" s="197"/>
      <c r="T436" s="198"/>
      <c r="U436" s="197"/>
      <c r="V436" s="198"/>
      <c r="W436" s="198"/>
      <c r="X436" s="198"/>
      <c r="Y436" s="198"/>
      <c r="Z436" s="198"/>
    </row>
    <row r="437">
      <c r="A437" s="403"/>
      <c r="B437" s="198"/>
      <c r="C437" s="403"/>
      <c r="D437" s="142"/>
      <c r="E437" s="403"/>
      <c r="F437" s="198"/>
      <c r="G437" s="403"/>
      <c r="H437" s="198"/>
      <c r="I437" s="411"/>
      <c r="J437" s="142"/>
      <c r="K437" s="411"/>
      <c r="L437" s="142"/>
      <c r="M437" s="411"/>
      <c r="N437" s="142"/>
      <c r="O437" s="403"/>
      <c r="P437" s="198"/>
      <c r="Q437" s="412"/>
      <c r="R437" s="76"/>
      <c r="S437" s="197"/>
      <c r="T437" s="198"/>
      <c r="U437" s="197"/>
      <c r="V437" s="198"/>
      <c r="W437" s="198"/>
      <c r="X437" s="198"/>
      <c r="Y437" s="198"/>
      <c r="Z437" s="198"/>
    </row>
    <row r="438">
      <c r="A438" s="403"/>
      <c r="B438" s="198"/>
      <c r="C438" s="403"/>
      <c r="D438" s="142"/>
      <c r="E438" s="403"/>
      <c r="F438" s="198"/>
      <c r="G438" s="403"/>
      <c r="H438" s="198"/>
      <c r="I438" s="411"/>
      <c r="J438" s="142"/>
      <c r="K438" s="411"/>
      <c r="L438" s="142"/>
      <c r="M438" s="411"/>
      <c r="N438" s="142"/>
      <c r="O438" s="403"/>
      <c r="P438" s="198"/>
      <c r="Q438" s="412"/>
      <c r="R438" s="76"/>
      <c r="S438" s="197"/>
      <c r="T438" s="198"/>
      <c r="U438" s="197"/>
      <c r="V438" s="198"/>
      <c r="W438" s="198"/>
      <c r="X438" s="198"/>
      <c r="Y438" s="198"/>
      <c r="Z438" s="198"/>
    </row>
    <row r="439">
      <c r="A439" s="403"/>
      <c r="B439" s="198"/>
      <c r="C439" s="403"/>
      <c r="D439" s="142"/>
      <c r="E439" s="403"/>
      <c r="F439" s="198"/>
      <c r="G439" s="403"/>
      <c r="H439" s="198"/>
      <c r="I439" s="411"/>
      <c r="J439" s="142"/>
      <c r="K439" s="411"/>
      <c r="L439" s="142"/>
      <c r="M439" s="411"/>
      <c r="N439" s="142"/>
      <c r="O439" s="403"/>
      <c r="P439" s="198"/>
      <c r="Q439" s="412"/>
      <c r="R439" s="76"/>
      <c r="S439" s="197"/>
      <c r="T439" s="198"/>
      <c r="U439" s="197"/>
      <c r="V439" s="198"/>
      <c r="W439" s="198"/>
      <c r="X439" s="198"/>
      <c r="Y439" s="198"/>
      <c r="Z439" s="198"/>
    </row>
    <row r="440">
      <c r="A440" s="403"/>
      <c r="B440" s="198"/>
      <c r="C440" s="403"/>
      <c r="D440" s="142"/>
      <c r="E440" s="403"/>
      <c r="F440" s="198"/>
      <c r="G440" s="403"/>
      <c r="H440" s="198"/>
      <c r="I440" s="411"/>
      <c r="J440" s="142"/>
      <c r="K440" s="411"/>
      <c r="L440" s="142"/>
      <c r="M440" s="411"/>
      <c r="N440" s="142"/>
      <c r="O440" s="403"/>
      <c r="P440" s="198"/>
      <c r="Q440" s="412"/>
      <c r="R440" s="76"/>
      <c r="S440" s="197"/>
      <c r="T440" s="198"/>
      <c r="U440" s="197"/>
      <c r="V440" s="198"/>
      <c r="W440" s="198"/>
      <c r="X440" s="198"/>
      <c r="Y440" s="198"/>
      <c r="Z440" s="198"/>
    </row>
    <row r="441">
      <c r="A441" s="403"/>
      <c r="B441" s="198"/>
      <c r="C441" s="403"/>
      <c r="D441" s="142"/>
      <c r="E441" s="403"/>
      <c r="F441" s="198"/>
      <c r="G441" s="403"/>
      <c r="H441" s="198"/>
      <c r="I441" s="411"/>
      <c r="J441" s="142"/>
      <c r="K441" s="411"/>
      <c r="L441" s="142"/>
      <c r="M441" s="411"/>
      <c r="N441" s="142"/>
      <c r="O441" s="403"/>
      <c r="P441" s="198"/>
      <c r="Q441" s="412"/>
      <c r="R441" s="76"/>
      <c r="S441" s="197"/>
      <c r="T441" s="198"/>
      <c r="U441" s="197"/>
      <c r="V441" s="198"/>
      <c r="W441" s="198"/>
      <c r="X441" s="198"/>
      <c r="Y441" s="198"/>
      <c r="Z441" s="198"/>
    </row>
    <row r="442">
      <c r="A442" s="403"/>
      <c r="B442" s="198"/>
      <c r="C442" s="403"/>
      <c r="D442" s="142"/>
      <c r="E442" s="403"/>
      <c r="F442" s="198"/>
      <c r="G442" s="403"/>
      <c r="H442" s="198"/>
      <c r="I442" s="411"/>
      <c r="J442" s="142"/>
      <c r="K442" s="411"/>
      <c r="L442" s="142"/>
      <c r="M442" s="411"/>
      <c r="N442" s="142"/>
      <c r="O442" s="403"/>
      <c r="P442" s="198"/>
      <c r="Q442" s="412"/>
      <c r="R442" s="76"/>
      <c r="S442" s="197"/>
      <c r="T442" s="198"/>
      <c r="U442" s="197"/>
      <c r="V442" s="198"/>
      <c r="W442" s="198"/>
      <c r="X442" s="198"/>
      <c r="Y442" s="198"/>
      <c r="Z442" s="198"/>
    </row>
    <row r="443">
      <c r="A443" s="403"/>
      <c r="B443" s="198"/>
      <c r="C443" s="403"/>
      <c r="D443" s="142"/>
      <c r="E443" s="403"/>
      <c r="F443" s="198"/>
      <c r="G443" s="403"/>
      <c r="H443" s="198"/>
      <c r="I443" s="411"/>
      <c r="J443" s="142"/>
      <c r="K443" s="411"/>
      <c r="L443" s="142"/>
      <c r="M443" s="411"/>
      <c r="N443" s="142"/>
      <c r="O443" s="403"/>
      <c r="P443" s="198"/>
      <c r="Q443" s="412"/>
      <c r="R443" s="76"/>
      <c r="S443" s="197"/>
      <c r="T443" s="198"/>
      <c r="U443" s="197"/>
      <c r="V443" s="198"/>
      <c r="W443" s="198"/>
      <c r="X443" s="198"/>
      <c r="Y443" s="198"/>
      <c r="Z443" s="198"/>
    </row>
    <row r="444">
      <c r="A444" s="403"/>
      <c r="B444" s="198"/>
      <c r="C444" s="403"/>
      <c r="D444" s="142"/>
      <c r="E444" s="403"/>
      <c r="F444" s="198"/>
      <c r="G444" s="403"/>
      <c r="H444" s="198"/>
      <c r="I444" s="411"/>
      <c r="J444" s="142"/>
      <c r="K444" s="411"/>
      <c r="L444" s="142"/>
      <c r="M444" s="411"/>
      <c r="N444" s="142"/>
      <c r="O444" s="403"/>
      <c r="P444" s="198"/>
      <c r="Q444" s="412"/>
      <c r="R444" s="76"/>
      <c r="S444" s="197"/>
      <c r="T444" s="198"/>
      <c r="U444" s="197"/>
      <c r="V444" s="198"/>
      <c r="W444" s="198"/>
      <c r="X444" s="198"/>
      <c r="Y444" s="198"/>
      <c r="Z444" s="198"/>
    </row>
    <row r="445">
      <c r="A445" s="403"/>
      <c r="B445" s="198"/>
      <c r="C445" s="403"/>
      <c r="D445" s="142"/>
      <c r="E445" s="403"/>
      <c r="F445" s="198"/>
      <c r="G445" s="403"/>
      <c r="H445" s="198"/>
      <c r="I445" s="411"/>
      <c r="J445" s="142"/>
      <c r="K445" s="411"/>
      <c r="L445" s="142"/>
      <c r="M445" s="411"/>
      <c r="N445" s="142"/>
      <c r="O445" s="403"/>
      <c r="P445" s="198"/>
      <c r="Q445" s="412"/>
      <c r="R445" s="76"/>
      <c r="S445" s="197"/>
      <c r="T445" s="198"/>
      <c r="U445" s="197"/>
      <c r="V445" s="198"/>
      <c r="W445" s="198"/>
      <c r="X445" s="198"/>
      <c r="Y445" s="198"/>
      <c r="Z445" s="198"/>
    </row>
    <row r="446">
      <c r="A446" s="403"/>
      <c r="B446" s="198"/>
      <c r="C446" s="403"/>
      <c r="D446" s="142"/>
      <c r="E446" s="403"/>
      <c r="F446" s="198"/>
      <c r="G446" s="403"/>
      <c r="H446" s="198"/>
      <c r="I446" s="411"/>
      <c r="J446" s="142"/>
      <c r="K446" s="411"/>
      <c r="L446" s="142"/>
      <c r="M446" s="411"/>
      <c r="N446" s="142"/>
      <c r="O446" s="403"/>
      <c r="P446" s="198"/>
      <c r="Q446" s="412"/>
      <c r="R446" s="76"/>
      <c r="S446" s="197"/>
      <c r="T446" s="198"/>
      <c r="U446" s="197"/>
      <c r="V446" s="198"/>
      <c r="W446" s="198"/>
      <c r="X446" s="198"/>
      <c r="Y446" s="198"/>
      <c r="Z446" s="198"/>
    </row>
    <row r="447">
      <c r="A447" s="403"/>
      <c r="B447" s="198"/>
      <c r="C447" s="403"/>
      <c r="D447" s="142"/>
      <c r="E447" s="403"/>
      <c r="F447" s="198"/>
      <c r="G447" s="403"/>
      <c r="H447" s="198"/>
      <c r="I447" s="411"/>
      <c r="J447" s="142"/>
      <c r="K447" s="411"/>
      <c r="L447" s="142"/>
      <c r="M447" s="411"/>
      <c r="N447" s="142"/>
      <c r="O447" s="403"/>
      <c r="P447" s="198"/>
      <c r="Q447" s="412"/>
      <c r="R447" s="76"/>
      <c r="S447" s="197"/>
      <c r="T447" s="198"/>
      <c r="U447" s="197"/>
      <c r="V447" s="198"/>
      <c r="W447" s="198"/>
      <c r="X447" s="198"/>
      <c r="Y447" s="198"/>
      <c r="Z447" s="198"/>
    </row>
    <row r="448">
      <c r="A448" s="403"/>
      <c r="B448" s="198"/>
      <c r="C448" s="403"/>
      <c r="D448" s="142"/>
      <c r="E448" s="403"/>
      <c r="F448" s="198"/>
      <c r="G448" s="403"/>
      <c r="H448" s="198"/>
      <c r="I448" s="411"/>
      <c r="J448" s="142"/>
      <c r="K448" s="411"/>
      <c r="L448" s="142"/>
      <c r="M448" s="411"/>
      <c r="N448" s="142"/>
      <c r="O448" s="403"/>
      <c r="P448" s="198"/>
      <c r="Q448" s="412"/>
      <c r="R448" s="76"/>
      <c r="S448" s="197"/>
      <c r="T448" s="198"/>
      <c r="U448" s="197"/>
      <c r="V448" s="198"/>
      <c r="W448" s="198"/>
      <c r="X448" s="198"/>
      <c r="Y448" s="198"/>
      <c r="Z448" s="198"/>
    </row>
    <row r="449">
      <c r="A449" s="403"/>
      <c r="B449" s="198"/>
      <c r="C449" s="403"/>
      <c r="D449" s="142"/>
      <c r="E449" s="403"/>
      <c r="F449" s="198"/>
      <c r="G449" s="403"/>
      <c r="H449" s="198"/>
      <c r="I449" s="411"/>
      <c r="J449" s="142"/>
      <c r="K449" s="411"/>
      <c r="L449" s="142"/>
      <c r="M449" s="411"/>
      <c r="N449" s="142"/>
      <c r="O449" s="403"/>
      <c r="P449" s="198"/>
      <c r="Q449" s="412"/>
      <c r="R449" s="76"/>
      <c r="S449" s="197"/>
      <c r="T449" s="198"/>
      <c r="U449" s="197"/>
      <c r="V449" s="198"/>
      <c r="W449" s="198"/>
      <c r="X449" s="198"/>
      <c r="Y449" s="198"/>
      <c r="Z449" s="198"/>
    </row>
    <row r="450">
      <c r="A450" s="403"/>
      <c r="B450" s="198"/>
      <c r="C450" s="403"/>
      <c r="D450" s="142"/>
      <c r="E450" s="403"/>
      <c r="F450" s="198"/>
      <c r="G450" s="403"/>
      <c r="H450" s="198"/>
      <c r="I450" s="411"/>
      <c r="J450" s="142"/>
      <c r="K450" s="411"/>
      <c r="L450" s="142"/>
      <c r="M450" s="411"/>
      <c r="N450" s="142"/>
      <c r="O450" s="403"/>
      <c r="P450" s="198"/>
      <c r="Q450" s="412"/>
      <c r="R450" s="76"/>
      <c r="S450" s="197"/>
      <c r="T450" s="198"/>
      <c r="U450" s="197"/>
      <c r="V450" s="198"/>
      <c r="W450" s="198"/>
      <c r="X450" s="198"/>
      <c r="Y450" s="198"/>
      <c r="Z450" s="198"/>
    </row>
    <row r="451">
      <c r="A451" s="403"/>
      <c r="B451" s="198"/>
      <c r="C451" s="403"/>
      <c r="D451" s="142"/>
      <c r="E451" s="403"/>
      <c r="F451" s="198"/>
      <c r="G451" s="403"/>
      <c r="H451" s="198"/>
      <c r="I451" s="411"/>
      <c r="J451" s="142"/>
      <c r="K451" s="411"/>
      <c r="L451" s="142"/>
      <c r="M451" s="411"/>
      <c r="N451" s="142"/>
      <c r="O451" s="403"/>
      <c r="P451" s="198"/>
      <c r="Q451" s="412"/>
      <c r="R451" s="76"/>
      <c r="S451" s="197"/>
      <c r="T451" s="198"/>
      <c r="U451" s="197"/>
      <c r="V451" s="198"/>
      <c r="W451" s="198"/>
      <c r="X451" s="198"/>
      <c r="Y451" s="198"/>
      <c r="Z451" s="198"/>
    </row>
    <row r="452">
      <c r="A452" s="403"/>
      <c r="B452" s="198"/>
      <c r="C452" s="403"/>
      <c r="D452" s="142"/>
      <c r="E452" s="403"/>
      <c r="F452" s="198"/>
      <c r="G452" s="403"/>
      <c r="H452" s="198"/>
      <c r="I452" s="411"/>
      <c r="J452" s="142"/>
      <c r="K452" s="411"/>
      <c r="L452" s="142"/>
      <c r="M452" s="411"/>
      <c r="N452" s="142"/>
      <c r="O452" s="403"/>
      <c r="P452" s="198"/>
      <c r="Q452" s="412"/>
      <c r="R452" s="76"/>
      <c r="S452" s="197"/>
      <c r="T452" s="198"/>
      <c r="U452" s="197"/>
      <c r="V452" s="198"/>
      <c r="W452" s="198"/>
      <c r="X452" s="198"/>
      <c r="Y452" s="198"/>
      <c r="Z452" s="198"/>
    </row>
    <row r="453">
      <c r="A453" s="403"/>
      <c r="B453" s="198"/>
      <c r="C453" s="403"/>
      <c r="D453" s="142"/>
      <c r="E453" s="403"/>
      <c r="F453" s="198"/>
      <c r="G453" s="403"/>
      <c r="H453" s="198"/>
      <c r="I453" s="411"/>
      <c r="J453" s="142"/>
      <c r="K453" s="411"/>
      <c r="L453" s="142"/>
      <c r="M453" s="411"/>
      <c r="N453" s="142"/>
      <c r="O453" s="403"/>
      <c r="P453" s="198"/>
      <c r="Q453" s="412"/>
      <c r="R453" s="76"/>
      <c r="S453" s="197"/>
      <c r="T453" s="198"/>
      <c r="U453" s="197"/>
      <c r="V453" s="198"/>
      <c r="W453" s="198"/>
      <c r="X453" s="198"/>
      <c r="Y453" s="198"/>
      <c r="Z453" s="198"/>
    </row>
    <row r="454">
      <c r="A454" s="403"/>
      <c r="B454" s="198"/>
      <c r="C454" s="403"/>
      <c r="D454" s="142"/>
      <c r="E454" s="403"/>
      <c r="F454" s="198"/>
      <c r="G454" s="403"/>
      <c r="H454" s="198"/>
      <c r="I454" s="411"/>
      <c r="J454" s="142"/>
      <c r="K454" s="411"/>
      <c r="L454" s="142"/>
      <c r="M454" s="411"/>
      <c r="N454" s="142"/>
      <c r="O454" s="403"/>
      <c r="P454" s="198"/>
      <c r="Q454" s="412"/>
      <c r="R454" s="76"/>
      <c r="S454" s="197"/>
      <c r="T454" s="198"/>
      <c r="U454" s="197"/>
      <c r="V454" s="198"/>
      <c r="W454" s="198"/>
      <c r="X454" s="198"/>
      <c r="Y454" s="198"/>
      <c r="Z454" s="198"/>
    </row>
    <row r="455">
      <c r="A455" s="403"/>
      <c r="B455" s="198"/>
      <c r="C455" s="403"/>
      <c r="D455" s="142"/>
      <c r="E455" s="403"/>
      <c r="F455" s="198"/>
      <c r="G455" s="403"/>
      <c r="H455" s="198"/>
      <c r="I455" s="411"/>
      <c r="J455" s="142"/>
      <c r="K455" s="411"/>
      <c r="L455" s="142"/>
      <c r="M455" s="411"/>
      <c r="N455" s="142"/>
      <c r="O455" s="403"/>
      <c r="P455" s="198"/>
      <c r="Q455" s="412"/>
      <c r="R455" s="76"/>
      <c r="S455" s="197"/>
      <c r="T455" s="198"/>
      <c r="U455" s="197"/>
      <c r="V455" s="198"/>
      <c r="W455" s="198"/>
      <c r="X455" s="198"/>
      <c r="Y455" s="198"/>
      <c r="Z455" s="198"/>
    </row>
    <row r="456">
      <c r="A456" s="403"/>
      <c r="B456" s="198"/>
      <c r="C456" s="403"/>
      <c r="D456" s="142"/>
      <c r="E456" s="403"/>
      <c r="F456" s="198"/>
      <c r="G456" s="403"/>
      <c r="H456" s="198"/>
      <c r="I456" s="411"/>
      <c r="J456" s="142"/>
      <c r="K456" s="411"/>
      <c r="L456" s="142"/>
      <c r="M456" s="411"/>
      <c r="N456" s="142"/>
      <c r="O456" s="403"/>
      <c r="P456" s="198"/>
      <c r="Q456" s="412"/>
      <c r="R456" s="76"/>
      <c r="S456" s="197"/>
      <c r="T456" s="198"/>
      <c r="U456" s="197"/>
      <c r="V456" s="198"/>
      <c r="W456" s="198"/>
      <c r="X456" s="198"/>
      <c r="Y456" s="198"/>
      <c r="Z456" s="198"/>
    </row>
    <row r="457">
      <c r="A457" s="403"/>
      <c r="B457" s="198"/>
      <c r="C457" s="403"/>
      <c r="D457" s="142"/>
      <c r="E457" s="403"/>
      <c r="F457" s="198"/>
      <c r="G457" s="403"/>
      <c r="H457" s="198"/>
      <c r="I457" s="411"/>
      <c r="J457" s="142"/>
      <c r="K457" s="411"/>
      <c r="L457" s="142"/>
      <c r="M457" s="411"/>
      <c r="N457" s="142"/>
      <c r="O457" s="403"/>
      <c r="P457" s="198"/>
      <c r="Q457" s="412"/>
      <c r="R457" s="76"/>
      <c r="S457" s="197"/>
      <c r="T457" s="198"/>
      <c r="U457" s="197"/>
      <c r="V457" s="198"/>
      <c r="W457" s="198"/>
      <c r="X457" s="198"/>
      <c r="Y457" s="198"/>
      <c r="Z457" s="198"/>
    </row>
    <row r="458">
      <c r="A458" s="403"/>
      <c r="B458" s="198"/>
      <c r="C458" s="403"/>
      <c r="D458" s="142"/>
      <c r="E458" s="403"/>
      <c r="F458" s="198"/>
      <c r="G458" s="403"/>
      <c r="H458" s="198"/>
      <c r="I458" s="411"/>
      <c r="J458" s="142"/>
      <c r="K458" s="411"/>
      <c r="L458" s="142"/>
      <c r="M458" s="411"/>
      <c r="N458" s="142"/>
      <c r="O458" s="403"/>
      <c r="P458" s="198"/>
      <c r="Q458" s="412"/>
      <c r="R458" s="76"/>
      <c r="S458" s="197"/>
      <c r="T458" s="198"/>
      <c r="U458" s="197"/>
      <c r="V458" s="198"/>
      <c r="W458" s="198"/>
      <c r="X458" s="198"/>
      <c r="Y458" s="198"/>
      <c r="Z458" s="198"/>
    </row>
    <row r="459">
      <c r="A459" s="403"/>
      <c r="B459" s="198"/>
      <c r="C459" s="403"/>
      <c r="D459" s="142"/>
      <c r="E459" s="403"/>
      <c r="F459" s="198"/>
      <c r="G459" s="403"/>
      <c r="H459" s="198"/>
      <c r="I459" s="411"/>
      <c r="J459" s="142"/>
      <c r="K459" s="411"/>
      <c r="L459" s="142"/>
      <c r="M459" s="411"/>
      <c r="N459" s="142"/>
      <c r="O459" s="403"/>
      <c r="P459" s="198"/>
      <c r="Q459" s="412"/>
      <c r="R459" s="76"/>
      <c r="S459" s="197"/>
      <c r="T459" s="198"/>
      <c r="U459" s="197"/>
      <c r="V459" s="198"/>
      <c r="W459" s="198"/>
      <c r="X459" s="198"/>
      <c r="Y459" s="198"/>
      <c r="Z459" s="198"/>
    </row>
    <row r="460">
      <c r="A460" s="403"/>
      <c r="B460" s="198"/>
      <c r="C460" s="403"/>
      <c r="D460" s="142"/>
      <c r="E460" s="403"/>
      <c r="F460" s="198"/>
      <c r="G460" s="403"/>
      <c r="H460" s="198"/>
      <c r="I460" s="411"/>
      <c r="J460" s="142"/>
      <c r="K460" s="411"/>
      <c r="L460" s="142"/>
      <c r="M460" s="411"/>
      <c r="N460" s="142"/>
      <c r="O460" s="403"/>
      <c r="P460" s="198"/>
      <c r="Q460" s="412"/>
      <c r="R460" s="76"/>
      <c r="S460" s="197"/>
      <c r="T460" s="198"/>
      <c r="U460" s="197"/>
      <c r="V460" s="198"/>
      <c r="W460" s="198"/>
      <c r="X460" s="198"/>
      <c r="Y460" s="198"/>
      <c r="Z460" s="198"/>
    </row>
    <row r="461">
      <c r="A461" s="403"/>
      <c r="B461" s="198"/>
      <c r="C461" s="403"/>
      <c r="D461" s="142"/>
      <c r="E461" s="403"/>
      <c r="F461" s="198"/>
      <c r="G461" s="403"/>
      <c r="H461" s="198"/>
      <c r="I461" s="411"/>
      <c r="J461" s="142"/>
      <c r="K461" s="411"/>
      <c r="L461" s="142"/>
      <c r="M461" s="411"/>
      <c r="N461" s="142"/>
      <c r="O461" s="403"/>
      <c r="P461" s="198"/>
      <c r="Q461" s="412"/>
      <c r="R461" s="76"/>
      <c r="S461" s="197"/>
      <c r="T461" s="198"/>
      <c r="U461" s="197"/>
      <c r="V461" s="198"/>
      <c r="W461" s="198"/>
      <c r="X461" s="198"/>
      <c r="Y461" s="198"/>
      <c r="Z461" s="198"/>
    </row>
    <row r="462">
      <c r="A462" s="403"/>
      <c r="B462" s="198"/>
      <c r="C462" s="403"/>
      <c r="D462" s="142"/>
      <c r="E462" s="403"/>
      <c r="F462" s="198"/>
      <c r="G462" s="403"/>
      <c r="H462" s="198"/>
      <c r="I462" s="411"/>
      <c r="J462" s="142"/>
      <c r="K462" s="411"/>
      <c r="L462" s="142"/>
      <c r="M462" s="411"/>
      <c r="N462" s="142"/>
      <c r="O462" s="403"/>
      <c r="P462" s="198"/>
      <c r="Q462" s="412"/>
      <c r="R462" s="76"/>
      <c r="S462" s="197"/>
      <c r="T462" s="198"/>
      <c r="U462" s="197"/>
      <c r="V462" s="198"/>
      <c r="W462" s="198"/>
      <c r="X462" s="198"/>
      <c r="Y462" s="198"/>
      <c r="Z462" s="198"/>
    </row>
    <row r="463">
      <c r="A463" s="403"/>
      <c r="B463" s="198"/>
      <c r="C463" s="403"/>
      <c r="D463" s="142"/>
      <c r="E463" s="403"/>
      <c r="F463" s="198"/>
      <c r="G463" s="403"/>
      <c r="H463" s="198"/>
      <c r="I463" s="411"/>
      <c r="J463" s="142"/>
      <c r="K463" s="411"/>
      <c r="L463" s="142"/>
      <c r="M463" s="411"/>
      <c r="N463" s="142"/>
      <c r="O463" s="403"/>
      <c r="P463" s="198"/>
      <c r="Q463" s="412"/>
      <c r="R463" s="76"/>
      <c r="S463" s="197"/>
      <c r="T463" s="198"/>
      <c r="U463" s="197"/>
      <c r="V463" s="198"/>
      <c r="W463" s="198"/>
      <c r="X463" s="198"/>
      <c r="Y463" s="198"/>
      <c r="Z463" s="198"/>
    </row>
    <row r="464">
      <c r="A464" s="403"/>
      <c r="B464" s="198"/>
      <c r="C464" s="403"/>
      <c r="D464" s="142"/>
      <c r="E464" s="403"/>
      <c r="F464" s="198"/>
      <c r="G464" s="403"/>
      <c r="H464" s="198"/>
      <c r="I464" s="411"/>
      <c r="J464" s="142"/>
      <c r="K464" s="411"/>
      <c r="L464" s="142"/>
      <c r="M464" s="411"/>
      <c r="N464" s="142"/>
      <c r="O464" s="403"/>
      <c r="P464" s="198"/>
      <c r="Q464" s="412"/>
      <c r="R464" s="76"/>
      <c r="S464" s="197"/>
      <c r="T464" s="198"/>
      <c r="U464" s="197"/>
      <c r="V464" s="198"/>
      <c r="W464" s="198"/>
      <c r="X464" s="198"/>
      <c r="Y464" s="198"/>
      <c r="Z464" s="198"/>
    </row>
    <row r="465">
      <c r="A465" s="403"/>
      <c r="B465" s="198"/>
      <c r="C465" s="403"/>
      <c r="D465" s="142"/>
      <c r="E465" s="403"/>
      <c r="F465" s="198"/>
      <c r="G465" s="403"/>
      <c r="H465" s="198"/>
      <c r="I465" s="411"/>
      <c r="J465" s="142"/>
      <c r="K465" s="411"/>
      <c r="L465" s="142"/>
      <c r="M465" s="411"/>
      <c r="N465" s="142"/>
      <c r="O465" s="403"/>
      <c r="P465" s="198"/>
      <c r="Q465" s="412"/>
      <c r="R465" s="76"/>
      <c r="S465" s="197"/>
      <c r="T465" s="198"/>
      <c r="U465" s="197"/>
      <c r="V465" s="198"/>
      <c r="W465" s="198"/>
      <c r="X465" s="198"/>
      <c r="Y465" s="198"/>
      <c r="Z465" s="198"/>
    </row>
    <row r="466">
      <c r="A466" s="403"/>
      <c r="B466" s="198"/>
      <c r="C466" s="403"/>
      <c r="D466" s="142"/>
      <c r="E466" s="403"/>
      <c r="F466" s="198"/>
      <c r="G466" s="403"/>
      <c r="H466" s="198"/>
      <c r="I466" s="411"/>
      <c r="J466" s="142"/>
      <c r="K466" s="411"/>
      <c r="L466" s="142"/>
      <c r="M466" s="411"/>
      <c r="N466" s="142"/>
      <c r="O466" s="403"/>
      <c r="P466" s="198"/>
      <c r="Q466" s="412"/>
      <c r="R466" s="76"/>
      <c r="S466" s="197"/>
      <c r="T466" s="198"/>
      <c r="U466" s="197"/>
      <c r="V466" s="198"/>
      <c r="W466" s="198"/>
      <c r="X466" s="198"/>
      <c r="Y466" s="198"/>
      <c r="Z466" s="198"/>
    </row>
    <row r="467">
      <c r="A467" s="403"/>
      <c r="B467" s="198"/>
      <c r="C467" s="403"/>
      <c r="D467" s="142"/>
      <c r="E467" s="403"/>
      <c r="F467" s="198"/>
      <c r="G467" s="403"/>
      <c r="H467" s="198"/>
      <c r="I467" s="411"/>
      <c r="J467" s="142"/>
      <c r="K467" s="411"/>
      <c r="L467" s="142"/>
      <c r="M467" s="411"/>
      <c r="N467" s="142"/>
      <c r="O467" s="403"/>
      <c r="P467" s="198"/>
      <c r="Q467" s="412"/>
      <c r="R467" s="76"/>
      <c r="S467" s="197"/>
      <c r="T467" s="198"/>
      <c r="U467" s="197"/>
      <c r="V467" s="198"/>
      <c r="W467" s="198"/>
      <c r="X467" s="198"/>
      <c r="Y467" s="198"/>
      <c r="Z467" s="198"/>
    </row>
    <row r="468">
      <c r="A468" s="403"/>
      <c r="B468" s="198"/>
      <c r="C468" s="403"/>
      <c r="D468" s="142"/>
      <c r="E468" s="403"/>
      <c r="F468" s="198"/>
      <c r="G468" s="403"/>
      <c r="H468" s="198"/>
      <c r="I468" s="411"/>
      <c r="J468" s="142"/>
      <c r="K468" s="411"/>
      <c r="L468" s="142"/>
      <c r="M468" s="411"/>
      <c r="N468" s="142"/>
      <c r="O468" s="403"/>
      <c r="P468" s="198"/>
      <c r="Q468" s="412"/>
      <c r="R468" s="76"/>
      <c r="S468" s="197"/>
      <c r="T468" s="198"/>
      <c r="U468" s="197"/>
      <c r="V468" s="198"/>
      <c r="W468" s="198"/>
      <c r="X468" s="198"/>
      <c r="Y468" s="198"/>
      <c r="Z468" s="198"/>
    </row>
    <row r="469">
      <c r="A469" s="403"/>
      <c r="B469" s="198"/>
      <c r="C469" s="403"/>
      <c r="D469" s="142"/>
      <c r="E469" s="403"/>
      <c r="F469" s="198"/>
      <c r="G469" s="403"/>
      <c r="H469" s="198"/>
      <c r="I469" s="411"/>
      <c r="J469" s="142"/>
      <c r="K469" s="411"/>
      <c r="L469" s="142"/>
      <c r="M469" s="411"/>
      <c r="N469" s="142"/>
      <c r="O469" s="403"/>
      <c r="P469" s="198"/>
      <c r="Q469" s="412"/>
      <c r="R469" s="76"/>
      <c r="S469" s="197"/>
      <c r="T469" s="198"/>
      <c r="U469" s="197"/>
      <c r="V469" s="198"/>
      <c r="W469" s="198"/>
      <c r="X469" s="198"/>
      <c r="Y469" s="198"/>
      <c r="Z469" s="198"/>
    </row>
    <row r="470">
      <c r="A470" s="403"/>
      <c r="B470" s="198"/>
      <c r="C470" s="403"/>
      <c r="D470" s="142"/>
      <c r="E470" s="403"/>
      <c r="F470" s="198"/>
      <c r="G470" s="403"/>
      <c r="H470" s="198"/>
      <c r="I470" s="411"/>
      <c r="J470" s="142"/>
      <c r="K470" s="411"/>
      <c r="L470" s="142"/>
      <c r="M470" s="411"/>
      <c r="N470" s="142"/>
      <c r="O470" s="403"/>
      <c r="P470" s="198"/>
      <c r="Q470" s="412"/>
      <c r="R470" s="76"/>
      <c r="S470" s="197"/>
      <c r="T470" s="198"/>
      <c r="U470" s="197"/>
      <c r="V470" s="198"/>
      <c r="W470" s="198"/>
      <c r="X470" s="198"/>
      <c r="Y470" s="198"/>
      <c r="Z470" s="198"/>
    </row>
    <row r="471">
      <c r="A471" s="403"/>
      <c r="B471" s="198"/>
      <c r="C471" s="403"/>
      <c r="D471" s="142"/>
      <c r="E471" s="403"/>
      <c r="F471" s="198"/>
      <c r="G471" s="403"/>
      <c r="H471" s="198"/>
      <c r="I471" s="411"/>
      <c r="J471" s="142"/>
      <c r="K471" s="411"/>
      <c r="L471" s="142"/>
      <c r="M471" s="411"/>
      <c r="N471" s="142"/>
      <c r="O471" s="403"/>
      <c r="P471" s="198"/>
      <c r="Q471" s="412"/>
      <c r="R471" s="76"/>
      <c r="S471" s="197"/>
      <c r="T471" s="198"/>
      <c r="U471" s="197"/>
      <c r="V471" s="198"/>
      <c r="W471" s="198"/>
      <c r="X471" s="198"/>
      <c r="Y471" s="198"/>
      <c r="Z471" s="198"/>
    </row>
    <row r="472">
      <c r="A472" s="403"/>
      <c r="B472" s="198"/>
      <c r="C472" s="403"/>
      <c r="D472" s="142"/>
      <c r="E472" s="403"/>
      <c r="F472" s="198"/>
      <c r="G472" s="403"/>
      <c r="H472" s="198"/>
      <c r="I472" s="411"/>
      <c r="J472" s="142"/>
      <c r="K472" s="411"/>
      <c r="L472" s="142"/>
      <c r="M472" s="411"/>
      <c r="N472" s="142"/>
      <c r="O472" s="403"/>
      <c r="P472" s="198"/>
      <c r="Q472" s="412"/>
      <c r="R472" s="76"/>
      <c r="S472" s="197"/>
      <c r="T472" s="198"/>
      <c r="U472" s="197"/>
      <c r="V472" s="198"/>
      <c r="W472" s="198"/>
      <c r="X472" s="198"/>
      <c r="Y472" s="198"/>
      <c r="Z472" s="198"/>
    </row>
    <row r="473">
      <c r="A473" s="403"/>
      <c r="B473" s="198"/>
      <c r="C473" s="403"/>
      <c r="D473" s="142"/>
      <c r="E473" s="403"/>
      <c r="F473" s="198"/>
      <c r="G473" s="403"/>
      <c r="H473" s="198"/>
      <c r="I473" s="411"/>
      <c r="J473" s="142"/>
      <c r="K473" s="411"/>
      <c r="L473" s="142"/>
      <c r="M473" s="411"/>
      <c r="N473" s="142"/>
      <c r="O473" s="403"/>
      <c r="P473" s="198"/>
      <c r="Q473" s="412"/>
      <c r="R473" s="76"/>
      <c r="S473" s="197"/>
      <c r="T473" s="198"/>
      <c r="U473" s="197"/>
      <c r="V473" s="198"/>
      <c r="W473" s="198"/>
      <c r="X473" s="198"/>
      <c r="Y473" s="198"/>
      <c r="Z473" s="198"/>
    </row>
    <row r="474">
      <c r="A474" s="403"/>
      <c r="B474" s="198"/>
      <c r="C474" s="403"/>
      <c r="D474" s="142"/>
      <c r="E474" s="403"/>
      <c r="F474" s="198"/>
      <c r="G474" s="403"/>
      <c r="H474" s="198"/>
      <c r="I474" s="411"/>
      <c r="J474" s="142"/>
      <c r="K474" s="411"/>
      <c r="L474" s="142"/>
      <c r="M474" s="411"/>
      <c r="N474" s="142"/>
      <c r="O474" s="403"/>
      <c r="P474" s="198"/>
      <c r="Q474" s="412"/>
      <c r="R474" s="76"/>
      <c r="S474" s="197"/>
      <c r="T474" s="198"/>
      <c r="U474" s="197"/>
      <c r="V474" s="198"/>
      <c r="W474" s="198"/>
      <c r="X474" s="198"/>
      <c r="Y474" s="198"/>
      <c r="Z474" s="198"/>
    </row>
    <row r="475">
      <c r="A475" s="403"/>
      <c r="B475" s="198"/>
      <c r="C475" s="403"/>
      <c r="D475" s="142"/>
      <c r="E475" s="403"/>
      <c r="F475" s="198"/>
      <c r="G475" s="403"/>
      <c r="H475" s="198"/>
      <c r="I475" s="411"/>
      <c r="J475" s="142"/>
      <c r="K475" s="411"/>
      <c r="L475" s="142"/>
      <c r="M475" s="411"/>
      <c r="N475" s="142"/>
      <c r="O475" s="403"/>
      <c r="P475" s="198"/>
      <c r="Q475" s="412"/>
      <c r="R475" s="76"/>
      <c r="S475" s="197"/>
      <c r="T475" s="198"/>
      <c r="U475" s="197"/>
      <c r="V475" s="198"/>
      <c r="W475" s="198"/>
      <c r="X475" s="198"/>
      <c r="Y475" s="198"/>
      <c r="Z475" s="198"/>
    </row>
    <row r="476">
      <c r="A476" s="403"/>
      <c r="B476" s="198"/>
      <c r="C476" s="403"/>
      <c r="D476" s="142"/>
      <c r="E476" s="403"/>
      <c r="F476" s="198"/>
      <c r="G476" s="403"/>
      <c r="H476" s="198"/>
      <c r="I476" s="411"/>
      <c r="J476" s="142"/>
      <c r="K476" s="411"/>
      <c r="L476" s="142"/>
      <c r="M476" s="411"/>
      <c r="N476" s="142"/>
      <c r="O476" s="403"/>
      <c r="P476" s="198"/>
      <c r="Q476" s="412"/>
      <c r="R476" s="76"/>
      <c r="S476" s="197"/>
      <c r="T476" s="198"/>
      <c r="U476" s="197"/>
      <c r="V476" s="198"/>
      <c r="W476" s="198"/>
      <c r="X476" s="198"/>
      <c r="Y476" s="198"/>
      <c r="Z476" s="198"/>
    </row>
    <row r="477">
      <c r="A477" s="403"/>
      <c r="B477" s="198"/>
      <c r="C477" s="403"/>
      <c r="D477" s="142"/>
      <c r="E477" s="403"/>
      <c r="F477" s="198"/>
      <c r="G477" s="403"/>
      <c r="H477" s="198"/>
      <c r="I477" s="411"/>
      <c r="J477" s="142"/>
      <c r="K477" s="411"/>
      <c r="L477" s="142"/>
      <c r="M477" s="411"/>
      <c r="N477" s="142"/>
      <c r="O477" s="403"/>
      <c r="P477" s="198"/>
      <c r="Q477" s="412"/>
      <c r="R477" s="76"/>
      <c r="S477" s="197"/>
      <c r="T477" s="198"/>
      <c r="U477" s="197"/>
      <c r="V477" s="198"/>
      <c r="W477" s="198"/>
      <c r="X477" s="198"/>
      <c r="Y477" s="198"/>
      <c r="Z477" s="198"/>
    </row>
    <row r="478">
      <c r="A478" s="403"/>
      <c r="B478" s="198"/>
      <c r="C478" s="403"/>
      <c r="D478" s="142"/>
      <c r="E478" s="403"/>
      <c r="F478" s="198"/>
      <c r="G478" s="403"/>
      <c r="H478" s="198"/>
      <c r="I478" s="411"/>
      <c r="J478" s="142"/>
      <c r="K478" s="411"/>
      <c r="L478" s="142"/>
      <c r="M478" s="411"/>
      <c r="N478" s="142"/>
      <c r="O478" s="403"/>
      <c r="P478" s="198"/>
      <c r="Q478" s="412"/>
      <c r="R478" s="76"/>
      <c r="S478" s="197"/>
      <c r="T478" s="198"/>
      <c r="U478" s="197"/>
      <c r="V478" s="198"/>
      <c r="W478" s="198"/>
      <c r="X478" s="198"/>
      <c r="Y478" s="198"/>
      <c r="Z478" s="198"/>
    </row>
    <row r="479">
      <c r="A479" s="403"/>
      <c r="B479" s="198"/>
      <c r="C479" s="403"/>
      <c r="D479" s="142"/>
      <c r="E479" s="403"/>
      <c r="F479" s="198"/>
      <c r="G479" s="403"/>
      <c r="H479" s="198"/>
      <c r="I479" s="411"/>
      <c r="J479" s="142"/>
      <c r="K479" s="411"/>
      <c r="L479" s="142"/>
      <c r="M479" s="411"/>
      <c r="N479" s="142"/>
      <c r="O479" s="403"/>
      <c r="P479" s="198"/>
      <c r="Q479" s="412"/>
      <c r="R479" s="76"/>
      <c r="S479" s="197"/>
      <c r="T479" s="198"/>
      <c r="U479" s="197"/>
      <c r="V479" s="198"/>
      <c r="W479" s="198"/>
      <c r="X479" s="198"/>
      <c r="Y479" s="198"/>
      <c r="Z479" s="198"/>
    </row>
    <row r="480">
      <c r="A480" s="403"/>
      <c r="B480" s="198"/>
      <c r="C480" s="403"/>
      <c r="D480" s="142"/>
      <c r="E480" s="403"/>
      <c r="F480" s="198"/>
      <c r="G480" s="403"/>
      <c r="H480" s="198"/>
      <c r="I480" s="411"/>
      <c r="J480" s="142"/>
      <c r="K480" s="411"/>
      <c r="L480" s="142"/>
      <c r="M480" s="411"/>
      <c r="N480" s="142"/>
      <c r="O480" s="403"/>
      <c r="P480" s="198"/>
      <c r="Q480" s="412"/>
      <c r="R480" s="76"/>
      <c r="S480" s="197"/>
      <c r="T480" s="198"/>
      <c r="U480" s="197"/>
      <c r="V480" s="198"/>
      <c r="W480" s="198"/>
      <c r="X480" s="198"/>
      <c r="Y480" s="198"/>
      <c r="Z480" s="198"/>
    </row>
    <row r="481">
      <c r="A481" s="403"/>
      <c r="B481" s="198"/>
      <c r="C481" s="403"/>
      <c r="D481" s="142"/>
      <c r="E481" s="403"/>
      <c r="F481" s="198"/>
      <c r="G481" s="403"/>
      <c r="H481" s="198"/>
      <c r="I481" s="411"/>
      <c r="J481" s="142"/>
      <c r="K481" s="411"/>
      <c r="L481" s="142"/>
      <c r="M481" s="411"/>
      <c r="N481" s="142"/>
      <c r="O481" s="403"/>
      <c r="P481" s="198"/>
      <c r="Q481" s="412"/>
      <c r="R481" s="76"/>
      <c r="S481" s="197"/>
      <c r="T481" s="198"/>
      <c r="U481" s="197"/>
      <c r="V481" s="198"/>
      <c r="W481" s="198"/>
      <c r="X481" s="198"/>
      <c r="Y481" s="198"/>
      <c r="Z481" s="198"/>
    </row>
    <row r="482">
      <c r="A482" s="403"/>
      <c r="B482" s="198"/>
      <c r="C482" s="403"/>
      <c r="D482" s="142"/>
      <c r="E482" s="403"/>
      <c r="F482" s="198"/>
      <c r="G482" s="403"/>
      <c r="H482" s="198"/>
      <c r="I482" s="411"/>
      <c r="J482" s="142"/>
      <c r="K482" s="411"/>
      <c r="L482" s="142"/>
      <c r="M482" s="411"/>
      <c r="N482" s="142"/>
      <c r="O482" s="403"/>
      <c r="P482" s="198"/>
      <c r="Q482" s="412"/>
      <c r="R482" s="76"/>
      <c r="S482" s="197"/>
      <c r="T482" s="198"/>
      <c r="U482" s="197"/>
      <c r="V482" s="198"/>
      <c r="W482" s="198"/>
      <c r="X482" s="198"/>
      <c r="Y482" s="198"/>
      <c r="Z482" s="198"/>
    </row>
    <row r="483">
      <c r="A483" s="403"/>
      <c r="B483" s="198"/>
      <c r="C483" s="403"/>
      <c r="D483" s="142"/>
      <c r="E483" s="403"/>
      <c r="F483" s="198"/>
      <c r="G483" s="403"/>
      <c r="H483" s="198"/>
      <c r="I483" s="411"/>
      <c r="J483" s="142"/>
      <c r="K483" s="411"/>
      <c r="L483" s="142"/>
      <c r="M483" s="411"/>
      <c r="N483" s="142"/>
      <c r="O483" s="403"/>
      <c r="P483" s="198"/>
      <c r="Q483" s="412"/>
      <c r="R483" s="76"/>
      <c r="S483" s="197"/>
      <c r="T483" s="198"/>
      <c r="U483" s="197"/>
      <c r="V483" s="198"/>
      <c r="W483" s="198"/>
      <c r="X483" s="198"/>
      <c r="Y483" s="198"/>
      <c r="Z483" s="198"/>
    </row>
    <row r="484">
      <c r="A484" s="403"/>
      <c r="B484" s="198"/>
      <c r="C484" s="403"/>
      <c r="D484" s="142"/>
      <c r="E484" s="403"/>
      <c r="F484" s="198"/>
      <c r="G484" s="403"/>
      <c r="H484" s="198"/>
      <c r="I484" s="411"/>
      <c r="J484" s="142"/>
      <c r="K484" s="411"/>
      <c r="L484" s="142"/>
      <c r="M484" s="411"/>
      <c r="N484" s="142"/>
      <c r="O484" s="403"/>
      <c r="P484" s="198"/>
      <c r="Q484" s="412"/>
      <c r="R484" s="76"/>
      <c r="S484" s="197"/>
      <c r="T484" s="198"/>
      <c r="U484" s="197"/>
      <c r="V484" s="198"/>
      <c r="W484" s="198"/>
      <c r="X484" s="198"/>
      <c r="Y484" s="198"/>
      <c r="Z484" s="198"/>
    </row>
    <row r="485">
      <c r="A485" s="403"/>
      <c r="B485" s="198"/>
      <c r="C485" s="403"/>
      <c r="D485" s="142"/>
      <c r="E485" s="403"/>
      <c r="F485" s="198"/>
      <c r="G485" s="403"/>
      <c r="H485" s="198"/>
      <c r="I485" s="411"/>
      <c r="J485" s="142"/>
      <c r="K485" s="411"/>
      <c r="L485" s="142"/>
      <c r="M485" s="411"/>
      <c r="N485" s="142"/>
      <c r="O485" s="403"/>
      <c r="P485" s="198"/>
      <c r="Q485" s="412"/>
      <c r="R485" s="76"/>
      <c r="S485" s="197"/>
      <c r="T485" s="198"/>
      <c r="U485" s="197"/>
      <c r="V485" s="198"/>
      <c r="W485" s="198"/>
      <c r="X485" s="198"/>
      <c r="Y485" s="198"/>
      <c r="Z485" s="198"/>
    </row>
    <row r="486">
      <c r="A486" s="403"/>
      <c r="B486" s="198"/>
      <c r="C486" s="403"/>
      <c r="D486" s="142"/>
      <c r="E486" s="403"/>
      <c r="F486" s="198"/>
      <c r="G486" s="403"/>
      <c r="H486" s="198"/>
      <c r="I486" s="411"/>
      <c r="J486" s="142"/>
      <c r="K486" s="411"/>
      <c r="L486" s="142"/>
      <c r="M486" s="411"/>
      <c r="N486" s="142"/>
      <c r="O486" s="403"/>
      <c r="P486" s="198"/>
      <c r="Q486" s="412"/>
      <c r="R486" s="76"/>
      <c r="S486" s="197"/>
      <c r="T486" s="198"/>
      <c r="U486" s="197"/>
      <c r="V486" s="198"/>
      <c r="W486" s="198"/>
      <c r="X486" s="198"/>
      <c r="Y486" s="198"/>
      <c r="Z486" s="198"/>
    </row>
    <row r="487">
      <c r="A487" s="403"/>
      <c r="B487" s="198"/>
      <c r="C487" s="403"/>
      <c r="D487" s="142"/>
      <c r="E487" s="403"/>
      <c r="F487" s="198"/>
      <c r="G487" s="403"/>
      <c r="H487" s="198"/>
      <c r="I487" s="411"/>
      <c r="J487" s="142"/>
      <c r="K487" s="411"/>
      <c r="L487" s="142"/>
      <c r="M487" s="411"/>
      <c r="N487" s="142"/>
      <c r="O487" s="403"/>
      <c r="P487" s="198"/>
      <c r="Q487" s="412"/>
      <c r="R487" s="76"/>
      <c r="S487" s="197"/>
      <c r="T487" s="198"/>
      <c r="U487" s="197"/>
      <c r="V487" s="198"/>
      <c r="W487" s="198"/>
      <c r="X487" s="198"/>
      <c r="Y487" s="198"/>
      <c r="Z487" s="198"/>
    </row>
    <row r="488">
      <c r="A488" s="403"/>
      <c r="B488" s="198"/>
      <c r="C488" s="403"/>
      <c r="D488" s="142"/>
      <c r="E488" s="403"/>
      <c r="F488" s="198"/>
      <c r="G488" s="403"/>
      <c r="H488" s="198"/>
      <c r="I488" s="411"/>
      <c r="J488" s="142"/>
      <c r="K488" s="411"/>
      <c r="L488" s="142"/>
      <c r="M488" s="411"/>
      <c r="N488" s="142"/>
      <c r="O488" s="403"/>
      <c r="P488" s="198"/>
      <c r="Q488" s="412"/>
      <c r="R488" s="76"/>
      <c r="S488" s="197"/>
      <c r="T488" s="198"/>
      <c r="U488" s="197"/>
      <c r="V488" s="198"/>
      <c r="W488" s="198"/>
      <c r="X488" s="198"/>
      <c r="Y488" s="198"/>
      <c r="Z488" s="198"/>
    </row>
    <row r="489">
      <c r="A489" s="403"/>
      <c r="B489" s="198"/>
      <c r="C489" s="403"/>
      <c r="D489" s="142"/>
      <c r="E489" s="403"/>
      <c r="F489" s="198"/>
      <c r="G489" s="403"/>
      <c r="H489" s="198"/>
      <c r="I489" s="411"/>
      <c r="J489" s="142"/>
      <c r="K489" s="411"/>
      <c r="L489" s="142"/>
      <c r="M489" s="411"/>
      <c r="N489" s="142"/>
      <c r="O489" s="403"/>
      <c r="P489" s="198"/>
      <c r="Q489" s="412"/>
      <c r="R489" s="76"/>
      <c r="S489" s="197"/>
      <c r="T489" s="198"/>
      <c r="U489" s="197"/>
      <c r="V489" s="198"/>
      <c r="W489" s="198"/>
      <c r="X489" s="198"/>
      <c r="Y489" s="198"/>
      <c r="Z489" s="198"/>
    </row>
    <row r="490">
      <c r="A490" s="403"/>
      <c r="B490" s="198"/>
      <c r="C490" s="403"/>
      <c r="D490" s="142"/>
      <c r="E490" s="403"/>
      <c r="F490" s="198"/>
      <c r="G490" s="403"/>
      <c r="H490" s="198"/>
      <c r="I490" s="411"/>
      <c r="J490" s="142"/>
      <c r="K490" s="411"/>
      <c r="L490" s="142"/>
      <c r="M490" s="411"/>
      <c r="N490" s="142"/>
      <c r="O490" s="403"/>
      <c r="P490" s="198"/>
      <c r="Q490" s="412"/>
      <c r="R490" s="76"/>
      <c r="S490" s="197"/>
      <c r="T490" s="198"/>
      <c r="U490" s="197"/>
      <c r="V490" s="198"/>
      <c r="W490" s="198"/>
      <c r="X490" s="198"/>
      <c r="Y490" s="198"/>
      <c r="Z490" s="198"/>
    </row>
    <row r="491">
      <c r="A491" s="403"/>
      <c r="B491" s="198"/>
      <c r="C491" s="403"/>
      <c r="D491" s="142"/>
      <c r="E491" s="403"/>
      <c r="F491" s="198"/>
      <c r="G491" s="403"/>
      <c r="H491" s="198"/>
      <c r="I491" s="411"/>
      <c r="J491" s="142"/>
      <c r="K491" s="411"/>
      <c r="L491" s="142"/>
      <c r="M491" s="411"/>
      <c r="N491" s="142"/>
      <c r="O491" s="403"/>
      <c r="P491" s="198"/>
      <c r="Q491" s="412"/>
      <c r="R491" s="76"/>
      <c r="S491" s="197"/>
      <c r="T491" s="198"/>
      <c r="U491" s="197"/>
      <c r="V491" s="198"/>
      <c r="W491" s="198"/>
      <c r="X491" s="198"/>
      <c r="Y491" s="198"/>
      <c r="Z491" s="198"/>
    </row>
    <row r="492">
      <c r="A492" s="403"/>
      <c r="B492" s="198"/>
      <c r="C492" s="403"/>
      <c r="D492" s="142"/>
      <c r="E492" s="403"/>
      <c r="F492" s="198"/>
      <c r="G492" s="403"/>
      <c r="H492" s="198"/>
      <c r="I492" s="411"/>
      <c r="J492" s="142"/>
      <c r="K492" s="411"/>
      <c r="L492" s="142"/>
      <c r="M492" s="411"/>
      <c r="N492" s="142"/>
      <c r="O492" s="403"/>
      <c r="P492" s="198"/>
      <c r="Q492" s="412"/>
      <c r="R492" s="76"/>
      <c r="S492" s="197"/>
      <c r="T492" s="198"/>
      <c r="U492" s="197"/>
      <c r="V492" s="198"/>
      <c r="W492" s="198"/>
      <c r="X492" s="198"/>
      <c r="Y492" s="198"/>
      <c r="Z492" s="198"/>
    </row>
    <row r="493">
      <c r="A493" s="403"/>
      <c r="B493" s="198"/>
      <c r="C493" s="403"/>
      <c r="D493" s="142"/>
      <c r="E493" s="403"/>
      <c r="F493" s="198"/>
      <c r="G493" s="403"/>
      <c r="H493" s="198"/>
      <c r="I493" s="411"/>
      <c r="J493" s="142"/>
      <c r="K493" s="411"/>
      <c r="L493" s="142"/>
      <c r="M493" s="411"/>
      <c r="N493" s="142"/>
      <c r="O493" s="403"/>
      <c r="P493" s="198"/>
      <c r="Q493" s="412"/>
      <c r="R493" s="76"/>
      <c r="S493" s="197"/>
      <c r="T493" s="198"/>
      <c r="U493" s="197"/>
      <c r="V493" s="198"/>
      <c r="W493" s="198"/>
      <c r="X493" s="198"/>
      <c r="Y493" s="198"/>
      <c r="Z493" s="198"/>
    </row>
    <row r="494">
      <c r="A494" s="403"/>
      <c r="B494" s="198"/>
      <c r="C494" s="403"/>
      <c r="D494" s="142"/>
      <c r="E494" s="403"/>
      <c r="F494" s="198"/>
      <c r="G494" s="403"/>
      <c r="H494" s="198"/>
      <c r="I494" s="411"/>
      <c r="J494" s="142"/>
      <c r="K494" s="411"/>
      <c r="L494" s="142"/>
      <c r="M494" s="411"/>
      <c r="N494" s="142"/>
      <c r="O494" s="403"/>
      <c r="P494" s="198"/>
      <c r="Q494" s="412"/>
      <c r="R494" s="76"/>
      <c r="S494" s="197"/>
      <c r="T494" s="198"/>
      <c r="U494" s="197"/>
      <c r="V494" s="198"/>
      <c r="W494" s="198"/>
      <c r="X494" s="198"/>
      <c r="Y494" s="198"/>
      <c r="Z494" s="198"/>
    </row>
    <row r="495">
      <c r="A495" s="403"/>
      <c r="B495" s="198"/>
      <c r="C495" s="403"/>
      <c r="D495" s="142"/>
      <c r="E495" s="403"/>
      <c r="F495" s="198"/>
      <c r="G495" s="403"/>
      <c r="H495" s="198"/>
      <c r="I495" s="411"/>
      <c r="J495" s="142"/>
      <c r="K495" s="411"/>
      <c r="L495" s="142"/>
      <c r="M495" s="411"/>
      <c r="N495" s="142"/>
      <c r="O495" s="403"/>
      <c r="P495" s="198"/>
      <c r="Q495" s="412"/>
      <c r="R495" s="76"/>
      <c r="S495" s="197"/>
      <c r="T495" s="198"/>
      <c r="U495" s="197"/>
      <c r="V495" s="198"/>
      <c r="W495" s="198"/>
      <c r="X495" s="198"/>
      <c r="Y495" s="198"/>
      <c r="Z495" s="198"/>
    </row>
    <row r="496">
      <c r="A496" s="403"/>
      <c r="B496" s="198"/>
      <c r="C496" s="403"/>
      <c r="D496" s="142"/>
      <c r="E496" s="403"/>
      <c r="F496" s="198"/>
      <c r="G496" s="403"/>
      <c r="H496" s="198"/>
      <c r="I496" s="411"/>
      <c r="J496" s="142"/>
      <c r="K496" s="411"/>
      <c r="L496" s="142"/>
      <c r="M496" s="411"/>
      <c r="N496" s="142"/>
      <c r="O496" s="403"/>
      <c r="P496" s="198"/>
      <c r="Q496" s="412"/>
      <c r="R496" s="76"/>
      <c r="S496" s="197"/>
      <c r="T496" s="198"/>
      <c r="U496" s="197"/>
      <c r="V496" s="198"/>
      <c r="W496" s="198"/>
      <c r="X496" s="198"/>
      <c r="Y496" s="198"/>
      <c r="Z496" s="198"/>
    </row>
    <row r="497">
      <c r="A497" s="403"/>
      <c r="B497" s="198"/>
      <c r="C497" s="403"/>
      <c r="D497" s="142"/>
      <c r="E497" s="403"/>
      <c r="F497" s="198"/>
      <c r="G497" s="403"/>
      <c r="H497" s="198"/>
      <c r="I497" s="411"/>
      <c r="J497" s="142"/>
      <c r="K497" s="411"/>
      <c r="L497" s="142"/>
      <c r="M497" s="411"/>
      <c r="N497" s="142"/>
      <c r="O497" s="403"/>
      <c r="P497" s="198"/>
      <c r="Q497" s="412"/>
      <c r="R497" s="76"/>
      <c r="S497" s="197"/>
      <c r="T497" s="198"/>
      <c r="U497" s="197"/>
      <c r="V497" s="198"/>
      <c r="W497" s="198"/>
      <c r="X497" s="198"/>
      <c r="Y497" s="198"/>
      <c r="Z497" s="198"/>
    </row>
    <row r="498">
      <c r="A498" s="403"/>
      <c r="B498" s="198"/>
      <c r="C498" s="403"/>
      <c r="D498" s="142"/>
      <c r="E498" s="403"/>
      <c r="F498" s="198"/>
      <c r="G498" s="403"/>
      <c r="H498" s="198"/>
      <c r="I498" s="411"/>
      <c r="J498" s="142"/>
      <c r="K498" s="411"/>
      <c r="L498" s="142"/>
      <c r="M498" s="411"/>
      <c r="N498" s="142"/>
      <c r="O498" s="403"/>
      <c r="P498" s="198"/>
      <c r="Q498" s="412"/>
      <c r="R498" s="76"/>
      <c r="S498" s="197"/>
      <c r="T498" s="198"/>
      <c r="U498" s="197"/>
      <c r="V498" s="198"/>
      <c r="W498" s="198"/>
      <c r="X498" s="198"/>
      <c r="Y498" s="198"/>
      <c r="Z498" s="198"/>
    </row>
    <row r="499">
      <c r="A499" s="403"/>
      <c r="B499" s="198"/>
      <c r="C499" s="403"/>
      <c r="D499" s="142"/>
      <c r="E499" s="403"/>
      <c r="F499" s="198"/>
      <c r="G499" s="403"/>
      <c r="H499" s="198"/>
      <c r="I499" s="411"/>
      <c r="J499" s="142"/>
      <c r="K499" s="411"/>
      <c r="L499" s="142"/>
      <c r="M499" s="411"/>
      <c r="N499" s="142"/>
      <c r="O499" s="403"/>
      <c r="P499" s="198"/>
      <c r="Q499" s="412"/>
      <c r="R499" s="76"/>
      <c r="S499" s="197"/>
      <c r="T499" s="198"/>
      <c r="U499" s="197"/>
      <c r="V499" s="198"/>
      <c r="W499" s="198"/>
      <c r="X499" s="198"/>
      <c r="Y499" s="198"/>
      <c r="Z499" s="198"/>
    </row>
    <row r="500">
      <c r="A500" s="403"/>
      <c r="B500" s="198"/>
      <c r="C500" s="403"/>
      <c r="D500" s="142"/>
      <c r="E500" s="403"/>
      <c r="F500" s="198"/>
      <c r="G500" s="403"/>
      <c r="H500" s="198"/>
      <c r="I500" s="411"/>
      <c r="J500" s="142"/>
      <c r="K500" s="411"/>
      <c r="L500" s="142"/>
      <c r="M500" s="411"/>
      <c r="N500" s="142"/>
      <c r="O500" s="403"/>
      <c r="P500" s="198"/>
      <c r="Q500" s="412"/>
      <c r="R500" s="76"/>
      <c r="S500" s="197"/>
      <c r="T500" s="198"/>
      <c r="U500" s="197"/>
      <c r="V500" s="198"/>
      <c r="W500" s="198"/>
      <c r="X500" s="198"/>
      <c r="Y500" s="198"/>
      <c r="Z500" s="198"/>
    </row>
    <row r="501">
      <c r="A501" s="403"/>
      <c r="B501" s="198"/>
      <c r="C501" s="403"/>
      <c r="D501" s="142"/>
      <c r="E501" s="403"/>
      <c r="F501" s="198"/>
      <c r="G501" s="403"/>
      <c r="H501" s="198"/>
      <c r="I501" s="411"/>
      <c r="J501" s="142"/>
      <c r="K501" s="411"/>
      <c r="L501" s="142"/>
      <c r="M501" s="411"/>
      <c r="N501" s="142"/>
      <c r="O501" s="403"/>
      <c r="P501" s="198"/>
      <c r="Q501" s="412"/>
      <c r="R501" s="76"/>
      <c r="S501" s="197"/>
      <c r="T501" s="198"/>
      <c r="U501" s="197"/>
      <c r="V501" s="198"/>
      <c r="W501" s="198"/>
      <c r="X501" s="198"/>
      <c r="Y501" s="198"/>
      <c r="Z501" s="198"/>
    </row>
    <row r="502">
      <c r="A502" s="403"/>
      <c r="B502" s="198"/>
      <c r="C502" s="403"/>
      <c r="D502" s="142"/>
      <c r="E502" s="403"/>
      <c r="F502" s="198"/>
      <c r="G502" s="403"/>
      <c r="H502" s="198"/>
      <c r="I502" s="411"/>
      <c r="J502" s="142"/>
      <c r="K502" s="411"/>
      <c r="L502" s="142"/>
      <c r="M502" s="411"/>
      <c r="N502" s="142"/>
      <c r="O502" s="403"/>
      <c r="P502" s="198"/>
      <c r="Q502" s="412"/>
      <c r="R502" s="76"/>
      <c r="S502" s="197"/>
      <c r="T502" s="198"/>
      <c r="U502" s="197"/>
      <c r="V502" s="198"/>
      <c r="W502" s="198"/>
      <c r="X502" s="198"/>
      <c r="Y502" s="198"/>
      <c r="Z502" s="198"/>
    </row>
    <row r="503">
      <c r="A503" s="403"/>
      <c r="B503" s="198"/>
      <c r="C503" s="403"/>
      <c r="D503" s="142"/>
      <c r="E503" s="403"/>
      <c r="F503" s="198"/>
      <c r="G503" s="403"/>
      <c r="H503" s="198"/>
      <c r="I503" s="411"/>
      <c r="J503" s="142"/>
      <c r="K503" s="411"/>
      <c r="L503" s="142"/>
      <c r="M503" s="411"/>
      <c r="N503" s="142"/>
      <c r="O503" s="403"/>
      <c r="P503" s="198"/>
      <c r="Q503" s="412"/>
      <c r="R503" s="76"/>
      <c r="S503" s="197"/>
      <c r="T503" s="198"/>
      <c r="U503" s="197"/>
      <c r="V503" s="198"/>
      <c r="W503" s="198"/>
      <c r="X503" s="198"/>
      <c r="Y503" s="198"/>
      <c r="Z503" s="198"/>
    </row>
    <row r="504">
      <c r="A504" s="403"/>
      <c r="B504" s="198"/>
      <c r="C504" s="403"/>
      <c r="D504" s="142"/>
      <c r="E504" s="403"/>
      <c r="F504" s="198"/>
      <c r="G504" s="403"/>
      <c r="H504" s="198"/>
      <c r="I504" s="411"/>
      <c r="J504" s="142"/>
      <c r="K504" s="411"/>
      <c r="L504" s="142"/>
      <c r="M504" s="411"/>
      <c r="N504" s="142"/>
      <c r="O504" s="403"/>
      <c r="P504" s="198"/>
      <c r="Q504" s="412"/>
      <c r="R504" s="76"/>
      <c r="S504" s="197"/>
      <c r="T504" s="198"/>
      <c r="U504" s="197"/>
      <c r="V504" s="198"/>
      <c r="W504" s="198"/>
      <c r="X504" s="198"/>
      <c r="Y504" s="198"/>
      <c r="Z504" s="198"/>
    </row>
    <row r="505">
      <c r="A505" s="403"/>
      <c r="B505" s="198"/>
      <c r="C505" s="403"/>
      <c r="D505" s="142"/>
      <c r="E505" s="403"/>
      <c r="F505" s="198"/>
      <c r="G505" s="403"/>
      <c r="H505" s="198"/>
      <c r="I505" s="411"/>
      <c r="J505" s="142"/>
      <c r="K505" s="411"/>
      <c r="L505" s="142"/>
      <c r="M505" s="411"/>
      <c r="N505" s="142"/>
      <c r="O505" s="403"/>
      <c r="P505" s="198"/>
      <c r="Q505" s="412"/>
      <c r="R505" s="76"/>
      <c r="S505" s="197"/>
      <c r="T505" s="198"/>
      <c r="U505" s="197"/>
      <c r="V505" s="198"/>
      <c r="W505" s="198"/>
      <c r="X505" s="198"/>
      <c r="Y505" s="198"/>
      <c r="Z505" s="198"/>
    </row>
    <row r="506">
      <c r="A506" s="403"/>
      <c r="B506" s="198"/>
      <c r="C506" s="403"/>
      <c r="D506" s="142"/>
      <c r="E506" s="403"/>
      <c r="F506" s="198"/>
      <c r="G506" s="403"/>
      <c r="H506" s="198"/>
      <c r="I506" s="411"/>
      <c r="J506" s="142"/>
      <c r="K506" s="411"/>
      <c r="L506" s="142"/>
      <c r="M506" s="411"/>
      <c r="N506" s="142"/>
      <c r="O506" s="403"/>
      <c r="P506" s="198"/>
      <c r="Q506" s="412"/>
      <c r="R506" s="76"/>
      <c r="S506" s="197"/>
      <c r="T506" s="198"/>
      <c r="U506" s="197"/>
      <c r="V506" s="198"/>
      <c r="W506" s="198"/>
      <c r="X506" s="198"/>
      <c r="Y506" s="198"/>
      <c r="Z506" s="198"/>
    </row>
    <row r="507">
      <c r="A507" s="403"/>
      <c r="B507" s="198"/>
      <c r="C507" s="403"/>
      <c r="D507" s="142"/>
      <c r="E507" s="403"/>
      <c r="F507" s="198"/>
      <c r="G507" s="403"/>
      <c r="H507" s="198"/>
      <c r="I507" s="411"/>
      <c r="J507" s="142"/>
      <c r="K507" s="411"/>
      <c r="L507" s="142"/>
      <c r="M507" s="411"/>
      <c r="N507" s="142"/>
      <c r="O507" s="403"/>
      <c r="P507" s="198"/>
      <c r="Q507" s="412"/>
      <c r="R507" s="76"/>
      <c r="S507" s="197"/>
      <c r="T507" s="198"/>
      <c r="U507" s="197"/>
      <c r="V507" s="198"/>
      <c r="W507" s="198"/>
      <c r="X507" s="198"/>
      <c r="Y507" s="198"/>
      <c r="Z507" s="198"/>
    </row>
    <row r="508">
      <c r="A508" s="403"/>
      <c r="B508" s="198"/>
      <c r="C508" s="403"/>
      <c r="D508" s="142"/>
      <c r="E508" s="403"/>
      <c r="F508" s="198"/>
      <c r="G508" s="403"/>
      <c r="H508" s="198"/>
      <c r="I508" s="411"/>
      <c r="J508" s="142"/>
      <c r="K508" s="411"/>
      <c r="L508" s="142"/>
      <c r="M508" s="411"/>
      <c r="N508" s="142"/>
      <c r="O508" s="403"/>
      <c r="P508" s="198"/>
      <c r="Q508" s="412"/>
      <c r="R508" s="76"/>
      <c r="S508" s="197"/>
      <c r="T508" s="198"/>
      <c r="U508" s="197"/>
      <c r="V508" s="198"/>
      <c r="W508" s="198"/>
      <c r="X508" s="198"/>
      <c r="Y508" s="198"/>
      <c r="Z508" s="198"/>
    </row>
    <row r="509">
      <c r="A509" s="403"/>
      <c r="B509" s="198"/>
      <c r="C509" s="403"/>
      <c r="D509" s="142"/>
      <c r="E509" s="403"/>
      <c r="F509" s="198"/>
      <c r="G509" s="403"/>
      <c r="H509" s="198"/>
      <c r="I509" s="411"/>
      <c r="J509" s="142"/>
      <c r="K509" s="411"/>
      <c r="L509" s="142"/>
      <c r="M509" s="411"/>
      <c r="N509" s="142"/>
      <c r="O509" s="403"/>
      <c r="P509" s="198"/>
      <c r="Q509" s="412"/>
      <c r="R509" s="76"/>
      <c r="S509" s="197"/>
      <c r="T509" s="198"/>
      <c r="U509" s="197"/>
      <c r="V509" s="198"/>
      <c r="W509" s="198"/>
      <c r="X509" s="198"/>
      <c r="Y509" s="198"/>
      <c r="Z509" s="198"/>
    </row>
    <row r="510">
      <c r="A510" s="403"/>
      <c r="B510" s="198"/>
      <c r="C510" s="403"/>
      <c r="D510" s="142"/>
      <c r="E510" s="403"/>
      <c r="F510" s="198"/>
      <c r="G510" s="403"/>
      <c r="H510" s="198"/>
      <c r="I510" s="411"/>
      <c r="J510" s="142"/>
      <c r="K510" s="411"/>
      <c r="L510" s="142"/>
      <c r="M510" s="411"/>
      <c r="N510" s="142"/>
      <c r="O510" s="403"/>
      <c r="P510" s="198"/>
      <c r="Q510" s="412"/>
      <c r="R510" s="76"/>
      <c r="S510" s="197"/>
      <c r="T510" s="198"/>
      <c r="U510" s="197"/>
      <c r="V510" s="198"/>
      <c r="W510" s="198"/>
      <c r="X510" s="198"/>
      <c r="Y510" s="198"/>
      <c r="Z510" s="198"/>
    </row>
    <row r="511">
      <c r="A511" s="403"/>
      <c r="B511" s="198"/>
      <c r="C511" s="403"/>
      <c r="D511" s="142"/>
      <c r="E511" s="403"/>
      <c r="F511" s="198"/>
      <c r="G511" s="403"/>
      <c r="H511" s="198"/>
      <c r="I511" s="411"/>
      <c r="J511" s="142"/>
      <c r="K511" s="411"/>
      <c r="L511" s="142"/>
      <c r="M511" s="411"/>
      <c r="N511" s="142"/>
      <c r="O511" s="403"/>
      <c r="P511" s="198"/>
      <c r="Q511" s="412"/>
      <c r="R511" s="76"/>
      <c r="S511" s="197"/>
      <c r="T511" s="198"/>
      <c r="U511" s="197"/>
      <c r="V511" s="198"/>
      <c r="W511" s="198"/>
      <c r="X511" s="198"/>
      <c r="Y511" s="198"/>
      <c r="Z511" s="198"/>
    </row>
    <row r="512">
      <c r="A512" s="403"/>
      <c r="B512" s="198"/>
      <c r="C512" s="403"/>
      <c r="D512" s="142"/>
      <c r="E512" s="403"/>
      <c r="F512" s="198"/>
      <c r="G512" s="403"/>
      <c r="H512" s="198"/>
      <c r="I512" s="411"/>
      <c r="J512" s="142"/>
      <c r="K512" s="411"/>
      <c r="L512" s="142"/>
      <c r="M512" s="411"/>
      <c r="N512" s="142"/>
      <c r="O512" s="403"/>
      <c r="P512" s="198"/>
      <c r="Q512" s="412"/>
      <c r="R512" s="76"/>
      <c r="S512" s="197"/>
      <c r="T512" s="198"/>
      <c r="U512" s="197"/>
      <c r="V512" s="198"/>
      <c r="W512" s="198"/>
      <c r="X512" s="198"/>
      <c r="Y512" s="198"/>
      <c r="Z512" s="198"/>
    </row>
    <row r="513">
      <c r="A513" s="403"/>
      <c r="B513" s="198"/>
      <c r="C513" s="403"/>
      <c r="D513" s="142"/>
      <c r="E513" s="403"/>
      <c r="F513" s="198"/>
      <c r="G513" s="403"/>
      <c r="H513" s="198"/>
      <c r="I513" s="411"/>
      <c r="J513" s="142"/>
      <c r="K513" s="411"/>
      <c r="L513" s="142"/>
      <c r="M513" s="411"/>
      <c r="N513" s="142"/>
      <c r="O513" s="403"/>
      <c r="P513" s="198"/>
      <c r="Q513" s="412"/>
      <c r="R513" s="76"/>
      <c r="S513" s="197"/>
      <c r="T513" s="198"/>
      <c r="U513" s="197"/>
      <c r="V513" s="198"/>
      <c r="W513" s="198"/>
      <c r="X513" s="198"/>
      <c r="Y513" s="198"/>
      <c r="Z513" s="198"/>
    </row>
    <row r="514">
      <c r="A514" s="403"/>
      <c r="B514" s="198"/>
      <c r="C514" s="403"/>
      <c r="D514" s="142"/>
      <c r="E514" s="403"/>
      <c r="F514" s="198"/>
      <c r="G514" s="403"/>
      <c r="H514" s="198"/>
      <c r="I514" s="411"/>
      <c r="J514" s="142"/>
      <c r="K514" s="411"/>
      <c r="L514" s="142"/>
      <c r="M514" s="411"/>
      <c r="N514" s="142"/>
      <c r="O514" s="403"/>
      <c r="P514" s="198"/>
      <c r="Q514" s="412"/>
      <c r="R514" s="76"/>
      <c r="S514" s="197"/>
      <c r="T514" s="198"/>
      <c r="U514" s="197"/>
      <c r="V514" s="198"/>
      <c r="W514" s="198"/>
      <c r="X514" s="198"/>
      <c r="Y514" s="198"/>
      <c r="Z514" s="198"/>
    </row>
    <row r="515">
      <c r="A515" s="403"/>
      <c r="B515" s="198"/>
      <c r="C515" s="403"/>
      <c r="D515" s="142"/>
      <c r="E515" s="403"/>
      <c r="F515" s="198"/>
      <c r="G515" s="403"/>
      <c r="H515" s="198"/>
      <c r="I515" s="411"/>
      <c r="J515" s="142"/>
      <c r="K515" s="411"/>
      <c r="L515" s="142"/>
      <c r="M515" s="411"/>
      <c r="N515" s="142"/>
      <c r="O515" s="403"/>
      <c r="P515" s="198"/>
      <c r="Q515" s="412"/>
      <c r="R515" s="76"/>
      <c r="S515" s="197"/>
      <c r="T515" s="198"/>
      <c r="U515" s="197"/>
      <c r="V515" s="198"/>
      <c r="W515" s="198"/>
      <c r="X515" s="198"/>
      <c r="Y515" s="198"/>
      <c r="Z515" s="198"/>
    </row>
    <row r="516">
      <c r="A516" s="403"/>
      <c r="B516" s="198"/>
      <c r="C516" s="403"/>
      <c r="D516" s="142"/>
      <c r="E516" s="403"/>
      <c r="F516" s="198"/>
      <c r="G516" s="403"/>
      <c r="H516" s="198"/>
      <c r="I516" s="411"/>
      <c r="J516" s="142"/>
      <c r="K516" s="411"/>
      <c r="L516" s="142"/>
      <c r="M516" s="411"/>
      <c r="N516" s="142"/>
      <c r="O516" s="403"/>
      <c r="P516" s="198"/>
      <c r="Q516" s="412"/>
      <c r="R516" s="76"/>
      <c r="S516" s="197"/>
      <c r="T516" s="198"/>
      <c r="U516" s="197"/>
      <c r="V516" s="198"/>
      <c r="W516" s="198"/>
      <c r="X516" s="198"/>
      <c r="Y516" s="198"/>
      <c r="Z516" s="198"/>
    </row>
    <row r="517">
      <c r="A517" s="403"/>
      <c r="B517" s="198"/>
      <c r="C517" s="403"/>
      <c r="D517" s="142"/>
      <c r="E517" s="403"/>
      <c r="F517" s="198"/>
      <c r="G517" s="403"/>
      <c r="H517" s="198"/>
      <c r="I517" s="411"/>
      <c r="J517" s="142"/>
      <c r="K517" s="411"/>
      <c r="L517" s="142"/>
      <c r="M517" s="411"/>
      <c r="N517" s="142"/>
      <c r="O517" s="403"/>
      <c r="P517" s="198"/>
      <c r="Q517" s="412"/>
      <c r="R517" s="76"/>
      <c r="S517" s="197"/>
      <c r="T517" s="198"/>
      <c r="U517" s="197"/>
      <c r="V517" s="198"/>
      <c r="W517" s="198"/>
      <c r="X517" s="198"/>
      <c r="Y517" s="198"/>
      <c r="Z517" s="198"/>
    </row>
    <row r="518">
      <c r="A518" s="403"/>
      <c r="B518" s="198"/>
      <c r="C518" s="403"/>
      <c r="D518" s="142"/>
      <c r="E518" s="403"/>
      <c r="F518" s="198"/>
      <c r="G518" s="403"/>
      <c r="H518" s="198"/>
      <c r="I518" s="411"/>
      <c r="J518" s="142"/>
      <c r="K518" s="411"/>
      <c r="L518" s="142"/>
      <c r="M518" s="411"/>
      <c r="N518" s="142"/>
      <c r="O518" s="403"/>
      <c r="P518" s="198"/>
      <c r="Q518" s="412"/>
      <c r="R518" s="76"/>
      <c r="S518" s="197"/>
      <c r="T518" s="198"/>
      <c r="U518" s="197"/>
      <c r="V518" s="198"/>
      <c r="W518" s="198"/>
      <c r="X518" s="198"/>
      <c r="Y518" s="198"/>
      <c r="Z518" s="198"/>
    </row>
    <row r="519">
      <c r="A519" s="403"/>
      <c r="B519" s="198"/>
      <c r="C519" s="403"/>
      <c r="D519" s="142"/>
      <c r="E519" s="403"/>
      <c r="F519" s="198"/>
      <c r="G519" s="403"/>
      <c r="H519" s="198"/>
      <c r="I519" s="411"/>
      <c r="J519" s="142"/>
      <c r="K519" s="411"/>
      <c r="L519" s="142"/>
      <c r="M519" s="411"/>
      <c r="N519" s="142"/>
      <c r="O519" s="403"/>
      <c r="P519" s="198"/>
      <c r="Q519" s="412"/>
      <c r="R519" s="76"/>
      <c r="S519" s="197"/>
      <c r="T519" s="198"/>
      <c r="U519" s="197"/>
      <c r="V519" s="198"/>
      <c r="W519" s="198"/>
      <c r="X519" s="198"/>
      <c r="Y519" s="198"/>
      <c r="Z519" s="198"/>
    </row>
    <row r="520">
      <c r="A520" s="403"/>
      <c r="B520" s="198"/>
      <c r="C520" s="403"/>
      <c r="D520" s="142"/>
      <c r="E520" s="403"/>
      <c r="F520" s="198"/>
      <c r="G520" s="403"/>
      <c r="H520" s="198"/>
      <c r="I520" s="411"/>
      <c r="J520" s="142"/>
      <c r="K520" s="411"/>
      <c r="L520" s="142"/>
      <c r="M520" s="411"/>
      <c r="N520" s="142"/>
      <c r="O520" s="403"/>
      <c r="P520" s="198"/>
      <c r="Q520" s="412"/>
      <c r="R520" s="76"/>
      <c r="S520" s="197"/>
      <c r="T520" s="198"/>
      <c r="U520" s="197"/>
      <c r="V520" s="198"/>
      <c r="W520" s="198"/>
      <c r="X520" s="198"/>
      <c r="Y520" s="198"/>
      <c r="Z520" s="198"/>
    </row>
    <row r="521">
      <c r="A521" s="403"/>
      <c r="B521" s="198"/>
      <c r="C521" s="403"/>
      <c r="D521" s="142"/>
      <c r="E521" s="403"/>
      <c r="F521" s="198"/>
      <c r="G521" s="403"/>
      <c r="H521" s="198"/>
      <c r="I521" s="411"/>
      <c r="J521" s="142"/>
      <c r="K521" s="411"/>
      <c r="L521" s="142"/>
      <c r="M521" s="411"/>
      <c r="N521" s="142"/>
      <c r="O521" s="403"/>
      <c r="P521" s="198"/>
      <c r="Q521" s="412"/>
      <c r="R521" s="76"/>
      <c r="S521" s="197"/>
      <c r="T521" s="198"/>
      <c r="U521" s="197"/>
      <c r="V521" s="198"/>
      <c r="W521" s="198"/>
      <c r="X521" s="198"/>
      <c r="Y521" s="198"/>
      <c r="Z521" s="198"/>
    </row>
    <row r="522">
      <c r="A522" s="403"/>
      <c r="B522" s="198"/>
      <c r="C522" s="403"/>
      <c r="D522" s="142"/>
      <c r="E522" s="403"/>
      <c r="F522" s="198"/>
      <c r="G522" s="403"/>
      <c r="H522" s="198"/>
      <c r="I522" s="411"/>
      <c r="J522" s="142"/>
      <c r="K522" s="411"/>
      <c r="L522" s="142"/>
      <c r="M522" s="411"/>
      <c r="N522" s="142"/>
      <c r="O522" s="403"/>
      <c r="P522" s="198"/>
      <c r="Q522" s="412"/>
      <c r="R522" s="76"/>
      <c r="S522" s="197"/>
      <c r="T522" s="198"/>
      <c r="U522" s="197"/>
      <c r="V522" s="198"/>
      <c r="W522" s="198"/>
      <c r="X522" s="198"/>
      <c r="Y522" s="198"/>
      <c r="Z522" s="198"/>
    </row>
    <row r="523">
      <c r="A523" s="403"/>
      <c r="B523" s="198"/>
      <c r="C523" s="403"/>
      <c r="D523" s="142"/>
      <c r="E523" s="403"/>
      <c r="F523" s="198"/>
      <c r="G523" s="403"/>
      <c r="H523" s="198"/>
      <c r="I523" s="411"/>
      <c r="J523" s="142"/>
      <c r="K523" s="411"/>
      <c r="L523" s="142"/>
      <c r="M523" s="411"/>
      <c r="N523" s="142"/>
      <c r="O523" s="403"/>
      <c r="P523" s="198"/>
      <c r="Q523" s="412"/>
      <c r="R523" s="76"/>
      <c r="S523" s="197"/>
      <c r="T523" s="198"/>
      <c r="U523" s="197"/>
      <c r="V523" s="198"/>
      <c r="W523" s="198"/>
      <c r="X523" s="198"/>
      <c r="Y523" s="198"/>
      <c r="Z523" s="198"/>
    </row>
    <row r="524">
      <c r="A524" s="403"/>
      <c r="B524" s="198"/>
      <c r="C524" s="403"/>
      <c r="D524" s="142"/>
      <c r="E524" s="403"/>
      <c r="F524" s="198"/>
      <c r="G524" s="403"/>
      <c r="H524" s="198"/>
      <c r="I524" s="411"/>
      <c r="J524" s="142"/>
      <c r="K524" s="411"/>
      <c r="L524" s="142"/>
      <c r="M524" s="411"/>
      <c r="N524" s="142"/>
      <c r="O524" s="403"/>
      <c r="P524" s="198"/>
      <c r="Q524" s="412"/>
      <c r="R524" s="76"/>
      <c r="S524" s="197"/>
      <c r="T524" s="198"/>
      <c r="U524" s="197"/>
      <c r="V524" s="198"/>
      <c r="W524" s="198"/>
      <c r="X524" s="198"/>
      <c r="Y524" s="198"/>
      <c r="Z524" s="198"/>
    </row>
    <row r="525">
      <c r="A525" s="403"/>
      <c r="B525" s="198"/>
      <c r="C525" s="403"/>
      <c r="D525" s="142"/>
      <c r="E525" s="403"/>
      <c r="F525" s="198"/>
      <c r="G525" s="403"/>
      <c r="H525" s="198"/>
      <c r="I525" s="411"/>
      <c r="J525" s="142"/>
      <c r="K525" s="411"/>
      <c r="L525" s="142"/>
      <c r="M525" s="411"/>
      <c r="N525" s="142"/>
      <c r="O525" s="403"/>
      <c r="P525" s="198"/>
      <c r="Q525" s="412"/>
      <c r="R525" s="76"/>
      <c r="S525" s="197"/>
      <c r="T525" s="198"/>
      <c r="U525" s="197"/>
      <c r="V525" s="198"/>
      <c r="W525" s="198"/>
      <c r="X525" s="198"/>
      <c r="Y525" s="198"/>
      <c r="Z525" s="198"/>
    </row>
    <row r="526">
      <c r="A526" s="403"/>
      <c r="B526" s="198"/>
      <c r="C526" s="403"/>
      <c r="D526" s="142"/>
      <c r="E526" s="403"/>
      <c r="F526" s="198"/>
      <c r="G526" s="403"/>
      <c r="H526" s="198"/>
      <c r="I526" s="411"/>
      <c r="J526" s="142"/>
      <c r="K526" s="411"/>
      <c r="L526" s="142"/>
      <c r="M526" s="411"/>
      <c r="N526" s="142"/>
      <c r="O526" s="403"/>
      <c r="P526" s="198"/>
      <c r="Q526" s="412"/>
      <c r="R526" s="76"/>
      <c r="S526" s="197"/>
      <c r="T526" s="198"/>
      <c r="U526" s="197"/>
      <c r="V526" s="198"/>
      <c r="W526" s="198"/>
      <c r="X526" s="198"/>
      <c r="Y526" s="198"/>
      <c r="Z526" s="198"/>
    </row>
    <row r="527">
      <c r="A527" s="403"/>
      <c r="B527" s="198"/>
      <c r="C527" s="403"/>
      <c r="D527" s="142"/>
      <c r="E527" s="403"/>
      <c r="F527" s="198"/>
      <c r="G527" s="403"/>
      <c r="H527" s="198"/>
      <c r="I527" s="411"/>
      <c r="J527" s="142"/>
      <c r="K527" s="411"/>
      <c r="L527" s="142"/>
      <c r="M527" s="411"/>
      <c r="N527" s="142"/>
      <c r="O527" s="403"/>
      <c r="P527" s="198"/>
      <c r="Q527" s="412"/>
      <c r="R527" s="76"/>
      <c r="S527" s="197"/>
      <c r="T527" s="198"/>
      <c r="U527" s="197"/>
      <c r="V527" s="198"/>
      <c r="W527" s="198"/>
      <c r="X527" s="198"/>
      <c r="Y527" s="198"/>
      <c r="Z527" s="198"/>
    </row>
    <row r="528">
      <c r="A528" s="403"/>
      <c r="B528" s="198"/>
      <c r="C528" s="403"/>
      <c r="D528" s="142"/>
      <c r="E528" s="403"/>
      <c r="F528" s="198"/>
      <c r="G528" s="403"/>
      <c r="H528" s="198"/>
      <c r="I528" s="411"/>
      <c r="J528" s="142"/>
      <c r="K528" s="411"/>
      <c r="L528" s="142"/>
      <c r="M528" s="411"/>
      <c r="N528" s="142"/>
      <c r="O528" s="403"/>
      <c r="P528" s="198"/>
      <c r="Q528" s="412"/>
      <c r="R528" s="76"/>
      <c r="S528" s="197"/>
      <c r="T528" s="198"/>
      <c r="U528" s="197"/>
      <c r="V528" s="198"/>
      <c r="W528" s="198"/>
      <c r="X528" s="198"/>
      <c r="Y528" s="198"/>
      <c r="Z528" s="198"/>
    </row>
    <row r="529">
      <c r="A529" s="403"/>
      <c r="B529" s="198"/>
      <c r="C529" s="403"/>
      <c r="D529" s="142"/>
      <c r="E529" s="403"/>
      <c r="F529" s="198"/>
      <c r="G529" s="403"/>
      <c r="H529" s="198"/>
      <c r="I529" s="411"/>
      <c r="J529" s="142"/>
      <c r="K529" s="411"/>
      <c r="L529" s="142"/>
      <c r="M529" s="411"/>
      <c r="N529" s="142"/>
      <c r="O529" s="403"/>
      <c r="P529" s="198"/>
      <c r="Q529" s="412"/>
      <c r="R529" s="76"/>
      <c r="S529" s="197"/>
      <c r="T529" s="198"/>
      <c r="U529" s="197"/>
      <c r="V529" s="198"/>
      <c r="W529" s="198"/>
      <c r="X529" s="198"/>
      <c r="Y529" s="198"/>
      <c r="Z529" s="198"/>
    </row>
    <row r="530">
      <c r="A530" s="403"/>
      <c r="B530" s="198"/>
      <c r="C530" s="403"/>
      <c r="D530" s="142"/>
      <c r="E530" s="403"/>
      <c r="F530" s="198"/>
      <c r="G530" s="403"/>
      <c r="H530" s="198"/>
      <c r="I530" s="411"/>
      <c r="J530" s="142"/>
      <c r="K530" s="411"/>
      <c r="L530" s="142"/>
      <c r="M530" s="411"/>
      <c r="N530" s="142"/>
      <c r="O530" s="403"/>
      <c r="P530" s="198"/>
      <c r="Q530" s="412"/>
      <c r="R530" s="76"/>
      <c r="S530" s="197"/>
      <c r="T530" s="198"/>
      <c r="U530" s="197"/>
      <c r="V530" s="198"/>
      <c r="W530" s="198"/>
      <c r="X530" s="198"/>
      <c r="Y530" s="198"/>
      <c r="Z530" s="198"/>
    </row>
    <row r="531">
      <c r="A531" s="403"/>
      <c r="B531" s="198"/>
      <c r="C531" s="403"/>
      <c r="D531" s="142"/>
      <c r="E531" s="403"/>
      <c r="F531" s="198"/>
      <c r="G531" s="403"/>
      <c r="H531" s="198"/>
      <c r="I531" s="411"/>
      <c r="J531" s="142"/>
      <c r="K531" s="411"/>
      <c r="L531" s="142"/>
      <c r="M531" s="411"/>
      <c r="N531" s="142"/>
      <c r="O531" s="403"/>
      <c r="P531" s="198"/>
      <c r="Q531" s="412"/>
      <c r="R531" s="76"/>
      <c r="S531" s="197"/>
      <c r="T531" s="198"/>
      <c r="U531" s="197"/>
      <c r="V531" s="198"/>
      <c r="W531" s="198"/>
      <c r="X531" s="198"/>
      <c r="Y531" s="198"/>
      <c r="Z531" s="198"/>
    </row>
    <row r="532">
      <c r="A532" s="403"/>
      <c r="B532" s="198"/>
      <c r="C532" s="403"/>
      <c r="D532" s="142"/>
      <c r="E532" s="403"/>
      <c r="F532" s="198"/>
      <c r="G532" s="403"/>
      <c r="H532" s="198"/>
      <c r="I532" s="411"/>
      <c r="J532" s="142"/>
      <c r="K532" s="411"/>
      <c r="L532" s="142"/>
      <c r="M532" s="411"/>
      <c r="N532" s="142"/>
      <c r="O532" s="403"/>
      <c r="P532" s="198"/>
      <c r="Q532" s="412"/>
      <c r="R532" s="76"/>
      <c r="S532" s="197"/>
      <c r="T532" s="198"/>
      <c r="U532" s="197"/>
      <c r="V532" s="198"/>
      <c r="W532" s="198"/>
      <c r="X532" s="198"/>
      <c r="Y532" s="198"/>
      <c r="Z532" s="198"/>
    </row>
    <row r="533">
      <c r="A533" s="403"/>
      <c r="B533" s="198"/>
      <c r="C533" s="403"/>
      <c r="D533" s="142"/>
      <c r="E533" s="403"/>
      <c r="F533" s="198"/>
      <c r="G533" s="403"/>
      <c r="H533" s="198"/>
      <c r="I533" s="411"/>
      <c r="J533" s="142"/>
      <c r="K533" s="411"/>
      <c r="L533" s="142"/>
      <c r="M533" s="411"/>
      <c r="N533" s="142"/>
      <c r="O533" s="403"/>
      <c r="P533" s="198"/>
      <c r="Q533" s="412"/>
      <c r="R533" s="76"/>
      <c r="S533" s="197"/>
      <c r="T533" s="198"/>
      <c r="U533" s="197"/>
      <c r="V533" s="198"/>
      <c r="W533" s="198"/>
      <c r="X533" s="198"/>
      <c r="Y533" s="198"/>
      <c r="Z533" s="198"/>
    </row>
    <row r="534">
      <c r="A534" s="403"/>
      <c r="B534" s="198"/>
      <c r="C534" s="403"/>
      <c r="D534" s="142"/>
      <c r="E534" s="403"/>
      <c r="F534" s="198"/>
      <c r="G534" s="403"/>
      <c r="H534" s="198"/>
      <c r="I534" s="411"/>
      <c r="J534" s="142"/>
      <c r="K534" s="411"/>
      <c r="L534" s="142"/>
      <c r="M534" s="411"/>
      <c r="N534" s="142"/>
      <c r="O534" s="403"/>
      <c r="P534" s="198"/>
      <c r="Q534" s="412"/>
      <c r="R534" s="76"/>
      <c r="S534" s="197"/>
      <c r="T534" s="198"/>
      <c r="U534" s="197"/>
      <c r="V534" s="198"/>
      <c r="W534" s="198"/>
      <c r="X534" s="198"/>
      <c r="Y534" s="198"/>
      <c r="Z534" s="198"/>
    </row>
    <row r="535">
      <c r="A535" s="403"/>
      <c r="B535" s="198"/>
      <c r="C535" s="403"/>
      <c r="D535" s="142"/>
      <c r="E535" s="403"/>
      <c r="F535" s="198"/>
      <c r="G535" s="403"/>
      <c r="H535" s="198"/>
      <c r="I535" s="411"/>
      <c r="J535" s="142"/>
      <c r="K535" s="411"/>
      <c r="L535" s="142"/>
      <c r="M535" s="411"/>
      <c r="N535" s="142"/>
      <c r="O535" s="403"/>
      <c r="P535" s="198"/>
      <c r="Q535" s="412"/>
      <c r="R535" s="76"/>
      <c r="S535" s="197"/>
      <c r="T535" s="198"/>
      <c r="U535" s="197"/>
      <c r="V535" s="198"/>
      <c r="W535" s="198"/>
      <c r="X535" s="198"/>
      <c r="Y535" s="198"/>
      <c r="Z535" s="198"/>
    </row>
    <row r="536">
      <c r="A536" s="403"/>
      <c r="B536" s="198"/>
      <c r="C536" s="403"/>
      <c r="D536" s="142"/>
      <c r="E536" s="403"/>
      <c r="F536" s="198"/>
      <c r="G536" s="403"/>
      <c r="H536" s="198"/>
      <c r="I536" s="411"/>
      <c r="J536" s="142"/>
      <c r="K536" s="411"/>
      <c r="L536" s="142"/>
      <c r="M536" s="411"/>
      <c r="N536" s="142"/>
      <c r="O536" s="403"/>
      <c r="P536" s="198"/>
      <c r="Q536" s="412"/>
      <c r="R536" s="76"/>
      <c r="S536" s="197"/>
      <c r="T536" s="198"/>
      <c r="U536" s="197"/>
      <c r="V536" s="198"/>
      <c r="W536" s="198"/>
      <c r="X536" s="198"/>
      <c r="Y536" s="198"/>
      <c r="Z536" s="198"/>
    </row>
    <row r="537">
      <c r="A537" s="403"/>
      <c r="B537" s="198"/>
      <c r="C537" s="403"/>
      <c r="D537" s="142"/>
      <c r="E537" s="403"/>
      <c r="F537" s="198"/>
      <c r="G537" s="403"/>
      <c r="H537" s="198"/>
      <c r="I537" s="411"/>
      <c r="J537" s="142"/>
      <c r="K537" s="411"/>
      <c r="L537" s="142"/>
      <c r="M537" s="411"/>
      <c r="N537" s="142"/>
      <c r="O537" s="403"/>
      <c r="P537" s="198"/>
      <c r="Q537" s="412"/>
      <c r="R537" s="76"/>
      <c r="S537" s="197"/>
      <c r="T537" s="198"/>
      <c r="U537" s="197"/>
      <c r="V537" s="198"/>
      <c r="W537" s="198"/>
      <c r="X537" s="198"/>
      <c r="Y537" s="198"/>
      <c r="Z537" s="198"/>
    </row>
    <row r="538">
      <c r="A538" s="403"/>
      <c r="B538" s="198"/>
      <c r="C538" s="403"/>
      <c r="D538" s="142"/>
      <c r="E538" s="403"/>
      <c r="F538" s="198"/>
      <c r="G538" s="403"/>
      <c r="H538" s="198"/>
      <c r="I538" s="411"/>
      <c r="J538" s="142"/>
      <c r="K538" s="411"/>
      <c r="L538" s="142"/>
      <c r="M538" s="411"/>
      <c r="N538" s="142"/>
      <c r="O538" s="403"/>
      <c r="P538" s="198"/>
      <c r="Q538" s="412"/>
      <c r="R538" s="76"/>
      <c r="S538" s="197"/>
      <c r="T538" s="198"/>
      <c r="U538" s="197"/>
      <c r="V538" s="198"/>
      <c r="W538" s="198"/>
      <c r="X538" s="198"/>
      <c r="Y538" s="198"/>
      <c r="Z538" s="198"/>
    </row>
    <row r="539">
      <c r="A539" s="403"/>
      <c r="B539" s="198"/>
      <c r="C539" s="403"/>
      <c r="D539" s="142"/>
      <c r="E539" s="403"/>
      <c r="F539" s="198"/>
      <c r="G539" s="403"/>
      <c r="H539" s="198"/>
      <c r="I539" s="411"/>
      <c r="J539" s="142"/>
      <c r="K539" s="411"/>
      <c r="L539" s="142"/>
      <c r="M539" s="411"/>
      <c r="N539" s="142"/>
      <c r="O539" s="403"/>
      <c r="P539" s="198"/>
      <c r="Q539" s="412"/>
      <c r="R539" s="76"/>
      <c r="S539" s="197"/>
      <c r="T539" s="198"/>
      <c r="U539" s="197"/>
      <c r="V539" s="198"/>
      <c r="W539" s="198"/>
      <c r="X539" s="198"/>
      <c r="Y539" s="198"/>
      <c r="Z539" s="198"/>
    </row>
    <row r="540">
      <c r="A540" s="403"/>
      <c r="B540" s="198"/>
      <c r="C540" s="403"/>
      <c r="D540" s="142"/>
      <c r="E540" s="403"/>
      <c r="F540" s="198"/>
      <c r="G540" s="403"/>
      <c r="H540" s="198"/>
      <c r="I540" s="411"/>
      <c r="J540" s="142"/>
      <c r="K540" s="411"/>
      <c r="L540" s="142"/>
      <c r="M540" s="411"/>
      <c r="N540" s="142"/>
      <c r="O540" s="403"/>
      <c r="P540" s="198"/>
      <c r="Q540" s="412"/>
      <c r="R540" s="76"/>
      <c r="S540" s="197"/>
      <c r="T540" s="198"/>
      <c r="U540" s="197"/>
      <c r="V540" s="198"/>
      <c r="W540" s="198"/>
      <c r="X540" s="198"/>
      <c r="Y540" s="198"/>
      <c r="Z540" s="198"/>
    </row>
    <row r="541">
      <c r="A541" s="403"/>
      <c r="B541" s="198"/>
      <c r="C541" s="403"/>
      <c r="D541" s="142"/>
      <c r="E541" s="403"/>
      <c r="F541" s="198"/>
      <c r="G541" s="403"/>
      <c r="H541" s="198"/>
      <c r="I541" s="411"/>
      <c r="J541" s="142"/>
      <c r="K541" s="411"/>
      <c r="L541" s="142"/>
      <c r="M541" s="411"/>
      <c r="N541" s="142"/>
      <c r="O541" s="403"/>
      <c r="P541" s="198"/>
      <c r="Q541" s="412"/>
      <c r="R541" s="76"/>
      <c r="S541" s="197"/>
      <c r="T541" s="198"/>
      <c r="U541" s="197"/>
      <c r="V541" s="198"/>
      <c r="W541" s="198"/>
      <c r="X541" s="198"/>
      <c r="Y541" s="198"/>
      <c r="Z541" s="198"/>
    </row>
    <row r="542">
      <c r="A542" s="403"/>
      <c r="B542" s="198"/>
      <c r="C542" s="403"/>
      <c r="D542" s="142"/>
      <c r="E542" s="403"/>
      <c r="F542" s="198"/>
      <c r="G542" s="403"/>
      <c r="H542" s="198"/>
      <c r="I542" s="411"/>
      <c r="J542" s="142"/>
      <c r="K542" s="411"/>
      <c r="L542" s="142"/>
      <c r="M542" s="411"/>
      <c r="N542" s="142"/>
      <c r="O542" s="403"/>
      <c r="P542" s="198"/>
      <c r="Q542" s="412"/>
      <c r="R542" s="76"/>
      <c r="S542" s="197"/>
      <c r="T542" s="198"/>
      <c r="U542" s="197"/>
      <c r="V542" s="198"/>
      <c r="W542" s="198"/>
      <c r="X542" s="198"/>
      <c r="Y542" s="198"/>
      <c r="Z542" s="198"/>
    </row>
    <row r="543">
      <c r="A543" s="403"/>
      <c r="B543" s="198"/>
      <c r="C543" s="403"/>
      <c r="D543" s="142"/>
      <c r="E543" s="403"/>
      <c r="F543" s="198"/>
      <c r="G543" s="403"/>
      <c r="H543" s="198"/>
      <c r="I543" s="411"/>
      <c r="J543" s="142"/>
      <c r="K543" s="411"/>
      <c r="L543" s="142"/>
      <c r="M543" s="411"/>
      <c r="N543" s="142"/>
      <c r="O543" s="403"/>
      <c r="P543" s="198"/>
      <c r="Q543" s="412"/>
      <c r="R543" s="76"/>
      <c r="S543" s="197"/>
      <c r="T543" s="198"/>
      <c r="U543" s="197"/>
      <c r="V543" s="198"/>
      <c r="W543" s="198"/>
      <c r="X543" s="198"/>
      <c r="Y543" s="198"/>
      <c r="Z543" s="198"/>
    </row>
    <row r="544">
      <c r="A544" s="403"/>
      <c r="B544" s="198"/>
      <c r="C544" s="403"/>
      <c r="D544" s="142"/>
      <c r="E544" s="403"/>
      <c r="F544" s="198"/>
      <c r="G544" s="403"/>
      <c r="H544" s="198"/>
      <c r="I544" s="411"/>
      <c r="J544" s="142"/>
      <c r="K544" s="411"/>
      <c r="L544" s="142"/>
      <c r="M544" s="411"/>
      <c r="N544" s="142"/>
      <c r="O544" s="403"/>
      <c r="P544" s="198"/>
      <c r="Q544" s="412"/>
      <c r="R544" s="76"/>
      <c r="S544" s="197"/>
      <c r="T544" s="198"/>
      <c r="U544" s="197"/>
      <c r="V544" s="198"/>
      <c r="W544" s="198"/>
      <c r="X544" s="198"/>
      <c r="Y544" s="198"/>
      <c r="Z544" s="198"/>
    </row>
    <row r="545">
      <c r="A545" s="403"/>
      <c r="B545" s="198"/>
      <c r="C545" s="403"/>
      <c r="D545" s="142"/>
      <c r="E545" s="403"/>
      <c r="F545" s="198"/>
      <c r="G545" s="403"/>
      <c r="H545" s="198"/>
      <c r="I545" s="411"/>
      <c r="J545" s="142"/>
      <c r="K545" s="411"/>
      <c r="L545" s="142"/>
      <c r="M545" s="411"/>
      <c r="N545" s="142"/>
      <c r="O545" s="403"/>
      <c r="P545" s="198"/>
      <c r="Q545" s="412"/>
      <c r="R545" s="76"/>
      <c r="S545" s="197"/>
      <c r="T545" s="198"/>
      <c r="U545" s="197"/>
      <c r="V545" s="198"/>
      <c r="W545" s="198"/>
      <c r="X545" s="198"/>
      <c r="Y545" s="198"/>
      <c r="Z545" s="198"/>
    </row>
    <row r="546">
      <c r="A546" s="403"/>
      <c r="B546" s="198"/>
      <c r="C546" s="403"/>
      <c r="D546" s="142"/>
      <c r="E546" s="403"/>
      <c r="F546" s="198"/>
      <c r="G546" s="403"/>
      <c r="H546" s="198"/>
      <c r="I546" s="411"/>
      <c r="J546" s="142"/>
      <c r="K546" s="411"/>
      <c r="L546" s="142"/>
      <c r="M546" s="411"/>
      <c r="N546" s="142"/>
      <c r="O546" s="403"/>
      <c r="P546" s="198"/>
      <c r="Q546" s="412"/>
      <c r="R546" s="76"/>
      <c r="S546" s="197"/>
      <c r="T546" s="198"/>
      <c r="U546" s="197"/>
      <c r="V546" s="198"/>
      <c r="W546" s="198"/>
      <c r="X546" s="198"/>
      <c r="Y546" s="198"/>
      <c r="Z546" s="198"/>
    </row>
    <row r="547">
      <c r="A547" s="403"/>
      <c r="B547" s="198"/>
      <c r="C547" s="403"/>
      <c r="D547" s="142"/>
      <c r="E547" s="403"/>
      <c r="F547" s="198"/>
      <c r="G547" s="403"/>
      <c r="H547" s="198"/>
      <c r="I547" s="411"/>
      <c r="J547" s="142"/>
      <c r="K547" s="411"/>
      <c r="L547" s="142"/>
      <c r="M547" s="411"/>
      <c r="N547" s="142"/>
      <c r="O547" s="403"/>
      <c r="P547" s="198"/>
      <c r="Q547" s="412"/>
      <c r="R547" s="76"/>
      <c r="S547" s="197"/>
      <c r="T547" s="198"/>
      <c r="U547" s="197"/>
      <c r="V547" s="198"/>
      <c r="W547" s="198"/>
      <c r="X547" s="198"/>
      <c r="Y547" s="198"/>
      <c r="Z547" s="198"/>
    </row>
    <row r="548">
      <c r="A548" s="403"/>
      <c r="B548" s="198"/>
      <c r="C548" s="403"/>
      <c r="D548" s="142"/>
      <c r="E548" s="403"/>
      <c r="F548" s="198"/>
      <c r="G548" s="403"/>
      <c r="H548" s="198"/>
      <c r="I548" s="411"/>
      <c r="J548" s="142"/>
      <c r="K548" s="411"/>
      <c r="L548" s="142"/>
      <c r="M548" s="411"/>
      <c r="N548" s="142"/>
      <c r="O548" s="403"/>
      <c r="P548" s="198"/>
      <c r="Q548" s="412"/>
      <c r="R548" s="76"/>
      <c r="S548" s="197"/>
      <c r="T548" s="198"/>
      <c r="U548" s="197"/>
      <c r="V548" s="198"/>
      <c r="W548" s="198"/>
      <c r="X548" s="198"/>
      <c r="Y548" s="198"/>
      <c r="Z548" s="198"/>
    </row>
    <row r="549">
      <c r="A549" s="403"/>
      <c r="B549" s="198"/>
      <c r="C549" s="403"/>
      <c r="D549" s="142"/>
      <c r="E549" s="403"/>
      <c r="F549" s="198"/>
      <c r="G549" s="403"/>
      <c r="H549" s="198"/>
      <c r="I549" s="411"/>
      <c r="J549" s="142"/>
      <c r="K549" s="411"/>
      <c r="L549" s="142"/>
      <c r="M549" s="411"/>
      <c r="N549" s="142"/>
      <c r="O549" s="403"/>
      <c r="P549" s="198"/>
      <c r="Q549" s="412"/>
      <c r="R549" s="76"/>
      <c r="S549" s="197"/>
      <c r="T549" s="198"/>
      <c r="U549" s="197"/>
      <c r="V549" s="198"/>
      <c r="W549" s="198"/>
      <c r="X549" s="198"/>
      <c r="Y549" s="198"/>
      <c r="Z549" s="198"/>
    </row>
    <row r="550">
      <c r="A550" s="403"/>
      <c r="B550" s="198"/>
      <c r="C550" s="403"/>
      <c r="D550" s="142"/>
      <c r="E550" s="403"/>
      <c r="F550" s="198"/>
      <c r="G550" s="403"/>
      <c r="H550" s="198"/>
      <c r="I550" s="411"/>
      <c r="J550" s="142"/>
      <c r="K550" s="411"/>
      <c r="L550" s="142"/>
      <c r="M550" s="411"/>
      <c r="N550" s="142"/>
      <c r="O550" s="403"/>
      <c r="P550" s="198"/>
      <c r="Q550" s="412"/>
      <c r="R550" s="76"/>
      <c r="S550" s="197"/>
      <c r="T550" s="198"/>
      <c r="U550" s="197"/>
      <c r="V550" s="198"/>
      <c r="W550" s="198"/>
      <c r="X550" s="198"/>
      <c r="Y550" s="198"/>
      <c r="Z550" s="198"/>
    </row>
    <row r="551">
      <c r="A551" s="403"/>
      <c r="B551" s="198"/>
      <c r="C551" s="403"/>
      <c r="D551" s="142"/>
      <c r="E551" s="403"/>
      <c r="F551" s="198"/>
      <c r="G551" s="403"/>
      <c r="H551" s="198"/>
      <c r="I551" s="411"/>
      <c r="J551" s="142"/>
      <c r="K551" s="411"/>
      <c r="L551" s="142"/>
      <c r="M551" s="411"/>
      <c r="N551" s="142"/>
      <c r="O551" s="403"/>
      <c r="P551" s="198"/>
      <c r="Q551" s="412"/>
      <c r="R551" s="76"/>
      <c r="S551" s="197"/>
      <c r="T551" s="198"/>
      <c r="U551" s="197"/>
      <c r="V551" s="198"/>
      <c r="W551" s="198"/>
      <c r="X551" s="198"/>
      <c r="Y551" s="198"/>
      <c r="Z551" s="198"/>
    </row>
    <row r="552">
      <c r="A552" s="403"/>
      <c r="B552" s="198"/>
      <c r="C552" s="403"/>
      <c r="D552" s="142"/>
      <c r="E552" s="403"/>
      <c r="F552" s="198"/>
      <c r="G552" s="403"/>
      <c r="H552" s="198"/>
      <c r="I552" s="411"/>
      <c r="J552" s="142"/>
      <c r="K552" s="411"/>
      <c r="L552" s="142"/>
      <c r="M552" s="411"/>
      <c r="N552" s="142"/>
      <c r="O552" s="403"/>
      <c r="P552" s="198"/>
      <c r="Q552" s="412"/>
      <c r="R552" s="76"/>
      <c r="S552" s="197"/>
      <c r="T552" s="198"/>
      <c r="U552" s="197"/>
      <c r="V552" s="198"/>
      <c r="W552" s="198"/>
      <c r="X552" s="198"/>
      <c r="Y552" s="198"/>
      <c r="Z552" s="198"/>
    </row>
    <row r="553">
      <c r="A553" s="403"/>
      <c r="B553" s="198"/>
      <c r="C553" s="403"/>
      <c r="D553" s="142"/>
      <c r="E553" s="403"/>
      <c r="F553" s="198"/>
      <c r="G553" s="403"/>
      <c r="H553" s="198"/>
      <c r="I553" s="411"/>
      <c r="J553" s="142"/>
      <c r="K553" s="411"/>
      <c r="L553" s="142"/>
      <c r="M553" s="411"/>
      <c r="N553" s="142"/>
      <c r="O553" s="403"/>
      <c r="P553" s="198"/>
      <c r="Q553" s="412"/>
      <c r="R553" s="76"/>
      <c r="S553" s="197"/>
      <c r="T553" s="198"/>
      <c r="U553" s="197"/>
      <c r="V553" s="198"/>
      <c r="W553" s="198"/>
      <c r="X553" s="198"/>
      <c r="Y553" s="198"/>
      <c r="Z553" s="198"/>
    </row>
    <row r="554">
      <c r="A554" s="403"/>
      <c r="B554" s="198"/>
      <c r="C554" s="403"/>
      <c r="D554" s="142"/>
      <c r="E554" s="403"/>
      <c r="F554" s="198"/>
      <c r="G554" s="403"/>
      <c r="H554" s="198"/>
      <c r="I554" s="411"/>
      <c r="J554" s="142"/>
      <c r="K554" s="411"/>
      <c r="L554" s="142"/>
      <c r="M554" s="411"/>
      <c r="N554" s="142"/>
      <c r="O554" s="403"/>
      <c r="P554" s="198"/>
      <c r="Q554" s="412"/>
      <c r="R554" s="76"/>
      <c r="S554" s="197"/>
      <c r="T554" s="198"/>
      <c r="U554" s="197"/>
      <c r="V554" s="198"/>
      <c r="W554" s="198"/>
      <c r="X554" s="198"/>
      <c r="Y554" s="198"/>
      <c r="Z554" s="198"/>
    </row>
    <row r="555">
      <c r="A555" s="403"/>
      <c r="B555" s="198"/>
      <c r="C555" s="403"/>
      <c r="D555" s="142"/>
      <c r="E555" s="403"/>
      <c r="F555" s="198"/>
      <c r="G555" s="403"/>
      <c r="H555" s="198"/>
      <c r="I555" s="411"/>
      <c r="J555" s="142"/>
      <c r="K555" s="411"/>
      <c r="L555" s="142"/>
      <c r="M555" s="411"/>
      <c r="N555" s="142"/>
      <c r="O555" s="403"/>
      <c r="P555" s="198"/>
      <c r="Q555" s="412"/>
      <c r="R555" s="76"/>
      <c r="S555" s="197"/>
      <c r="T555" s="198"/>
      <c r="U555" s="197"/>
      <c r="V555" s="198"/>
      <c r="W555" s="198"/>
      <c r="X555" s="198"/>
      <c r="Y555" s="198"/>
      <c r="Z555" s="198"/>
    </row>
    <row r="556">
      <c r="A556" s="403"/>
      <c r="B556" s="198"/>
      <c r="C556" s="403"/>
      <c r="D556" s="142"/>
      <c r="E556" s="403"/>
      <c r="F556" s="198"/>
      <c r="G556" s="403"/>
      <c r="H556" s="198"/>
      <c r="I556" s="411"/>
      <c r="J556" s="142"/>
      <c r="K556" s="411"/>
      <c r="L556" s="142"/>
      <c r="M556" s="411"/>
      <c r="N556" s="142"/>
      <c r="O556" s="403"/>
      <c r="P556" s="198"/>
      <c r="Q556" s="412"/>
      <c r="R556" s="76"/>
      <c r="S556" s="197"/>
      <c r="T556" s="198"/>
      <c r="U556" s="197"/>
      <c r="V556" s="198"/>
      <c r="W556" s="198"/>
      <c r="X556" s="198"/>
      <c r="Y556" s="198"/>
      <c r="Z556" s="198"/>
    </row>
    <row r="557">
      <c r="A557" s="403"/>
      <c r="B557" s="198"/>
      <c r="C557" s="403"/>
      <c r="D557" s="142"/>
      <c r="E557" s="403"/>
      <c r="F557" s="198"/>
      <c r="G557" s="403"/>
      <c r="H557" s="198"/>
      <c r="I557" s="411"/>
      <c r="J557" s="142"/>
      <c r="K557" s="411"/>
      <c r="L557" s="142"/>
      <c r="M557" s="411"/>
      <c r="N557" s="142"/>
      <c r="O557" s="403"/>
      <c r="P557" s="198"/>
      <c r="Q557" s="412"/>
      <c r="R557" s="76"/>
      <c r="S557" s="197"/>
      <c r="T557" s="198"/>
      <c r="U557" s="197"/>
      <c r="V557" s="198"/>
      <c r="W557" s="198"/>
      <c r="X557" s="198"/>
      <c r="Y557" s="198"/>
      <c r="Z557" s="198"/>
    </row>
    <row r="558">
      <c r="A558" s="403"/>
      <c r="B558" s="198"/>
      <c r="C558" s="403"/>
      <c r="D558" s="142"/>
      <c r="E558" s="403"/>
      <c r="F558" s="198"/>
      <c r="G558" s="403"/>
      <c r="H558" s="198"/>
      <c r="I558" s="411"/>
      <c r="J558" s="142"/>
      <c r="K558" s="411"/>
      <c r="L558" s="142"/>
      <c r="M558" s="411"/>
      <c r="N558" s="142"/>
      <c r="O558" s="403"/>
      <c r="P558" s="198"/>
      <c r="Q558" s="412"/>
      <c r="R558" s="76"/>
      <c r="S558" s="197"/>
      <c r="T558" s="198"/>
      <c r="U558" s="197"/>
      <c r="V558" s="198"/>
      <c r="W558" s="198"/>
      <c r="X558" s="198"/>
      <c r="Y558" s="198"/>
      <c r="Z558" s="198"/>
    </row>
    <row r="559">
      <c r="A559" s="403"/>
      <c r="B559" s="198"/>
      <c r="C559" s="403"/>
      <c r="D559" s="142"/>
      <c r="E559" s="403"/>
      <c r="F559" s="198"/>
      <c r="G559" s="403"/>
      <c r="H559" s="198"/>
      <c r="I559" s="411"/>
      <c r="J559" s="142"/>
      <c r="K559" s="411"/>
      <c r="L559" s="142"/>
      <c r="M559" s="411"/>
      <c r="N559" s="142"/>
      <c r="O559" s="403"/>
      <c r="P559" s="198"/>
      <c r="Q559" s="412"/>
      <c r="R559" s="76"/>
      <c r="S559" s="197"/>
      <c r="T559" s="198"/>
      <c r="U559" s="197"/>
      <c r="V559" s="198"/>
      <c r="W559" s="198"/>
      <c r="X559" s="198"/>
      <c r="Y559" s="198"/>
      <c r="Z559" s="198"/>
    </row>
    <row r="560">
      <c r="A560" s="403"/>
      <c r="B560" s="198"/>
      <c r="C560" s="403"/>
      <c r="D560" s="142"/>
      <c r="E560" s="403"/>
      <c r="F560" s="198"/>
      <c r="G560" s="403"/>
      <c r="H560" s="198"/>
      <c r="I560" s="411"/>
      <c r="J560" s="142"/>
      <c r="K560" s="411"/>
      <c r="L560" s="142"/>
      <c r="M560" s="411"/>
      <c r="N560" s="142"/>
      <c r="O560" s="403"/>
      <c r="P560" s="198"/>
      <c r="Q560" s="412"/>
      <c r="R560" s="76"/>
      <c r="S560" s="197"/>
      <c r="T560" s="198"/>
      <c r="U560" s="197"/>
      <c r="V560" s="198"/>
      <c r="W560" s="198"/>
      <c r="X560" s="198"/>
      <c r="Y560" s="198"/>
      <c r="Z560" s="198"/>
    </row>
    <row r="561">
      <c r="A561" s="403"/>
      <c r="B561" s="198"/>
      <c r="C561" s="403"/>
      <c r="D561" s="142"/>
      <c r="E561" s="403"/>
      <c r="F561" s="198"/>
      <c r="G561" s="403"/>
      <c r="H561" s="198"/>
      <c r="I561" s="411"/>
      <c r="J561" s="142"/>
      <c r="K561" s="411"/>
      <c r="L561" s="142"/>
      <c r="M561" s="411"/>
      <c r="N561" s="142"/>
      <c r="O561" s="403"/>
      <c r="P561" s="198"/>
      <c r="Q561" s="412"/>
      <c r="R561" s="76"/>
      <c r="S561" s="197"/>
      <c r="T561" s="198"/>
      <c r="U561" s="197"/>
      <c r="V561" s="198"/>
      <c r="W561" s="198"/>
      <c r="X561" s="198"/>
      <c r="Y561" s="198"/>
      <c r="Z561" s="198"/>
    </row>
    <row r="562">
      <c r="A562" s="403"/>
      <c r="B562" s="198"/>
      <c r="C562" s="403"/>
      <c r="D562" s="142"/>
      <c r="E562" s="403"/>
      <c r="F562" s="198"/>
      <c r="G562" s="403"/>
      <c r="H562" s="198"/>
      <c r="I562" s="411"/>
      <c r="J562" s="142"/>
      <c r="K562" s="411"/>
      <c r="L562" s="142"/>
      <c r="M562" s="411"/>
      <c r="N562" s="142"/>
      <c r="O562" s="403"/>
      <c r="P562" s="198"/>
      <c r="Q562" s="412"/>
      <c r="R562" s="76"/>
      <c r="S562" s="197"/>
      <c r="T562" s="198"/>
      <c r="U562" s="197"/>
      <c r="V562" s="198"/>
      <c r="W562" s="198"/>
      <c r="X562" s="198"/>
      <c r="Y562" s="198"/>
      <c r="Z562" s="198"/>
    </row>
    <row r="563">
      <c r="A563" s="403"/>
      <c r="B563" s="198"/>
      <c r="C563" s="403"/>
      <c r="D563" s="142"/>
      <c r="E563" s="403"/>
      <c r="F563" s="198"/>
      <c r="G563" s="403"/>
      <c r="H563" s="198"/>
      <c r="I563" s="411"/>
      <c r="J563" s="142"/>
      <c r="K563" s="411"/>
      <c r="L563" s="142"/>
      <c r="M563" s="411"/>
      <c r="N563" s="142"/>
      <c r="O563" s="403"/>
      <c r="P563" s="198"/>
      <c r="Q563" s="412"/>
      <c r="R563" s="76"/>
      <c r="S563" s="197"/>
      <c r="T563" s="198"/>
      <c r="U563" s="197"/>
      <c r="V563" s="198"/>
      <c r="W563" s="198"/>
      <c r="X563" s="198"/>
      <c r="Y563" s="198"/>
      <c r="Z563" s="198"/>
    </row>
    <row r="564">
      <c r="A564" s="403"/>
      <c r="B564" s="198"/>
      <c r="C564" s="403"/>
      <c r="D564" s="142"/>
      <c r="E564" s="403"/>
      <c r="F564" s="198"/>
      <c r="G564" s="403"/>
      <c r="H564" s="198"/>
      <c r="I564" s="411"/>
      <c r="J564" s="142"/>
      <c r="K564" s="411"/>
      <c r="L564" s="142"/>
      <c r="M564" s="411"/>
      <c r="N564" s="142"/>
      <c r="O564" s="403"/>
      <c r="P564" s="198"/>
      <c r="Q564" s="412"/>
      <c r="R564" s="76"/>
      <c r="S564" s="197"/>
      <c r="T564" s="198"/>
      <c r="U564" s="197"/>
      <c r="V564" s="198"/>
      <c r="W564" s="198"/>
      <c r="X564" s="198"/>
      <c r="Y564" s="198"/>
      <c r="Z564" s="198"/>
    </row>
    <row r="565">
      <c r="A565" s="403"/>
      <c r="B565" s="198"/>
      <c r="C565" s="403"/>
      <c r="D565" s="142"/>
      <c r="E565" s="403"/>
      <c r="F565" s="198"/>
      <c r="G565" s="403"/>
      <c r="H565" s="198"/>
      <c r="I565" s="411"/>
      <c r="J565" s="142"/>
      <c r="K565" s="411"/>
      <c r="L565" s="142"/>
      <c r="M565" s="411"/>
      <c r="N565" s="142"/>
      <c r="O565" s="403"/>
      <c r="P565" s="198"/>
      <c r="Q565" s="412"/>
      <c r="R565" s="76"/>
      <c r="S565" s="197"/>
      <c r="T565" s="198"/>
      <c r="U565" s="197"/>
      <c r="V565" s="198"/>
      <c r="W565" s="198"/>
      <c r="X565" s="198"/>
      <c r="Y565" s="198"/>
      <c r="Z565" s="198"/>
    </row>
    <row r="566">
      <c r="A566" s="403"/>
      <c r="B566" s="198"/>
      <c r="C566" s="403"/>
      <c r="D566" s="142"/>
      <c r="E566" s="403"/>
      <c r="F566" s="198"/>
      <c r="G566" s="403"/>
      <c r="H566" s="198"/>
      <c r="I566" s="411"/>
      <c r="J566" s="142"/>
      <c r="K566" s="411"/>
      <c r="L566" s="142"/>
      <c r="M566" s="411"/>
      <c r="N566" s="142"/>
      <c r="O566" s="403"/>
      <c r="P566" s="198"/>
      <c r="Q566" s="412"/>
      <c r="R566" s="76"/>
      <c r="S566" s="197"/>
      <c r="T566" s="198"/>
      <c r="U566" s="197"/>
      <c r="V566" s="198"/>
      <c r="W566" s="198"/>
      <c r="X566" s="198"/>
      <c r="Y566" s="198"/>
      <c r="Z566" s="198"/>
    </row>
    <row r="567">
      <c r="A567" s="403"/>
      <c r="B567" s="198"/>
      <c r="C567" s="403"/>
      <c r="D567" s="142"/>
      <c r="E567" s="403"/>
      <c r="F567" s="198"/>
      <c r="G567" s="403"/>
      <c r="H567" s="198"/>
      <c r="I567" s="411"/>
      <c r="J567" s="142"/>
      <c r="K567" s="411"/>
      <c r="L567" s="142"/>
      <c r="M567" s="411"/>
      <c r="N567" s="142"/>
      <c r="O567" s="403"/>
      <c r="P567" s="198"/>
      <c r="Q567" s="412"/>
      <c r="R567" s="76"/>
      <c r="S567" s="197"/>
      <c r="T567" s="198"/>
      <c r="U567" s="197"/>
      <c r="V567" s="198"/>
      <c r="W567" s="198"/>
      <c r="X567" s="198"/>
      <c r="Y567" s="198"/>
      <c r="Z567" s="198"/>
    </row>
    <row r="568">
      <c r="A568" s="403"/>
      <c r="B568" s="198"/>
      <c r="C568" s="403"/>
      <c r="D568" s="142"/>
      <c r="E568" s="403"/>
      <c r="F568" s="198"/>
      <c r="G568" s="403"/>
      <c r="H568" s="198"/>
      <c r="I568" s="411"/>
      <c r="J568" s="142"/>
      <c r="K568" s="411"/>
      <c r="L568" s="142"/>
      <c r="M568" s="411"/>
      <c r="N568" s="142"/>
      <c r="O568" s="403"/>
      <c r="P568" s="198"/>
      <c r="Q568" s="412"/>
      <c r="R568" s="76"/>
      <c r="S568" s="197"/>
      <c r="T568" s="198"/>
      <c r="U568" s="197"/>
      <c r="V568" s="198"/>
      <c r="W568" s="198"/>
      <c r="X568" s="198"/>
      <c r="Y568" s="198"/>
      <c r="Z568" s="198"/>
    </row>
    <row r="569">
      <c r="A569" s="403"/>
      <c r="B569" s="198"/>
      <c r="C569" s="403"/>
      <c r="D569" s="142"/>
      <c r="E569" s="403"/>
      <c r="F569" s="198"/>
      <c r="G569" s="403"/>
      <c r="H569" s="198"/>
      <c r="I569" s="411"/>
      <c r="J569" s="142"/>
      <c r="K569" s="411"/>
      <c r="L569" s="142"/>
      <c r="M569" s="411"/>
      <c r="N569" s="142"/>
      <c r="O569" s="403"/>
      <c r="P569" s="198"/>
      <c r="Q569" s="412"/>
      <c r="R569" s="76"/>
      <c r="S569" s="197"/>
      <c r="T569" s="198"/>
      <c r="U569" s="197"/>
      <c r="V569" s="198"/>
      <c r="W569" s="198"/>
      <c r="X569" s="198"/>
      <c r="Y569" s="198"/>
      <c r="Z569" s="198"/>
    </row>
    <row r="570">
      <c r="A570" s="403"/>
      <c r="B570" s="198"/>
      <c r="C570" s="403"/>
      <c r="D570" s="142"/>
      <c r="E570" s="403"/>
      <c r="F570" s="198"/>
      <c r="G570" s="403"/>
      <c r="H570" s="198"/>
      <c r="I570" s="411"/>
      <c r="J570" s="142"/>
      <c r="K570" s="411"/>
      <c r="L570" s="142"/>
      <c r="M570" s="411"/>
      <c r="N570" s="142"/>
      <c r="O570" s="403"/>
      <c r="P570" s="198"/>
      <c r="Q570" s="412"/>
      <c r="R570" s="76"/>
      <c r="S570" s="197"/>
      <c r="T570" s="198"/>
      <c r="U570" s="197"/>
      <c r="V570" s="198"/>
      <c r="W570" s="198"/>
      <c r="X570" s="198"/>
      <c r="Y570" s="198"/>
      <c r="Z570" s="198"/>
    </row>
    <row r="571">
      <c r="A571" s="403"/>
      <c r="B571" s="198"/>
      <c r="C571" s="403"/>
      <c r="D571" s="142"/>
      <c r="E571" s="403"/>
      <c r="F571" s="198"/>
      <c r="G571" s="403"/>
      <c r="H571" s="198"/>
      <c r="I571" s="411"/>
      <c r="J571" s="142"/>
      <c r="K571" s="411"/>
      <c r="L571" s="142"/>
      <c r="M571" s="411"/>
      <c r="N571" s="142"/>
      <c r="O571" s="403"/>
      <c r="P571" s="198"/>
      <c r="Q571" s="412"/>
      <c r="R571" s="76"/>
      <c r="S571" s="197"/>
      <c r="T571" s="198"/>
      <c r="U571" s="197"/>
      <c r="V571" s="198"/>
      <c r="W571" s="198"/>
      <c r="X571" s="198"/>
      <c r="Y571" s="198"/>
      <c r="Z571" s="198"/>
    </row>
    <row r="572">
      <c r="A572" s="403"/>
      <c r="B572" s="198"/>
      <c r="C572" s="403"/>
      <c r="D572" s="142"/>
      <c r="E572" s="403"/>
      <c r="F572" s="198"/>
      <c r="G572" s="403"/>
      <c r="H572" s="198"/>
      <c r="I572" s="411"/>
      <c r="J572" s="142"/>
      <c r="K572" s="411"/>
      <c r="L572" s="142"/>
      <c r="M572" s="411"/>
      <c r="N572" s="142"/>
      <c r="O572" s="403"/>
      <c r="P572" s="198"/>
      <c r="Q572" s="412"/>
      <c r="R572" s="76"/>
      <c r="S572" s="197"/>
      <c r="T572" s="198"/>
      <c r="U572" s="197"/>
      <c r="V572" s="198"/>
      <c r="W572" s="198"/>
      <c r="X572" s="198"/>
      <c r="Y572" s="198"/>
      <c r="Z572" s="198"/>
    </row>
    <row r="573">
      <c r="A573" s="403"/>
      <c r="B573" s="198"/>
      <c r="C573" s="403"/>
      <c r="D573" s="142"/>
      <c r="E573" s="403"/>
      <c r="F573" s="198"/>
      <c r="G573" s="403"/>
      <c r="H573" s="198"/>
      <c r="I573" s="411"/>
      <c r="J573" s="142"/>
      <c r="K573" s="411"/>
      <c r="L573" s="142"/>
      <c r="M573" s="411"/>
      <c r="N573" s="142"/>
      <c r="O573" s="403"/>
      <c r="P573" s="198"/>
      <c r="Q573" s="412"/>
      <c r="R573" s="76"/>
      <c r="S573" s="197"/>
      <c r="T573" s="198"/>
      <c r="U573" s="197"/>
      <c r="V573" s="198"/>
      <c r="W573" s="198"/>
      <c r="X573" s="198"/>
      <c r="Y573" s="198"/>
      <c r="Z573" s="198"/>
    </row>
    <row r="574">
      <c r="A574" s="403"/>
      <c r="B574" s="198"/>
      <c r="C574" s="403"/>
      <c r="D574" s="142"/>
      <c r="E574" s="403"/>
      <c r="F574" s="198"/>
      <c r="G574" s="403"/>
      <c r="H574" s="198"/>
      <c r="I574" s="411"/>
      <c r="J574" s="142"/>
      <c r="K574" s="411"/>
      <c r="L574" s="142"/>
      <c r="M574" s="411"/>
      <c r="N574" s="142"/>
      <c r="O574" s="403"/>
      <c r="P574" s="198"/>
      <c r="Q574" s="412"/>
      <c r="R574" s="76"/>
      <c r="S574" s="197"/>
      <c r="T574" s="198"/>
      <c r="U574" s="197"/>
      <c r="V574" s="198"/>
      <c r="W574" s="198"/>
      <c r="X574" s="198"/>
      <c r="Y574" s="198"/>
      <c r="Z574" s="198"/>
    </row>
    <row r="575">
      <c r="A575" s="403"/>
      <c r="B575" s="198"/>
      <c r="C575" s="403"/>
      <c r="D575" s="142"/>
      <c r="E575" s="403"/>
      <c r="F575" s="198"/>
      <c r="G575" s="403"/>
      <c r="H575" s="198"/>
      <c r="I575" s="411"/>
      <c r="J575" s="142"/>
      <c r="K575" s="411"/>
      <c r="L575" s="142"/>
      <c r="M575" s="411"/>
      <c r="N575" s="142"/>
      <c r="O575" s="403"/>
      <c r="P575" s="198"/>
      <c r="Q575" s="412"/>
      <c r="R575" s="76"/>
      <c r="S575" s="197"/>
      <c r="T575" s="198"/>
      <c r="U575" s="197"/>
      <c r="V575" s="198"/>
      <c r="W575" s="198"/>
      <c r="X575" s="198"/>
      <c r="Y575" s="198"/>
      <c r="Z575" s="198"/>
    </row>
    <row r="576">
      <c r="A576" s="403"/>
      <c r="B576" s="198"/>
      <c r="C576" s="403"/>
      <c r="D576" s="142"/>
      <c r="E576" s="403"/>
      <c r="F576" s="198"/>
      <c r="G576" s="403"/>
      <c r="H576" s="198"/>
      <c r="I576" s="411"/>
      <c r="J576" s="142"/>
      <c r="K576" s="411"/>
      <c r="L576" s="142"/>
      <c r="M576" s="411"/>
      <c r="N576" s="142"/>
      <c r="O576" s="403"/>
      <c r="P576" s="198"/>
      <c r="Q576" s="412"/>
      <c r="R576" s="76"/>
      <c r="S576" s="197"/>
      <c r="T576" s="198"/>
      <c r="U576" s="197"/>
      <c r="V576" s="198"/>
      <c r="W576" s="198"/>
      <c r="X576" s="198"/>
      <c r="Y576" s="198"/>
      <c r="Z576" s="198"/>
    </row>
    <row r="577">
      <c r="A577" s="403"/>
      <c r="B577" s="198"/>
      <c r="C577" s="403"/>
      <c r="D577" s="142"/>
      <c r="E577" s="403"/>
      <c r="F577" s="198"/>
      <c r="G577" s="403"/>
      <c r="H577" s="198"/>
      <c r="I577" s="411"/>
      <c r="J577" s="142"/>
      <c r="K577" s="411"/>
      <c r="L577" s="142"/>
      <c r="M577" s="411"/>
      <c r="N577" s="142"/>
      <c r="O577" s="403"/>
      <c r="P577" s="198"/>
      <c r="Q577" s="412"/>
      <c r="R577" s="76"/>
      <c r="S577" s="197"/>
      <c r="T577" s="198"/>
      <c r="U577" s="197"/>
      <c r="V577" s="198"/>
      <c r="W577" s="198"/>
      <c r="X577" s="198"/>
      <c r="Y577" s="198"/>
      <c r="Z577" s="198"/>
    </row>
    <row r="578">
      <c r="A578" s="403"/>
      <c r="B578" s="198"/>
      <c r="C578" s="403"/>
      <c r="D578" s="142"/>
      <c r="E578" s="403"/>
      <c r="F578" s="198"/>
      <c r="G578" s="403"/>
      <c r="H578" s="198"/>
      <c r="I578" s="411"/>
      <c r="J578" s="142"/>
      <c r="K578" s="411"/>
      <c r="L578" s="142"/>
      <c r="M578" s="411"/>
      <c r="N578" s="142"/>
      <c r="O578" s="403"/>
      <c r="P578" s="198"/>
      <c r="Q578" s="412"/>
      <c r="R578" s="76"/>
      <c r="S578" s="197"/>
      <c r="T578" s="198"/>
      <c r="U578" s="197"/>
      <c r="V578" s="198"/>
      <c r="W578" s="198"/>
      <c r="X578" s="198"/>
      <c r="Y578" s="198"/>
      <c r="Z578" s="198"/>
    </row>
    <row r="579">
      <c r="A579" s="403"/>
      <c r="B579" s="198"/>
      <c r="C579" s="403"/>
      <c r="D579" s="142"/>
      <c r="E579" s="403"/>
      <c r="F579" s="198"/>
      <c r="G579" s="403"/>
      <c r="H579" s="198"/>
      <c r="I579" s="411"/>
      <c r="J579" s="142"/>
      <c r="K579" s="411"/>
      <c r="L579" s="142"/>
      <c r="M579" s="411"/>
      <c r="N579" s="142"/>
      <c r="O579" s="403"/>
      <c r="P579" s="198"/>
      <c r="Q579" s="412"/>
      <c r="R579" s="76"/>
      <c r="S579" s="197"/>
      <c r="T579" s="198"/>
      <c r="U579" s="197"/>
      <c r="V579" s="198"/>
      <c r="W579" s="198"/>
      <c r="X579" s="198"/>
      <c r="Y579" s="198"/>
      <c r="Z579" s="198"/>
    </row>
    <row r="580">
      <c r="A580" s="403"/>
      <c r="B580" s="198"/>
      <c r="C580" s="403"/>
      <c r="D580" s="142"/>
      <c r="E580" s="403"/>
      <c r="F580" s="198"/>
      <c r="G580" s="403"/>
      <c r="H580" s="198"/>
      <c r="I580" s="411"/>
      <c r="J580" s="142"/>
      <c r="K580" s="411"/>
      <c r="L580" s="142"/>
      <c r="M580" s="411"/>
      <c r="N580" s="142"/>
      <c r="O580" s="403"/>
      <c r="P580" s="198"/>
      <c r="Q580" s="412"/>
      <c r="R580" s="76"/>
      <c r="S580" s="197"/>
      <c r="T580" s="198"/>
      <c r="U580" s="197"/>
      <c r="V580" s="198"/>
      <c r="W580" s="198"/>
      <c r="X580" s="198"/>
      <c r="Y580" s="198"/>
      <c r="Z580" s="198"/>
    </row>
    <row r="581">
      <c r="A581" s="403"/>
      <c r="B581" s="198"/>
      <c r="C581" s="403"/>
      <c r="D581" s="142"/>
      <c r="E581" s="403"/>
      <c r="F581" s="198"/>
      <c r="G581" s="403"/>
      <c r="H581" s="198"/>
      <c r="I581" s="411"/>
      <c r="J581" s="142"/>
      <c r="K581" s="411"/>
      <c r="L581" s="142"/>
      <c r="M581" s="411"/>
      <c r="N581" s="142"/>
      <c r="O581" s="403"/>
      <c r="P581" s="198"/>
      <c r="Q581" s="412"/>
      <c r="R581" s="76"/>
      <c r="S581" s="197"/>
      <c r="T581" s="198"/>
      <c r="U581" s="197"/>
      <c r="V581" s="198"/>
      <c r="W581" s="198"/>
      <c r="X581" s="198"/>
      <c r="Y581" s="198"/>
      <c r="Z581" s="198"/>
    </row>
    <row r="582">
      <c r="A582" s="403"/>
      <c r="B582" s="198"/>
      <c r="C582" s="403"/>
      <c r="D582" s="142"/>
      <c r="E582" s="403"/>
      <c r="F582" s="198"/>
      <c r="G582" s="403"/>
      <c r="H582" s="198"/>
      <c r="I582" s="411"/>
      <c r="J582" s="142"/>
      <c r="K582" s="411"/>
      <c r="L582" s="142"/>
      <c r="M582" s="411"/>
      <c r="N582" s="142"/>
      <c r="O582" s="403"/>
      <c r="P582" s="198"/>
      <c r="Q582" s="412"/>
      <c r="R582" s="76"/>
      <c r="S582" s="197"/>
      <c r="T582" s="198"/>
      <c r="U582" s="197"/>
      <c r="V582" s="198"/>
      <c r="W582" s="198"/>
      <c r="X582" s="198"/>
      <c r="Y582" s="198"/>
      <c r="Z582" s="198"/>
    </row>
    <row r="583">
      <c r="A583" s="403"/>
      <c r="B583" s="198"/>
      <c r="C583" s="403"/>
      <c r="D583" s="142"/>
      <c r="E583" s="403"/>
      <c r="F583" s="198"/>
      <c r="G583" s="403"/>
      <c r="H583" s="198"/>
      <c r="I583" s="411"/>
      <c r="J583" s="142"/>
      <c r="K583" s="411"/>
      <c r="L583" s="142"/>
      <c r="M583" s="411"/>
      <c r="N583" s="142"/>
      <c r="O583" s="403"/>
      <c r="P583" s="198"/>
      <c r="Q583" s="412"/>
      <c r="R583" s="76"/>
      <c r="S583" s="197"/>
      <c r="T583" s="198"/>
      <c r="U583" s="197"/>
      <c r="V583" s="198"/>
      <c r="W583" s="198"/>
      <c r="X583" s="198"/>
      <c r="Y583" s="198"/>
      <c r="Z583" s="198"/>
    </row>
    <row r="584">
      <c r="A584" s="403"/>
      <c r="B584" s="198"/>
      <c r="C584" s="403"/>
      <c r="D584" s="142"/>
      <c r="E584" s="403"/>
      <c r="F584" s="198"/>
      <c r="G584" s="403"/>
      <c r="H584" s="198"/>
      <c r="I584" s="411"/>
      <c r="J584" s="142"/>
      <c r="K584" s="411"/>
      <c r="L584" s="142"/>
      <c r="M584" s="411"/>
      <c r="N584" s="142"/>
      <c r="O584" s="403"/>
      <c r="P584" s="198"/>
      <c r="Q584" s="412"/>
      <c r="R584" s="76"/>
      <c r="S584" s="197"/>
      <c r="T584" s="198"/>
      <c r="U584" s="197"/>
      <c r="V584" s="198"/>
      <c r="W584" s="198"/>
      <c r="X584" s="198"/>
      <c r="Y584" s="198"/>
      <c r="Z584" s="198"/>
    </row>
    <row r="585">
      <c r="A585" s="403"/>
      <c r="B585" s="198"/>
      <c r="C585" s="403"/>
      <c r="D585" s="142"/>
      <c r="E585" s="403"/>
      <c r="F585" s="198"/>
      <c r="G585" s="403"/>
      <c r="H585" s="198"/>
      <c r="I585" s="411"/>
      <c r="J585" s="142"/>
      <c r="K585" s="411"/>
      <c r="L585" s="142"/>
      <c r="M585" s="411"/>
      <c r="N585" s="142"/>
      <c r="O585" s="403"/>
      <c r="P585" s="198"/>
      <c r="Q585" s="412"/>
      <c r="R585" s="76"/>
      <c r="S585" s="197"/>
      <c r="T585" s="198"/>
      <c r="U585" s="197"/>
      <c r="V585" s="198"/>
      <c r="W585" s="198"/>
      <c r="X585" s="198"/>
      <c r="Y585" s="198"/>
      <c r="Z585" s="198"/>
    </row>
    <row r="586">
      <c r="A586" s="403"/>
      <c r="B586" s="198"/>
      <c r="C586" s="403"/>
      <c r="D586" s="142"/>
      <c r="E586" s="403"/>
      <c r="F586" s="198"/>
      <c r="G586" s="403"/>
      <c r="H586" s="198"/>
      <c r="I586" s="411"/>
      <c r="J586" s="142"/>
      <c r="K586" s="411"/>
      <c r="L586" s="142"/>
      <c r="M586" s="411"/>
      <c r="N586" s="142"/>
      <c r="O586" s="403"/>
      <c r="P586" s="198"/>
      <c r="Q586" s="412"/>
      <c r="R586" s="76"/>
      <c r="S586" s="197"/>
      <c r="T586" s="198"/>
      <c r="U586" s="197"/>
      <c r="V586" s="198"/>
      <c r="W586" s="198"/>
      <c r="X586" s="198"/>
      <c r="Y586" s="198"/>
      <c r="Z586" s="198"/>
    </row>
    <row r="587">
      <c r="A587" s="403"/>
      <c r="B587" s="198"/>
      <c r="C587" s="403"/>
      <c r="D587" s="142"/>
      <c r="E587" s="403"/>
      <c r="F587" s="198"/>
      <c r="G587" s="403"/>
      <c r="H587" s="198"/>
      <c r="I587" s="411"/>
      <c r="J587" s="142"/>
      <c r="K587" s="411"/>
      <c r="L587" s="142"/>
      <c r="M587" s="411"/>
      <c r="N587" s="142"/>
      <c r="O587" s="403"/>
      <c r="P587" s="198"/>
      <c r="Q587" s="412"/>
      <c r="R587" s="76"/>
      <c r="S587" s="197"/>
      <c r="T587" s="198"/>
      <c r="U587" s="197"/>
      <c r="V587" s="198"/>
      <c r="W587" s="198"/>
      <c r="X587" s="198"/>
      <c r="Y587" s="198"/>
      <c r="Z587" s="198"/>
    </row>
    <row r="588">
      <c r="A588" s="403"/>
      <c r="B588" s="198"/>
      <c r="C588" s="403"/>
      <c r="D588" s="142"/>
      <c r="E588" s="403"/>
      <c r="F588" s="198"/>
      <c r="G588" s="403"/>
      <c r="H588" s="198"/>
      <c r="I588" s="411"/>
      <c r="J588" s="142"/>
      <c r="K588" s="411"/>
      <c r="L588" s="142"/>
      <c r="M588" s="411"/>
      <c r="N588" s="142"/>
      <c r="O588" s="403"/>
      <c r="P588" s="198"/>
      <c r="Q588" s="412"/>
      <c r="R588" s="76"/>
      <c r="S588" s="197"/>
      <c r="T588" s="198"/>
      <c r="U588" s="197"/>
      <c r="V588" s="198"/>
      <c r="W588" s="198"/>
      <c r="X588" s="198"/>
      <c r="Y588" s="198"/>
      <c r="Z588" s="198"/>
    </row>
    <row r="589">
      <c r="A589" s="403"/>
      <c r="B589" s="198"/>
      <c r="C589" s="403"/>
      <c r="D589" s="142"/>
      <c r="E589" s="403"/>
      <c r="F589" s="198"/>
      <c r="G589" s="403"/>
      <c r="H589" s="198"/>
      <c r="I589" s="411"/>
      <c r="J589" s="142"/>
      <c r="K589" s="411"/>
      <c r="L589" s="142"/>
      <c r="M589" s="411"/>
      <c r="N589" s="142"/>
      <c r="O589" s="403"/>
      <c r="P589" s="198"/>
      <c r="Q589" s="412"/>
      <c r="R589" s="76"/>
      <c r="S589" s="197"/>
      <c r="T589" s="198"/>
      <c r="U589" s="197"/>
      <c r="V589" s="198"/>
      <c r="W589" s="198"/>
      <c r="X589" s="198"/>
      <c r="Y589" s="198"/>
      <c r="Z589" s="198"/>
    </row>
    <row r="590">
      <c r="A590" s="403"/>
      <c r="B590" s="198"/>
      <c r="C590" s="403"/>
      <c r="D590" s="142"/>
      <c r="E590" s="403"/>
      <c r="F590" s="198"/>
      <c r="G590" s="403"/>
      <c r="H590" s="198"/>
      <c r="I590" s="411"/>
      <c r="J590" s="142"/>
      <c r="K590" s="411"/>
      <c r="L590" s="142"/>
      <c r="M590" s="411"/>
      <c r="N590" s="142"/>
      <c r="O590" s="403"/>
      <c r="P590" s="198"/>
      <c r="Q590" s="412"/>
      <c r="R590" s="76"/>
      <c r="S590" s="197"/>
      <c r="T590" s="198"/>
      <c r="U590" s="197"/>
      <c r="V590" s="198"/>
      <c r="W590" s="198"/>
      <c r="X590" s="198"/>
      <c r="Y590" s="198"/>
      <c r="Z590" s="198"/>
    </row>
    <row r="591">
      <c r="A591" s="403"/>
      <c r="B591" s="198"/>
      <c r="C591" s="403"/>
      <c r="D591" s="142"/>
      <c r="E591" s="403"/>
      <c r="F591" s="198"/>
      <c r="G591" s="403"/>
      <c r="H591" s="198"/>
      <c r="I591" s="411"/>
      <c r="J591" s="142"/>
      <c r="K591" s="411"/>
      <c r="L591" s="142"/>
      <c r="M591" s="411"/>
      <c r="N591" s="142"/>
      <c r="O591" s="403"/>
      <c r="P591" s="198"/>
      <c r="Q591" s="412"/>
      <c r="R591" s="76"/>
      <c r="S591" s="197"/>
      <c r="T591" s="198"/>
      <c r="U591" s="197"/>
      <c r="V591" s="198"/>
      <c r="W591" s="198"/>
      <c r="X591" s="198"/>
      <c r="Y591" s="198"/>
      <c r="Z591" s="198"/>
    </row>
    <row r="592">
      <c r="A592" s="403"/>
      <c r="B592" s="198"/>
      <c r="C592" s="403"/>
      <c r="D592" s="142"/>
      <c r="E592" s="403"/>
      <c r="F592" s="198"/>
      <c r="G592" s="403"/>
      <c r="H592" s="198"/>
      <c r="I592" s="411"/>
      <c r="J592" s="142"/>
      <c r="K592" s="411"/>
      <c r="L592" s="142"/>
      <c r="M592" s="411"/>
      <c r="N592" s="142"/>
      <c r="O592" s="403"/>
      <c r="P592" s="198"/>
      <c r="Q592" s="412"/>
      <c r="R592" s="76"/>
      <c r="S592" s="197"/>
      <c r="T592" s="198"/>
      <c r="U592" s="197"/>
      <c r="V592" s="198"/>
      <c r="W592" s="198"/>
      <c r="X592" s="198"/>
      <c r="Y592" s="198"/>
      <c r="Z592" s="198"/>
    </row>
    <row r="593">
      <c r="A593" s="403"/>
      <c r="B593" s="198"/>
      <c r="C593" s="403"/>
      <c r="D593" s="142"/>
      <c r="E593" s="403"/>
      <c r="F593" s="198"/>
      <c r="G593" s="403"/>
      <c r="H593" s="198"/>
      <c r="I593" s="411"/>
      <c r="J593" s="142"/>
      <c r="K593" s="411"/>
      <c r="L593" s="142"/>
      <c r="M593" s="411"/>
      <c r="N593" s="142"/>
      <c r="O593" s="403"/>
      <c r="P593" s="198"/>
      <c r="Q593" s="412"/>
      <c r="R593" s="76"/>
      <c r="S593" s="197"/>
      <c r="T593" s="198"/>
      <c r="U593" s="197"/>
      <c r="V593" s="198"/>
      <c r="W593" s="198"/>
      <c r="X593" s="198"/>
      <c r="Y593" s="198"/>
      <c r="Z593" s="198"/>
    </row>
    <row r="594">
      <c r="A594" s="403"/>
      <c r="B594" s="198"/>
      <c r="C594" s="403"/>
      <c r="D594" s="142"/>
      <c r="E594" s="403"/>
      <c r="F594" s="198"/>
      <c r="G594" s="403"/>
      <c r="H594" s="198"/>
      <c r="I594" s="411"/>
      <c r="J594" s="142"/>
      <c r="K594" s="411"/>
      <c r="L594" s="142"/>
      <c r="M594" s="411"/>
      <c r="N594" s="142"/>
      <c r="O594" s="403"/>
      <c r="P594" s="198"/>
      <c r="Q594" s="412"/>
      <c r="R594" s="76"/>
      <c r="S594" s="197"/>
      <c r="T594" s="198"/>
      <c r="U594" s="197"/>
      <c r="V594" s="198"/>
      <c r="W594" s="198"/>
      <c r="X594" s="198"/>
      <c r="Y594" s="198"/>
      <c r="Z594" s="198"/>
    </row>
    <row r="595">
      <c r="A595" s="403"/>
      <c r="B595" s="198"/>
      <c r="C595" s="403"/>
      <c r="D595" s="142"/>
      <c r="E595" s="403"/>
      <c r="F595" s="198"/>
      <c r="G595" s="403"/>
      <c r="H595" s="198"/>
      <c r="I595" s="411"/>
      <c r="J595" s="142"/>
      <c r="K595" s="411"/>
      <c r="L595" s="142"/>
      <c r="M595" s="411"/>
      <c r="N595" s="142"/>
      <c r="O595" s="403"/>
      <c r="P595" s="198"/>
      <c r="Q595" s="412"/>
      <c r="R595" s="76"/>
      <c r="S595" s="197"/>
      <c r="T595" s="198"/>
      <c r="U595" s="197"/>
      <c r="V595" s="198"/>
      <c r="W595" s="198"/>
      <c r="X595" s="198"/>
      <c r="Y595" s="198"/>
      <c r="Z595" s="198"/>
    </row>
    <row r="596">
      <c r="A596" s="403"/>
      <c r="B596" s="198"/>
      <c r="C596" s="403"/>
      <c r="D596" s="142"/>
      <c r="E596" s="403"/>
      <c r="F596" s="198"/>
      <c r="G596" s="403"/>
      <c r="H596" s="198"/>
      <c r="I596" s="411"/>
      <c r="J596" s="142"/>
      <c r="K596" s="411"/>
      <c r="L596" s="142"/>
      <c r="M596" s="411"/>
      <c r="N596" s="142"/>
      <c r="O596" s="403"/>
      <c r="P596" s="198"/>
      <c r="Q596" s="412"/>
      <c r="R596" s="76"/>
      <c r="S596" s="197"/>
      <c r="T596" s="198"/>
      <c r="U596" s="197"/>
      <c r="V596" s="198"/>
      <c r="W596" s="198"/>
      <c r="X596" s="198"/>
      <c r="Y596" s="198"/>
      <c r="Z596" s="198"/>
    </row>
    <row r="597">
      <c r="A597" s="403"/>
      <c r="B597" s="198"/>
      <c r="C597" s="403"/>
      <c r="D597" s="142"/>
      <c r="E597" s="403"/>
      <c r="F597" s="198"/>
      <c r="G597" s="403"/>
      <c r="H597" s="198"/>
      <c r="I597" s="411"/>
      <c r="J597" s="142"/>
      <c r="K597" s="411"/>
      <c r="L597" s="142"/>
      <c r="M597" s="411"/>
      <c r="N597" s="142"/>
      <c r="O597" s="403"/>
      <c r="P597" s="198"/>
      <c r="Q597" s="412"/>
      <c r="R597" s="76"/>
      <c r="S597" s="197"/>
      <c r="T597" s="198"/>
      <c r="U597" s="197"/>
      <c r="V597" s="198"/>
      <c r="W597" s="198"/>
      <c r="X597" s="198"/>
      <c r="Y597" s="198"/>
      <c r="Z597" s="198"/>
    </row>
    <row r="598">
      <c r="A598" s="403"/>
      <c r="B598" s="198"/>
      <c r="C598" s="403"/>
      <c r="D598" s="142"/>
      <c r="E598" s="403"/>
      <c r="F598" s="198"/>
      <c r="G598" s="403"/>
      <c r="H598" s="198"/>
      <c r="I598" s="411"/>
      <c r="J598" s="142"/>
      <c r="K598" s="411"/>
      <c r="L598" s="142"/>
      <c r="M598" s="411"/>
      <c r="N598" s="142"/>
      <c r="O598" s="403"/>
      <c r="P598" s="198"/>
      <c r="Q598" s="412"/>
      <c r="R598" s="76"/>
      <c r="S598" s="197"/>
      <c r="T598" s="198"/>
      <c r="U598" s="197"/>
      <c r="V598" s="198"/>
      <c r="W598" s="198"/>
      <c r="X598" s="198"/>
      <c r="Y598" s="198"/>
      <c r="Z598" s="198"/>
    </row>
    <row r="599">
      <c r="A599" s="403"/>
      <c r="B599" s="198"/>
      <c r="C599" s="403"/>
      <c r="D599" s="142"/>
      <c r="E599" s="403"/>
      <c r="F599" s="198"/>
      <c r="G599" s="403"/>
      <c r="H599" s="198"/>
      <c r="I599" s="411"/>
      <c r="J599" s="142"/>
      <c r="K599" s="411"/>
      <c r="L599" s="142"/>
      <c r="M599" s="411"/>
      <c r="N599" s="142"/>
      <c r="O599" s="403"/>
      <c r="P599" s="198"/>
      <c r="Q599" s="412"/>
      <c r="R599" s="76"/>
      <c r="S599" s="197"/>
      <c r="T599" s="198"/>
      <c r="U599" s="197"/>
      <c r="V599" s="198"/>
      <c r="W599" s="198"/>
      <c r="X599" s="198"/>
      <c r="Y599" s="198"/>
      <c r="Z599" s="198"/>
    </row>
    <row r="600">
      <c r="A600" s="403"/>
      <c r="B600" s="198"/>
      <c r="C600" s="403"/>
      <c r="D600" s="142"/>
      <c r="E600" s="403"/>
      <c r="F600" s="198"/>
      <c r="G600" s="403"/>
      <c r="H600" s="198"/>
      <c r="I600" s="411"/>
      <c r="J600" s="142"/>
      <c r="K600" s="411"/>
      <c r="L600" s="142"/>
      <c r="M600" s="411"/>
      <c r="N600" s="142"/>
      <c r="O600" s="403"/>
      <c r="P600" s="198"/>
      <c r="Q600" s="412"/>
      <c r="R600" s="76"/>
      <c r="S600" s="197"/>
      <c r="T600" s="198"/>
      <c r="U600" s="197"/>
      <c r="V600" s="198"/>
      <c r="W600" s="198"/>
      <c r="X600" s="198"/>
      <c r="Y600" s="198"/>
      <c r="Z600" s="198"/>
    </row>
    <row r="601">
      <c r="A601" s="403"/>
      <c r="B601" s="198"/>
      <c r="C601" s="403"/>
      <c r="D601" s="142"/>
      <c r="E601" s="403"/>
      <c r="F601" s="198"/>
      <c r="G601" s="403"/>
      <c r="H601" s="198"/>
      <c r="I601" s="411"/>
      <c r="J601" s="142"/>
      <c r="K601" s="411"/>
      <c r="L601" s="142"/>
      <c r="M601" s="411"/>
      <c r="N601" s="142"/>
      <c r="O601" s="403"/>
      <c r="P601" s="198"/>
      <c r="Q601" s="412"/>
      <c r="R601" s="76"/>
      <c r="S601" s="197"/>
      <c r="T601" s="198"/>
      <c r="U601" s="197"/>
      <c r="V601" s="198"/>
      <c r="W601" s="198"/>
      <c r="X601" s="198"/>
      <c r="Y601" s="198"/>
      <c r="Z601" s="198"/>
    </row>
    <row r="602">
      <c r="A602" s="403"/>
      <c r="B602" s="198"/>
      <c r="C602" s="403"/>
      <c r="D602" s="142"/>
      <c r="E602" s="403"/>
      <c r="F602" s="198"/>
      <c r="G602" s="403"/>
      <c r="H602" s="198"/>
      <c r="I602" s="411"/>
      <c r="J602" s="142"/>
      <c r="K602" s="411"/>
      <c r="L602" s="142"/>
      <c r="M602" s="411"/>
      <c r="N602" s="142"/>
      <c r="O602" s="403"/>
      <c r="P602" s="198"/>
      <c r="Q602" s="412"/>
      <c r="R602" s="76"/>
      <c r="S602" s="197"/>
      <c r="T602" s="198"/>
      <c r="U602" s="197"/>
      <c r="V602" s="198"/>
      <c r="W602" s="198"/>
      <c r="X602" s="198"/>
      <c r="Y602" s="198"/>
      <c r="Z602" s="198"/>
    </row>
    <row r="603">
      <c r="A603" s="403"/>
      <c r="B603" s="198"/>
      <c r="C603" s="403"/>
      <c r="D603" s="142"/>
      <c r="E603" s="403"/>
      <c r="F603" s="198"/>
      <c r="G603" s="403"/>
      <c r="H603" s="198"/>
      <c r="I603" s="411"/>
      <c r="J603" s="142"/>
      <c r="K603" s="411"/>
      <c r="L603" s="142"/>
      <c r="M603" s="411"/>
      <c r="N603" s="142"/>
      <c r="O603" s="403"/>
      <c r="P603" s="198"/>
      <c r="Q603" s="412"/>
      <c r="R603" s="76"/>
      <c r="S603" s="197"/>
      <c r="T603" s="198"/>
      <c r="U603" s="197"/>
      <c r="V603" s="198"/>
      <c r="W603" s="198"/>
      <c r="X603" s="198"/>
      <c r="Y603" s="198"/>
      <c r="Z603" s="198"/>
    </row>
    <row r="604">
      <c r="A604" s="403"/>
      <c r="B604" s="198"/>
      <c r="C604" s="403"/>
      <c r="D604" s="142"/>
      <c r="E604" s="403"/>
      <c r="F604" s="198"/>
      <c r="G604" s="403"/>
      <c r="H604" s="198"/>
      <c r="I604" s="411"/>
      <c r="J604" s="142"/>
      <c r="K604" s="411"/>
      <c r="L604" s="142"/>
      <c r="M604" s="411"/>
      <c r="N604" s="142"/>
      <c r="O604" s="403"/>
      <c r="P604" s="198"/>
      <c r="Q604" s="412"/>
      <c r="R604" s="76"/>
      <c r="S604" s="197"/>
      <c r="T604" s="198"/>
      <c r="U604" s="197"/>
      <c r="V604" s="198"/>
      <c r="W604" s="198"/>
      <c r="X604" s="198"/>
      <c r="Y604" s="198"/>
      <c r="Z604" s="198"/>
    </row>
    <row r="605">
      <c r="A605" s="403"/>
      <c r="B605" s="198"/>
      <c r="C605" s="403"/>
      <c r="D605" s="142"/>
      <c r="E605" s="403"/>
      <c r="F605" s="198"/>
      <c r="G605" s="403"/>
      <c r="H605" s="198"/>
      <c r="I605" s="411"/>
      <c r="J605" s="142"/>
      <c r="K605" s="411"/>
      <c r="L605" s="142"/>
      <c r="M605" s="411"/>
      <c r="N605" s="142"/>
      <c r="O605" s="403"/>
      <c r="P605" s="198"/>
      <c r="Q605" s="412"/>
      <c r="R605" s="76"/>
      <c r="S605" s="197"/>
      <c r="T605" s="198"/>
      <c r="U605" s="197"/>
      <c r="V605" s="198"/>
      <c r="W605" s="198"/>
      <c r="X605" s="198"/>
      <c r="Y605" s="198"/>
      <c r="Z605" s="198"/>
    </row>
    <row r="606">
      <c r="A606" s="403"/>
      <c r="B606" s="198"/>
      <c r="C606" s="403"/>
      <c r="D606" s="142"/>
      <c r="E606" s="403"/>
      <c r="F606" s="198"/>
      <c r="G606" s="403"/>
      <c r="H606" s="198"/>
      <c r="I606" s="411"/>
      <c r="J606" s="142"/>
      <c r="K606" s="411"/>
      <c r="L606" s="142"/>
      <c r="M606" s="411"/>
      <c r="N606" s="142"/>
      <c r="O606" s="403"/>
      <c r="P606" s="198"/>
      <c r="Q606" s="412"/>
      <c r="R606" s="76"/>
      <c r="S606" s="197"/>
      <c r="T606" s="198"/>
      <c r="U606" s="197"/>
      <c r="V606" s="198"/>
      <c r="W606" s="198"/>
      <c r="X606" s="198"/>
      <c r="Y606" s="198"/>
      <c r="Z606" s="198"/>
    </row>
    <row r="607">
      <c r="A607" s="403"/>
      <c r="B607" s="198"/>
      <c r="C607" s="403"/>
      <c r="D607" s="142"/>
      <c r="E607" s="403"/>
      <c r="F607" s="198"/>
      <c r="G607" s="403"/>
      <c r="H607" s="198"/>
      <c r="I607" s="411"/>
      <c r="J607" s="142"/>
      <c r="K607" s="411"/>
      <c r="L607" s="142"/>
      <c r="M607" s="411"/>
      <c r="N607" s="142"/>
      <c r="O607" s="403"/>
      <c r="P607" s="198"/>
      <c r="Q607" s="412"/>
      <c r="R607" s="76"/>
      <c r="S607" s="197"/>
      <c r="T607" s="198"/>
      <c r="U607" s="197"/>
      <c r="V607" s="198"/>
      <c r="W607" s="198"/>
      <c r="X607" s="198"/>
      <c r="Y607" s="198"/>
      <c r="Z607" s="198"/>
    </row>
    <row r="608">
      <c r="A608" s="403"/>
      <c r="B608" s="198"/>
      <c r="C608" s="403"/>
      <c r="D608" s="142"/>
      <c r="E608" s="403"/>
      <c r="F608" s="198"/>
      <c r="G608" s="403"/>
      <c r="H608" s="198"/>
      <c r="I608" s="411"/>
      <c r="J608" s="142"/>
      <c r="K608" s="411"/>
      <c r="L608" s="142"/>
      <c r="M608" s="411"/>
      <c r="N608" s="142"/>
      <c r="O608" s="403"/>
      <c r="P608" s="198"/>
      <c r="Q608" s="412"/>
      <c r="R608" s="76"/>
      <c r="S608" s="197"/>
      <c r="T608" s="198"/>
      <c r="U608" s="197"/>
      <c r="V608" s="198"/>
      <c r="W608" s="198"/>
      <c r="X608" s="198"/>
      <c r="Y608" s="198"/>
      <c r="Z608" s="198"/>
    </row>
    <row r="609">
      <c r="A609" s="403"/>
      <c r="B609" s="198"/>
      <c r="C609" s="403"/>
      <c r="D609" s="142"/>
      <c r="E609" s="403"/>
      <c r="F609" s="198"/>
      <c r="G609" s="403"/>
      <c r="H609" s="198"/>
      <c r="I609" s="411"/>
      <c r="J609" s="142"/>
      <c r="K609" s="411"/>
      <c r="L609" s="142"/>
      <c r="M609" s="411"/>
      <c r="N609" s="142"/>
      <c r="O609" s="403"/>
      <c r="P609" s="198"/>
      <c r="Q609" s="412"/>
      <c r="R609" s="76"/>
      <c r="S609" s="197"/>
      <c r="T609" s="198"/>
      <c r="U609" s="197"/>
      <c r="V609" s="198"/>
      <c r="W609" s="198"/>
      <c r="X609" s="198"/>
      <c r="Y609" s="198"/>
      <c r="Z609" s="198"/>
    </row>
    <row r="610">
      <c r="A610" s="403"/>
      <c r="B610" s="198"/>
      <c r="C610" s="403"/>
      <c r="D610" s="142"/>
      <c r="E610" s="403"/>
      <c r="F610" s="198"/>
      <c r="G610" s="403"/>
      <c r="H610" s="198"/>
      <c r="I610" s="411"/>
      <c r="J610" s="142"/>
      <c r="K610" s="411"/>
      <c r="L610" s="142"/>
      <c r="M610" s="411"/>
      <c r="N610" s="142"/>
      <c r="O610" s="403"/>
      <c r="P610" s="198"/>
      <c r="Q610" s="412"/>
      <c r="R610" s="76"/>
      <c r="S610" s="197"/>
      <c r="T610" s="198"/>
      <c r="U610" s="197"/>
      <c r="V610" s="198"/>
      <c r="W610" s="198"/>
      <c r="X610" s="198"/>
      <c r="Y610" s="198"/>
      <c r="Z610" s="198"/>
    </row>
    <row r="611">
      <c r="A611" s="403"/>
      <c r="B611" s="198"/>
      <c r="C611" s="403"/>
      <c r="D611" s="142"/>
      <c r="E611" s="403"/>
      <c r="F611" s="198"/>
      <c r="G611" s="403"/>
      <c r="H611" s="198"/>
      <c r="I611" s="411"/>
      <c r="J611" s="142"/>
      <c r="K611" s="411"/>
      <c r="L611" s="142"/>
      <c r="M611" s="411"/>
      <c r="N611" s="142"/>
      <c r="O611" s="403"/>
      <c r="P611" s="198"/>
      <c r="Q611" s="412"/>
      <c r="R611" s="76"/>
      <c r="S611" s="197"/>
      <c r="T611" s="198"/>
      <c r="U611" s="197"/>
      <c r="V611" s="198"/>
      <c r="W611" s="198"/>
      <c r="X611" s="198"/>
      <c r="Y611" s="198"/>
      <c r="Z611" s="198"/>
    </row>
    <row r="612">
      <c r="A612" s="403"/>
      <c r="B612" s="198"/>
      <c r="C612" s="403"/>
      <c r="D612" s="142"/>
      <c r="E612" s="403"/>
      <c r="F612" s="198"/>
      <c r="G612" s="403"/>
      <c r="H612" s="198"/>
      <c r="I612" s="411"/>
      <c r="J612" s="142"/>
      <c r="K612" s="411"/>
      <c r="L612" s="142"/>
      <c r="M612" s="411"/>
      <c r="N612" s="142"/>
      <c r="O612" s="403"/>
      <c r="P612" s="198"/>
      <c r="Q612" s="412"/>
      <c r="R612" s="76"/>
      <c r="S612" s="197"/>
      <c r="T612" s="198"/>
      <c r="U612" s="197"/>
      <c r="V612" s="198"/>
      <c r="W612" s="198"/>
      <c r="X612" s="198"/>
      <c r="Y612" s="198"/>
      <c r="Z612" s="198"/>
    </row>
    <row r="613">
      <c r="A613" s="403"/>
      <c r="B613" s="198"/>
      <c r="C613" s="403"/>
      <c r="D613" s="142"/>
      <c r="E613" s="403"/>
      <c r="F613" s="198"/>
      <c r="G613" s="403"/>
      <c r="H613" s="198"/>
      <c r="I613" s="411"/>
      <c r="J613" s="142"/>
      <c r="K613" s="411"/>
      <c r="L613" s="142"/>
      <c r="M613" s="411"/>
      <c r="N613" s="142"/>
      <c r="O613" s="403"/>
      <c r="P613" s="198"/>
      <c r="Q613" s="412"/>
      <c r="R613" s="76"/>
      <c r="S613" s="197"/>
      <c r="T613" s="198"/>
      <c r="U613" s="197"/>
      <c r="V613" s="198"/>
      <c r="W613" s="198"/>
      <c r="X613" s="198"/>
      <c r="Y613" s="198"/>
      <c r="Z613" s="198"/>
    </row>
    <row r="614">
      <c r="A614" s="403"/>
      <c r="B614" s="198"/>
      <c r="C614" s="403"/>
      <c r="D614" s="142"/>
      <c r="E614" s="403"/>
      <c r="F614" s="198"/>
      <c r="G614" s="403"/>
      <c r="H614" s="198"/>
      <c r="I614" s="411"/>
      <c r="J614" s="142"/>
      <c r="K614" s="411"/>
      <c r="L614" s="142"/>
      <c r="M614" s="411"/>
      <c r="N614" s="142"/>
      <c r="O614" s="403"/>
      <c r="P614" s="198"/>
      <c r="Q614" s="412"/>
      <c r="R614" s="76"/>
      <c r="S614" s="197"/>
      <c r="T614" s="198"/>
      <c r="U614" s="197"/>
      <c r="V614" s="198"/>
      <c r="W614" s="198"/>
      <c r="X614" s="198"/>
      <c r="Y614" s="198"/>
      <c r="Z614" s="198"/>
    </row>
    <row r="615">
      <c r="A615" s="403"/>
      <c r="B615" s="198"/>
      <c r="C615" s="403"/>
      <c r="D615" s="142"/>
      <c r="E615" s="403"/>
      <c r="F615" s="198"/>
      <c r="G615" s="403"/>
      <c r="H615" s="198"/>
      <c r="I615" s="411"/>
      <c r="J615" s="142"/>
      <c r="K615" s="411"/>
      <c r="L615" s="142"/>
      <c r="M615" s="411"/>
      <c r="N615" s="142"/>
      <c r="O615" s="403"/>
      <c r="P615" s="198"/>
      <c r="Q615" s="412"/>
      <c r="R615" s="76"/>
      <c r="S615" s="197"/>
      <c r="T615" s="198"/>
      <c r="U615" s="197"/>
      <c r="V615" s="198"/>
      <c r="W615" s="198"/>
      <c r="X615" s="198"/>
      <c r="Y615" s="198"/>
      <c r="Z615" s="198"/>
    </row>
    <row r="616">
      <c r="A616" s="403"/>
      <c r="B616" s="198"/>
      <c r="C616" s="403"/>
      <c r="D616" s="142"/>
      <c r="E616" s="403"/>
      <c r="F616" s="198"/>
      <c r="G616" s="403"/>
      <c r="H616" s="198"/>
      <c r="I616" s="411"/>
      <c r="J616" s="142"/>
      <c r="K616" s="411"/>
      <c r="L616" s="142"/>
      <c r="M616" s="411"/>
      <c r="N616" s="142"/>
      <c r="O616" s="403"/>
      <c r="P616" s="198"/>
      <c r="Q616" s="412"/>
      <c r="R616" s="76"/>
      <c r="S616" s="197"/>
      <c r="T616" s="198"/>
      <c r="U616" s="197"/>
      <c r="V616" s="198"/>
      <c r="W616" s="198"/>
      <c r="X616" s="198"/>
      <c r="Y616" s="198"/>
      <c r="Z616" s="198"/>
    </row>
    <row r="617">
      <c r="A617" s="403"/>
      <c r="B617" s="198"/>
      <c r="C617" s="403"/>
      <c r="D617" s="142"/>
      <c r="E617" s="403"/>
      <c r="F617" s="198"/>
      <c r="G617" s="403"/>
      <c r="H617" s="198"/>
      <c r="I617" s="411"/>
      <c r="J617" s="142"/>
      <c r="K617" s="411"/>
      <c r="L617" s="142"/>
      <c r="M617" s="411"/>
      <c r="N617" s="142"/>
      <c r="O617" s="403"/>
      <c r="P617" s="198"/>
      <c r="Q617" s="412"/>
      <c r="R617" s="76"/>
      <c r="S617" s="197"/>
      <c r="T617" s="198"/>
      <c r="U617" s="197"/>
      <c r="V617" s="198"/>
      <c r="W617" s="198"/>
      <c r="X617" s="198"/>
      <c r="Y617" s="198"/>
      <c r="Z617" s="198"/>
    </row>
    <row r="618">
      <c r="A618" s="403"/>
      <c r="B618" s="198"/>
      <c r="C618" s="403"/>
      <c r="D618" s="142"/>
      <c r="E618" s="403"/>
      <c r="F618" s="198"/>
      <c r="G618" s="403"/>
      <c r="H618" s="198"/>
      <c r="I618" s="411"/>
      <c r="J618" s="142"/>
      <c r="K618" s="411"/>
      <c r="L618" s="142"/>
      <c r="M618" s="411"/>
      <c r="N618" s="142"/>
      <c r="O618" s="403"/>
      <c r="P618" s="198"/>
      <c r="Q618" s="412"/>
      <c r="R618" s="76"/>
      <c r="S618" s="197"/>
      <c r="T618" s="198"/>
      <c r="U618" s="197"/>
      <c r="V618" s="198"/>
      <c r="W618" s="198"/>
      <c r="X618" s="198"/>
      <c r="Y618" s="198"/>
      <c r="Z618" s="198"/>
    </row>
    <row r="619">
      <c r="A619" s="403"/>
      <c r="B619" s="198"/>
      <c r="C619" s="403"/>
      <c r="D619" s="142"/>
      <c r="E619" s="403"/>
      <c r="F619" s="198"/>
      <c r="G619" s="403"/>
      <c r="H619" s="198"/>
      <c r="I619" s="411"/>
      <c r="J619" s="142"/>
      <c r="K619" s="411"/>
      <c r="L619" s="142"/>
      <c r="M619" s="411"/>
      <c r="N619" s="142"/>
      <c r="O619" s="403"/>
      <c r="P619" s="198"/>
      <c r="Q619" s="412"/>
      <c r="R619" s="76"/>
      <c r="S619" s="197"/>
      <c r="T619" s="198"/>
      <c r="U619" s="197"/>
      <c r="V619" s="198"/>
      <c r="W619" s="198"/>
      <c r="X619" s="198"/>
      <c r="Y619" s="198"/>
      <c r="Z619" s="198"/>
    </row>
    <row r="620">
      <c r="A620" s="403"/>
      <c r="B620" s="198"/>
      <c r="C620" s="403"/>
      <c r="D620" s="142"/>
      <c r="E620" s="403"/>
      <c r="F620" s="198"/>
      <c r="G620" s="403"/>
      <c r="H620" s="198"/>
      <c r="I620" s="411"/>
      <c r="J620" s="142"/>
      <c r="K620" s="411"/>
      <c r="L620" s="142"/>
      <c r="M620" s="411"/>
      <c r="N620" s="142"/>
      <c r="O620" s="403"/>
      <c r="P620" s="198"/>
      <c r="Q620" s="412"/>
      <c r="R620" s="76"/>
      <c r="S620" s="197"/>
      <c r="T620" s="198"/>
      <c r="U620" s="197"/>
      <c r="V620" s="198"/>
      <c r="W620" s="198"/>
      <c r="X620" s="198"/>
      <c r="Y620" s="198"/>
      <c r="Z620" s="198"/>
    </row>
    <row r="621">
      <c r="A621" s="403"/>
      <c r="B621" s="198"/>
      <c r="C621" s="403"/>
      <c r="D621" s="142"/>
      <c r="E621" s="403"/>
      <c r="F621" s="198"/>
      <c r="G621" s="403"/>
      <c r="H621" s="198"/>
      <c r="I621" s="411"/>
      <c r="J621" s="142"/>
      <c r="K621" s="411"/>
      <c r="L621" s="142"/>
      <c r="M621" s="411"/>
      <c r="N621" s="142"/>
      <c r="O621" s="403"/>
      <c r="P621" s="198"/>
      <c r="Q621" s="412"/>
      <c r="R621" s="76"/>
      <c r="S621" s="197"/>
      <c r="T621" s="198"/>
      <c r="U621" s="197"/>
      <c r="V621" s="198"/>
      <c r="W621" s="198"/>
      <c r="X621" s="198"/>
      <c r="Y621" s="198"/>
      <c r="Z621" s="198"/>
    </row>
    <row r="622">
      <c r="A622" s="403"/>
      <c r="B622" s="198"/>
      <c r="C622" s="403"/>
      <c r="D622" s="142"/>
      <c r="E622" s="403"/>
      <c r="F622" s="198"/>
      <c r="G622" s="403"/>
      <c r="H622" s="198"/>
      <c r="I622" s="411"/>
      <c r="J622" s="142"/>
      <c r="K622" s="411"/>
      <c r="L622" s="142"/>
      <c r="M622" s="411"/>
      <c r="N622" s="142"/>
      <c r="O622" s="403"/>
      <c r="P622" s="198"/>
      <c r="Q622" s="412"/>
      <c r="R622" s="76"/>
      <c r="S622" s="197"/>
      <c r="T622" s="198"/>
      <c r="U622" s="197"/>
      <c r="V622" s="198"/>
      <c r="W622" s="198"/>
      <c r="X622" s="198"/>
      <c r="Y622" s="198"/>
      <c r="Z622" s="198"/>
    </row>
    <row r="623">
      <c r="A623" s="403"/>
      <c r="B623" s="198"/>
      <c r="C623" s="403"/>
      <c r="D623" s="142"/>
      <c r="E623" s="403"/>
      <c r="F623" s="198"/>
      <c r="G623" s="403"/>
      <c r="H623" s="198"/>
      <c r="I623" s="411"/>
      <c r="J623" s="142"/>
      <c r="K623" s="411"/>
      <c r="L623" s="142"/>
      <c r="M623" s="411"/>
      <c r="N623" s="142"/>
      <c r="O623" s="403"/>
      <c r="P623" s="198"/>
      <c r="Q623" s="412"/>
      <c r="R623" s="76"/>
      <c r="S623" s="197"/>
      <c r="T623" s="198"/>
      <c r="U623" s="197"/>
      <c r="V623" s="198"/>
      <c r="W623" s="198"/>
      <c r="X623" s="198"/>
      <c r="Y623" s="198"/>
      <c r="Z623" s="198"/>
    </row>
    <row r="624">
      <c r="A624" s="403"/>
      <c r="B624" s="198"/>
      <c r="C624" s="403"/>
      <c r="D624" s="142"/>
      <c r="E624" s="403"/>
      <c r="F624" s="198"/>
      <c r="G624" s="403"/>
      <c r="H624" s="198"/>
      <c r="I624" s="411"/>
      <c r="J624" s="142"/>
      <c r="K624" s="411"/>
      <c r="L624" s="142"/>
      <c r="M624" s="411"/>
      <c r="N624" s="142"/>
      <c r="O624" s="403"/>
      <c r="P624" s="198"/>
      <c r="Q624" s="412"/>
      <c r="R624" s="76"/>
      <c r="S624" s="197"/>
      <c r="T624" s="198"/>
      <c r="U624" s="197"/>
      <c r="V624" s="198"/>
      <c r="W624" s="198"/>
      <c r="X624" s="198"/>
      <c r="Y624" s="198"/>
      <c r="Z624" s="198"/>
    </row>
    <row r="625">
      <c r="A625" s="403"/>
      <c r="B625" s="198"/>
      <c r="C625" s="403"/>
      <c r="D625" s="142"/>
      <c r="E625" s="403"/>
      <c r="F625" s="198"/>
      <c r="G625" s="403"/>
      <c r="H625" s="198"/>
      <c r="I625" s="411"/>
      <c r="J625" s="142"/>
      <c r="K625" s="411"/>
      <c r="L625" s="142"/>
      <c r="M625" s="411"/>
      <c r="N625" s="142"/>
      <c r="O625" s="403"/>
      <c r="P625" s="198"/>
      <c r="Q625" s="412"/>
      <c r="R625" s="76"/>
      <c r="S625" s="197"/>
      <c r="T625" s="198"/>
      <c r="U625" s="197"/>
      <c r="V625" s="198"/>
      <c r="W625" s="198"/>
      <c r="X625" s="198"/>
      <c r="Y625" s="198"/>
      <c r="Z625" s="198"/>
    </row>
    <row r="626">
      <c r="A626" s="403"/>
      <c r="B626" s="198"/>
      <c r="C626" s="403"/>
      <c r="D626" s="142"/>
      <c r="E626" s="403"/>
      <c r="F626" s="198"/>
      <c r="G626" s="403"/>
      <c r="H626" s="198"/>
      <c r="I626" s="411"/>
      <c r="J626" s="142"/>
      <c r="K626" s="411"/>
      <c r="L626" s="142"/>
      <c r="M626" s="411"/>
      <c r="N626" s="142"/>
      <c r="O626" s="403"/>
      <c r="P626" s="198"/>
      <c r="Q626" s="412"/>
      <c r="R626" s="76"/>
      <c r="S626" s="197"/>
      <c r="T626" s="198"/>
      <c r="U626" s="197"/>
      <c r="V626" s="198"/>
      <c r="W626" s="198"/>
      <c r="X626" s="198"/>
      <c r="Y626" s="198"/>
      <c r="Z626" s="198"/>
    </row>
    <row r="627">
      <c r="A627" s="403"/>
      <c r="B627" s="198"/>
      <c r="C627" s="403"/>
      <c r="D627" s="142"/>
      <c r="E627" s="403"/>
      <c r="F627" s="198"/>
      <c r="G627" s="403"/>
      <c r="H627" s="198"/>
      <c r="I627" s="411"/>
      <c r="J627" s="142"/>
      <c r="K627" s="411"/>
      <c r="L627" s="142"/>
      <c r="M627" s="411"/>
      <c r="N627" s="142"/>
      <c r="O627" s="403"/>
      <c r="P627" s="198"/>
      <c r="Q627" s="412"/>
      <c r="R627" s="76"/>
      <c r="S627" s="197"/>
      <c r="T627" s="198"/>
      <c r="U627" s="197"/>
      <c r="V627" s="198"/>
      <c r="W627" s="198"/>
      <c r="X627" s="198"/>
      <c r="Y627" s="198"/>
      <c r="Z627" s="198"/>
    </row>
    <row r="628">
      <c r="A628" s="403"/>
      <c r="B628" s="198"/>
      <c r="C628" s="403"/>
      <c r="D628" s="142"/>
      <c r="E628" s="403"/>
      <c r="F628" s="198"/>
      <c r="G628" s="403"/>
      <c r="H628" s="198"/>
      <c r="I628" s="411"/>
      <c r="J628" s="142"/>
      <c r="K628" s="411"/>
      <c r="L628" s="142"/>
      <c r="M628" s="411"/>
      <c r="N628" s="142"/>
      <c r="O628" s="403"/>
      <c r="P628" s="198"/>
      <c r="Q628" s="412"/>
      <c r="R628" s="76"/>
      <c r="S628" s="197"/>
      <c r="T628" s="198"/>
      <c r="U628" s="197"/>
      <c r="V628" s="198"/>
      <c r="W628" s="198"/>
      <c r="X628" s="198"/>
      <c r="Y628" s="198"/>
      <c r="Z628" s="198"/>
    </row>
    <row r="629">
      <c r="A629" s="403"/>
      <c r="B629" s="198"/>
      <c r="C629" s="403"/>
      <c r="D629" s="142"/>
      <c r="E629" s="403"/>
      <c r="F629" s="198"/>
      <c r="G629" s="403"/>
      <c r="H629" s="198"/>
      <c r="I629" s="411"/>
      <c r="J629" s="142"/>
      <c r="K629" s="411"/>
      <c r="L629" s="142"/>
      <c r="M629" s="411"/>
      <c r="N629" s="142"/>
      <c r="O629" s="403"/>
      <c r="P629" s="198"/>
      <c r="Q629" s="412"/>
      <c r="R629" s="76"/>
      <c r="S629" s="197"/>
      <c r="T629" s="198"/>
      <c r="U629" s="197"/>
      <c r="V629" s="198"/>
      <c r="W629" s="198"/>
      <c r="X629" s="198"/>
      <c r="Y629" s="198"/>
      <c r="Z629" s="198"/>
    </row>
    <row r="630">
      <c r="A630" s="403"/>
      <c r="B630" s="198"/>
      <c r="C630" s="403"/>
      <c r="D630" s="142"/>
      <c r="E630" s="403"/>
      <c r="F630" s="198"/>
      <c r="G630" s="403"/>
      <c r="H630" s="198"/>
      <c r="I630" s="411"/>
      <c r="J630" s="142"/>
      <c r="K630" s="411"/>
      <c r="L630" s="142"/>
      <c r="M630" s="411"/>
      <c r="N630" s="142"/>
      <c r="O630" s="403"/>
      <c r="P630" s="198"/>
      <c r="Q630" s="412"/>
      <c r="R630" s="76"/>
      <c r="S630" s="197"/>
      <c r="T630" s="198"/>
      <c r="U630" s="197"/>
      <c r="V630" s="198"/>
      <c r="W630" s="198"/>
      <c r="X630" s="198"/>
      <c r="Y630" s="198"/>
      <c r="Z630" s="198"/>
    </row>
    <row r="631">
      <c r="A631" s="403"/>
      <c r="B631" s="198"/>
      <c r="C631" s="403"/>
      <c r="D631" s="142"/>
      <c r="E631" s="403"/>
      <c r="F631" s="198"/>
      <c r="G631" s="403"/>
      <c r="H631" s="198"/>
      <c r="I631" s="411"/>
      <c r="J631" s="142"/>
      <c r="K631" s="411"/>
      <c r="L631" s="142"/>
      <c r="M631" s="411"/>
      <c r="N631" s="142"/>
      <c r="O631" s="403"/>
      <c r="P631" s="198"/>
      <c r="Q631" s="412"/>
      <c r="R631" s="76"/>
      <c r="S631" s="197"/>
      <c r="T631" s="198"/>
      <c r="U631" s="197"/>
      <c r="V631" s="198"/>
      <c r="W631" s="198"/>
      <c r="X631" s="198"/>
      <c r="Y631" s="198"/>
      <c r="Z631" s="198"/>
    </row>
    <row r="632">
      <c r="A632" s="403"/>
      <c r="B632" s="198"/>
      <c r="C632" s="403"/>
      <c r="D632" s="142"/>
      <c r="E632" s="403"/>
      <c r="F632" s="198"/>
      <c r="G632" s="403"/>
      <c r="H632" s="198"/>
      <c r="I632" s="411"/>
      <c r="J632" s="142"/>
      <c r="K632" s="411"/>
      <c r="L632" s="142"/>
      <c r="M632" s="411"/>
      <c r="N632" s="142"/>
      <c r="O632" s="403"/>
      <c r="P632" s="198"/>
      <c r="Q632" s="412"/>
      <c r="R632" s="76"/>
      <c r="S632" s="197"/>
      <c r="T632" s="198"/>
      <c r="U632" s="197"/>
      <c r="V632" s="198"/>
      <c r="W632" s="198"/>
      <c r="X632" s="198"/>
      <c r="Y632" s="198"/>
      <c r="Z632" s="198"/>
    </row>
    <row r="633">
      <c r="A633" s="403"/>
      <c r="B633" s="198"/>
      <c r="C633" s="403"/>
      <c r="D633" s="142"/>
      <c r="E633" s="403"/>
      <c r="F633" s="198"/>
      <c r="G633" s="403"/>
      <c r="H633" s="198"/>
      <c r="I633" s="411"/>
      <c r="J633" s="142"/>
      <c r="K633" s="411"/>
      <c r="L633" s="142"/>
      <c r="M633" s="411"/>
      <c r="N633" s="142"/>
      <c r="O633" s="403"/>
      <c r="P633" s="198"/>
      <c r="Q633" s="412"/>
      <c r="R633" s="76"/>
      <c r="S633" s="197"/>
      <c r="T633" s="198"/>
      <c r="U633" s="197"/>
      <c r="V633" s="198"/>
      <c r="W633" s="198"/>
      <c r="X633" s="198"/>
      <c r="Y633" s="198"/>
      <c r="Z633" s="198"/>
    </row>
    <row r="634">
      <c r="A634" s="403"/>
      <c r="B634" s="198"/>
      <c r="C634" s="403"/>
      <c r="D634" s="142"/>
      <c r="E634" s="403"/>
      <c r="F634" s="198"/>
      <c r="G634" s="403"/>
      <c r="H634" s="198"/>
      <c r="I634" s="411"/>
      <c r="J634" s="142"/>
      <c r="K634" s="411"/>
      <c r="L634" s="142"/>
      <c r="M634" s="411"/>
      <c r="N634" s="142"/>
      <c r="O634" s="403"/>
      <c r="P634" s="198"/>
      <c r="Q634" s="412"/>
      <c r="R634" s="76"/>
      <c r="S634" s="197"/>
      <c r="T634" s="198"/>
      <c r="U634" s="197"/>
      <c r="V634" s="198"/>
      <c r="W634" s="198"/>
      <c r="X634" s="198"/>
      <c r="Y634" s="198"/>
      <c r="Z634" s="198"/>
    </row>
    <row r="635">
      <c r="A635" s="403"/>
      <c r="B635" s="198"/>
      <c r="C635" s="403"/>
      <c r="D635" s="142"/>
      <c r="E635" s="403"/>
      <c r="F635" s="198"/>
      <c r="G635" s="403"/>
      <c r="H635" s="198"/>
      <c r="I635" s="411"/>
      <c r="J635" s="142"/>
      <c r="K635" s="411"/>
      <c r="L635" s="142"/>
      <c r="M635" s="411"/>
      <c r="N635" s="142"/>
      <c r="O635" s="403"/>
      <c r="P635" s="198"/>
      <c r="Q635" s="412"/>
      <c r="R635" s="76"/>
      <c r="S635" s="197"/>
      <c r="T635" s="198"/>
      <c r="U635" s="197"/>
      <c r="V635" s="198"/>
      <c r="W635" s="198"/>
      <c r="X635" s="198"/>
      <c r="Y635" s="198"/>
      <c r="Z635" s="198"/>
    </row>
    <row r="636">
      <c r="A636" s="403"/>
      <c r="B636" s="198"/>
      <c r="C636" s="403"/>
      <c r="D636" s="142"/>
      <c r="E636" s="403"/>
      <c r="F636" s="198"/>
      <c r="G636" s="403"/>
      <c r="H636" s="198"/>
      <c r="I636" s="411"/>
      <c r="J636" s="142"/>
      <c r="K636" s="411"/>
      <c r="L636" s="142"/>
      <c r="M636" s="411"/>
      <c r="N636" s="142"/>
      <c r="O636" s="403"/>
      <c r="P636" s="198"/>
      <c r="Q636" s="412"/>
      <c r="R636" s="76"/>
      <c r="S636" s="197"/>
      <c r="T636" s="198"/>
      <c r="U636" s="197"/>
      <c r="V636" s="198"/>
      <c r="W636" s="198"/>
      <c r="X636" s="198"/>
      <c r="Y636" s="198"/>
      <c r="Z636" s="198"/>
    </row>
    <row r="637">
      <c r="A637" s="403"/>
      <c r="B637" s="198"/>
      <c r="C637" s="403"/>
      <c r="D637" s="142"/>
      <c r="E637" s="403"/>
      <c r="F637" s="198"/>
      <c r="G637" s="403"/>
      <c r="H637" s="198"/>
      <c r="I637" s="411"/>
      <c r="J637" s="142"/>
      <c r="K637" s="411"/>
      <c r="L637" s="142"/>
      <c r="M637" s="411"/>
      <c r="N637" s="142"/>
      <c r="O637" s="403"/>
      <c r="P637" s="198"/>
      <c r="Q637" s="412"/>
      <c r="R637" s="76"/>
      <c r="S637" s="197"/>
      <c r="T637" s="198"/>
      <c r="U637" s="197"/>
      <c r="V637" s="198"/>
      <c r="W637" s="198"/>
      <c r="X637" s="198"/>
      <c r="Y637" s="198"/>
      <c r="Z637" s="198"/>
    </row>
    <row r="638">
      <c r="A638" s="403"/>
      <c r="B638" s="198"/>
      <c r="C638" s="403"/>
      <c r="D638" s="142"/>
      <c r="E638" s="403"/>
      <c r="F638" s="198"/>
      <c r="G638" s="403"/>
      <c r="H638" s="198"/>
      <c r="I638" s="411"/>
      <c r="J638" s="142"/>
      <c r="K638" s="411"/>
      <c r="L638" s="142"/>
      <c r="M638" s="411"/>
      <c r="N638" s="142"/>
      <c r="O638" s="403"/>
      <c r="P638" s="198"/>
      <c r="Q638" s="412"/>
      <c r="R638" s="76"/>
      <c r="S638" s="197"/>
      <c r="T638" s="198"/>
      <c r="U638" s="197"/>
      <c r="V638" s="198"/>
      <c r="W638" s="198"/>
      <c r="X638" s="198"/>
      <c r="Y638" s="198"/>
      <c r="Z638" s="198"/>
    </row>
    <row r="639">
      <c r="A639" s="403"/>
      <c r="B639" s="198"/>
      <c r="C639" s="403"/>
      <c r="D639" s="142"/>
      <c r="E639" s="403"/>
      <c r="F639" s="198"/>
      <c r="G639" s="403"/>
      <c r="H639" s="198"/>
      <c r="I639" s="411"/>
      <c r="J639" s="142"/>
      <c r="K639" s="411"/>
      <c r="L639" s="142"/>
      <c r="M639" s="411"/>
      <c r="N639" s="142"/>
      <c r="O639" s="403"/>
      <c r="P639" s="198"/>
      <c r="Q639" s="412"/>
      <c r="R639" s="76"/>
      <c r="S639" s="197"/>
      <c r="T639" s="198"/>
      <c r="U639" s="197"/>
      <c r="V639" s="198"/>
      <c r="W639" s="198"/>
      <c r="X639" s="198"/>
      <c r="Y639" s="198"/>
      <c r="Z639" s="198"/>
    </row>
    <row r="640">
      <c r="A640" s="403"/>
      <c r="B640" s="198"/>
      <c r="C640" s="403"/>
      <c r="D640" s="142"/>
      <c r="E640" s="403"/>
      <c r="F640" s="198"/>
      <c r="G640" s="403"/>
      <c r="H640" s="198"/>
      <c r="I640" s="411"/>
      <c r="J640" s="142"/>
      <c r="K640" s="411"/>
      <c r="L640" s="142"/>
      <c r="M640" s="411"/>
      <c r="N640" s="142"/>
      <c r="O640" s="403"/>
      <c r="P640" s="198"/>
      <c r="Q640" s="412"/>
      <c r="R640" s="76"/>
      <c r="S640" s="197"/>
      <c r="T640" s="198"/>
      <c r="U640" s="197"/>
      <c r="V640" s="198"/>
      <c r="W640" s="198"/>
      <c r="X640" s="198"/>
      <c r="Y640" s="198"/>
      <c r="Z640" s="198"/>
    </row>
    <row r="641">
      <c r="A641" s="403"/>
      <c r="B641" s="198"/>
      <c r="C641" s="403"/>
      <c r="D641" s="142"/>
      <c r="E641" s="403"/>
      <c r="F641" s="198"/>
      <c r="G641" s="403"/>
      <c r="H641" s="198"/>
      <c r="I641" s="411"/>
      <c r="J641" s="142"/>
      <c r="K641" s="411"/>
      <c r="L641" s="142"/>
      <c r="M641" s="411"/>
      <c r="N641" s="142"/>
      <c r="O641" s="403"/>
      <c r="P641" s="198"/>
      <c r="Q641" s="412"/>
      <c r="R641" s="76"/>
      <c r="S641" s="197"/>
      <c r="T641" s="198"/>
      <c r="U641" s="197"/>
      <c r="V641" s="198"/>
      <c r="W641" s="198"/>
      <c r="X641" s="198"/>
      <c r="Y641" s="198"/>
      <c r="Z641" s="198"/>
    </row>
    <row r="642">
      <c r="A642" s="403"/>
      <c r="B642" s="198"/>
      <c r="C642" s="403"/>
      <c r="D642" s="142"/>
      <c r="E642" s="403"/>
      <c r="F642" s="198"/>
      <c r="G642" s="403"/>
      <c r="H642" s="198"/>
      <c r="I642" s="411"/>
      <c r="J642" s="142"/>
      <c r="K642" s="411"/>
      <c r="L642" s="142"/>
      <c r="M642" s="411"/>
      <c r="N642" s="142"/>
      <c r="O642" s="403"/>
      <c r="P642" s="198"/>
      <c r="Q642" s="412"/>
      <c r="R642" s="76"/>
      <c r="S642" s="197"/>
      <c r="T642" s="198"/>
      <c r="U642" s="197"/>
      <c r="V642" s="198"/>
      <c r="W642" s="198"/>
      <c r="X642" s="198"/>
      <c r="Y642" s="198"/>
      <c r="Z642" s="198"/>
    </row>
    <row r="643">
      <c r="A643" s="403"/>
      <c r="B643" s="198"/>
      <c r="C643" s="403"/>
      <c r="D643" s="142"/>
      <c r="E643" s="403"/>
      <c r="F643" s="198"/>
      <c r="G643" s="403"/>
      <c r="H643" s="198"/>
      <c r="I643" s="411"/>
      <c r="J643" s="142"/>
      <c r="K643" s="411"/>
      <c r="L643" s="142"/>
      <c r="M643" s="411"/>
      <c r="N643" s="142"/>
      <c r="O643" s="403"/>
      <c r="P643" s="198"/>
      <c r="Q643" s="412"/>
      <c r="R643" s="76"/>
      <c r="S643" s="197"/>
      <c r="T643" s="198"/>
      <c r="U643" s="197"/>
      <c r="V643" s="198"/>
      <c r="W643" s="198"/>
      <c r="X643" s="198"/>
      <c r="Y643" s="198"/>
      <c r="Z643" s="198"/>
    </row>
    <row r="644">
      <c r="A644" s="403"/>
      <c r="B644" s="198"/>
      <c r="C644" s="403"/>
      <c r="D644" s="142"/>
      <c r="E644" s="403"/>
      <c r="F644" s="198"/>
      <c r="G644" s="403"/>
      <c r="H644" s="198"/>
      <c r="I644" s="411"/>
      <c r="J644" s="142"/>
      <c r="K644" s="411"/>
      <c r="L644" s="142"/>
      <c r="M644" s="411"/>
      <c r="N644" s="142"/>
      <c r="O644" s="403"/>
      <c r="P644" s="198"/>
      <c r="Q644" s="412"/>
      <c r="R644" s="76"/>
      <c r="S644" s="197"/>
      <c r="T644" s="198"/>
      <c r="U644" s="197"/>
      <c r="V644" s="198"/>
      <c r="W644" s="198"/>
      <c r="X644" s="198"/>
      <c r="Y644" s="198"/>
      <c r="Z644" s="198"/>
    </row>
    <row r="645">
      <c r="A645" s="403"/>
      <c r="B645" s="198"/>
      <c r="C645" s="403"/>
      <c r="D645" s="142"/>
      <c r="E645" s="403"/>
      <c r="F645" s="198"/>
      <c r="G645" s="403"/>
      <c r="H645" s="198"/>
      <c r="I645" s="411"/>
      <c r="J645" s="142"/>
      <c r="K645" s="411"/>
      <c r="L645" s="142"/>
      <c r="M645" s="411"/>
      <c r="N645" s="142"/>
      <c r="O645" s="403"/>
      <c r="P645" s="198"/>
      <c r="Q645" s="412"/>
      <c r="R645" s="76"/>
      <c r="S645" s="197"/>
      <c r="T645" s="198"/>
      <c r="U645" s="197"/>
      <c r="V645" s="198"/>
      <c r="W645" s="198"/>
      <c r="X645" s="198"/>
      <c r="Y645" s="198"/>
      <c r="Z645" s="198"/>
    </row>
    <row r="646">
      <c r="A646" s="403"/>
      <c r="B646" s="198"/>
      <c r="C646" s="403"/>
      <c r="D646" s="142"/>
      <c r="E646" s="403"/>
      <c r="F646" s="198"/>
      <c r="G646" s="403"/>
      <c r="H646" s="198"/>
      <c r="I646" s="411"/>
      <c r="J646" s="142"/>
      <c r="K646" s="411"/>
      <c r="L646" s="142"/>
      <c r="M646" s="411"/>
      <c r="N646" s="142"/>
      <c r="O646" s="403"/>
      <c r="P646" s="198"/>
      <c r="Q646" s="412"/>
      <c r="R646" s="76"/>
      <c r="S646" s="197"/>
      <c r="T646" s="198"/>
      <c r="U646" s="197"/>
      <c r="V646" s="198"/>
      <c r="W646" s="198"/>
      <c r="X646" s="198"/>
      <c r="Y646" s="198"/>
      <c r="Z646" s="198"/>
    </row>
    <row r="647">
      <c r="A647" s="403"/>
      <c r="B647" s="198"/>
      <c r="C647" s="403"/>
      <c r="D647" s="142"/>
      <c r="E647" s="403"/>
      <c r="F647" s="198"/>
      <c r="G647" s="403"/>
      <c r="H647" s="198"/>
      <c r="I647" s="411"/>
      <c r="J647" s="142"/>
      <c r="K647" s="411"/>
      <c r="L647" s="142"/>
      <c r="M647" s="411"/>
      <c r="N647" s="142"/>
      <c r="O647" s="403"/>
      <c r="P647" s="198"/>
      <c r="Q647" s="412"/>
      <c r="R647" s="76"/>
      <c r="S647" s="197"/>
      <c r="T647" s="198"/>
      <c r="U647" s="197"/>
      <c r="V647" s="198"/>
      <c r="W647" s="198"/>
      <c r="X647" s="198"/>
      <c r="Y647" s="198"/>
      <c r="Z647" s="198"/>
    </row>
    <row r="648">
      <c r="A648" s="403"/>
      <c r="B648" s="198"/>
      <c r="C648" s="403"/>
      <c r="D648" s="142"/>
      <c r="E648" s="403"/>
      <c r="F648" s="198"/>
      <c r="G648" s="403"/>
      <c r="H648" s="198"/>
      <c r="I648" s="411"/>
      <c r="J648" s="142"/>
      <c r="K648" s="411"/>
      <c r="L648" s="142"/>
      <c r="M648" s="411"/>
      <c r="N648" s="142"/>
      <c r="O648" s="403"/>
      <c r="P648" s="198"/>
      <c r="Q648" s="412"/>
      <c r="R648" s="76"/>
      <c r="S648" s="197"/>
      <c r="T648" s="198"/>
      <c r="U648" s="197"/>
      <c r="V648" s="198"/>
      <c r="W648" s="198"/>
      <c r="X648" s="198"/>
      <c r="Y648" s="198"/>
      <c r="Z648" s="198"/>
    </row>
    <row r="649">
      <c r="A649" s="403"/>
      <c r="B649" s="198"/>
      <c r="C649" s="403"/>
      <c r="D649" s="142"/>
      <c r="E649" s="403"/>
      <c r="F649" s="198"/>
      <c r="G649" s="403"/>
      <c r="H649" s="198"/>
      <c r="I649" s="411"/>
      <c r="J649" s="142"/>
      <c r="K649" s="411"/>
      <c r="L649" s="142"/>
      <c r="M649" s="411"/>
      <c r="N649" s="142"/>
      <c r="O649" s="403"/>
      <c r="P649" s="198"/>
      <c r="Q649" s="412"/>
      <c r="R649" s="76"/>
      <c r="S649" s="197"/>
      <c r="T649" s="198"/>
      <c r="U649" s="197"/>
      <c r="V649" s="198"/>
      <c r="W649" s="198"/>
      <c r="X649" s="198"/>
      <c r="Y649" s="198"/>
      <c r="Z649" s="198"/>
    </row>
    <row r="650">
      <c r="A650" s="403"/>
      <c r="B650" s="198"/>
      <c r="C650" s="403"/>
      <c r="D650" s="142"/>
      <c r="E650" s="403"/>
      <c r="F650" s="198"/>
      <c r="G650" s="403"/>
      <c r="H650" s="198"/>
      <c r="I650" s="411"/>
      <c r="J650" s="142"/>
      <c r="K650" s="411"/>
      <c r="L650" s="142"/>
      <c r="M650" s="411"/>
      <c r="N650" s="142"/>
      <c r="O650" s="403"/>
      <c r="P650" s="198"/>
      <c r="Q650" s="412"/>
      <c r="R650" s="76"/>
      <c r="S650" s="197"/>
      <c r="T650" s="198"/>
      <c r="U650" s="197"/>
      <c r="V650" s="198"/>
      <c r="W650" s="198"/>
      <c r="X650" s="198"/>
      <c r="Y650" s="198"/>
      <c r="Z650" s="198"/>
    </row>
    <row r="651">
      <c r="A651" s="403"/>
      <c r="B651" s="198"/>
      <c r="C651" s="403"/>
      <c r="D651" s="142"/>
      <c r="E651" s="403"/>
      <c r="F651" s="198"/>
      <c r="G651" s="403"/>
      <c r="H651" s="198"/>
      <c r="I651" s="411"/>
      <c r="J651" s="142"/>
      <c r="K651" s="411"/>
      <c r="L651" s="142"/>
      <c r="M651" s="411"/>
      <c r="N651" s="142"/>
      <c r="O651" s="403"/>
      <c r="P651" s="198"/>
      <c r="Q651" s="412"/>
      <c r="R651" s="76"/>
      <c r="S651" s="197"/>
      <c r="T651" s="198"/>
      <c r="U651" s="197"/>
      <c r="V651" s="198"/>
      <c r="W651" s="198"/>
      <c r="X651" s="198"/>
      <c r="Y651" s="198"/>
      <c r="Z651" s="198"/>
    </row>
    <row r="652">
      <c r="A652" s="403"/>
      <c r="B652" s="198"/>
      <c r="C652" s="403"/>
      <c r="D652" s="142"/>
      <c r="E652" s="403"/>
      <c r="F652" s="198"/>
      <c r="G652" s="403"/>
      <c r="H652" s="198"/>
      <c r="I652" s="411"/>
      <c r="J652" s="142"/>
      <c r="K652" s="411"/>
      <c r="L652" s="142"/>
      <c r="M652" s="411"/>
      <c r="N652" s="142"/>
      <c r="O652" s="403"/>
      <c r="P652" s="198"/>
      <c r="Q652" s="412"/>
      <c r="R652" s="76"/>
      <c r="S652" s="197"/>
      <c r="T652" s="198"/>
      <c r="U652" s="197"/>
      <c r="V652" s="198"/>
      <c r="W652" s="198"/>
      <c r="X652" s="198"/>
      <c r="Y652" s="198"/>
      <c r="Z652" s="198"/>
    </row>
    <row r="653">
      <c r="A653" s="403"/>
      <c r="B653" s="198"/>
      <c r="C653" s="403"/>
      <c r="D653" s="142"/>
      <c r="E653" s="403"/>
      <c r="F653" s="198"/>
      <c r="G653" s="403"/>
      <c r="H653" s="198"/>
      <c r="I653" s="411"/>
      <c r="J653" s="142"/>
      <c r="K653" s="411"/>
      <c r="L653" s="142"/>
      <c r="M653" s="411"/>
      <c r="N653" s="142"/>
      <c r="O653" s="403"/>
      <c r="P653" s="198"/>
      <c r="Q653" s="412"/>
      <c r="R653" s="76"/>
      <c r="S653" s="197"/>
      <c r="T653" s="198"/>
      <c r="U653" s="197"/>
      <c r="V653" s="198"/>
      <c r="W653" s="198"/>
      <c r="X653" s="198"/>
      <c r="Y653" s="198"/>
      <c r="Z653" s="198"/>
    </row>
    <row r="654">
      <c r="A654" s="403"/>
      <c r="B654" s="198"/>
      <c r="C654" s="403"/>
      <c r="D654" s="142"/>
      <c r="E654" s="403"/>
      <c r="F654" s="198"/>
      <c r="G654" s="403"/>
      <c r="H654" s="198"/>
      <c r="I654" s="411"/>
      <c r="J654" s="142"/>
      <c r="K654" s="411"/>
      <c r="L654" s="142"/>
      <c r="M654" s="411"/>
      <c r="N654" s="142"/>
      <c r="O654" s="403"/>
      <c r="P654" s="198"/>
      <c r="Q654" s="412"/>
      <c r="R654" s="76"/>
      <c r="S654" s="197"/>
      <c r="T654" s="198"/>
      <c r="U654" s="197"/>
      <c r="V654" s="198"/>
      <c r="W654" s="198"/>
      <c r="X654" s="198"/>
      <c r="Y654" s="198"/>
      <c r="Z654" s="198"/>
    </row>
    <row r="655">
      <c r="A655" s="403"/>
      <c r="B655" s="198"/>
      <c r="C655" s="403"/>
      <c r="D655" s="142"/>
      <c r="E655" s="403"/>
      <c r="F655" s="198"/>
      <c r="G655" s="403"/>
      <c r="H655" s="198"/>
      <c r="I655" s="411"/>
      <c r="J655" s="142"/>
      <c r="K655" s="411"/>
      <c r="L655" s="142"/>
      <c r="M655" s="411"/>
      <c r="N655" s="142"/>
      <c r="O655" s="403"/>
      <c r="P655" s="198"/>
      <c r="Q655" s="412"/>
      <c r="R655" s="76"/>
      <c r="S655" s="197"/>
      <c r="T655" s="198"/>
      <c r="U655" s="197"/>
      <c r="V655" s="198"/>
      <c r="W655" s="198"/>
      <c r="X655" s="198"/>
      <c r="Y655" s="198"/>
      <c r="Z655" s="198"/>
    </row>
    <row r="656">
      <c r="A656" s="403"/>
      <c r="B656" s="198"/>
      <c r="C656" s="403"/>
      <c r="D656" s="142"/>
      <c r="E656" s="403"/>
      <c r="F656" s="198"/>
      <c r="G656" s="403"/>
      <c r="H656" s="198"/>
      <c r="I656" s="411"/>
      <c r="J656" s="142"/>
      <c r="K656" s="411"/>
      <c r="L656" s="142"/>
      <c r="M656" s="411"/>
      <c r="N656" s="142"/>
      <c r="O656" s="403"/>
      <c r="P656" s="198"/>
      <c r="Q656" s="412"/>
      <c r="R656" s="76"/>
      <c r="S656" s="197"/>
      <c r="T656" s="198"/>
      <c r="U656" s="197"/>
      <c r="V656" s="198"/>
      <c r="W656" s="198"/>
      <c r="X656" s="198"/>
      <c r="Y656" s="198"/>
      <c r="Z656" s="198"/>
    </row>
    <row r="657">
      <c r="A657" s="403"/>
      <c r="B657" s="198"/>
      <c r="C657" s="403"/>
      <c r="D657" s="142"/>
      <c r="E657" s="403"/>
      <c r="F657" s="198"/>
      <c r="G657" s="403"/>
      <c r="H657" s="198"/>
      <c r="I657" s="411"/>
      <c r="J657" s="142"/>
      <c r="K657" s="411"/>
      <c r="L657" s="142"/>
      <c r="M657" s="411"/>
      <c r="N657" s="142"/>
      <c r="O657" s="403"/>
      <c r="P657" s="198"/>
      <c r="Q657" s="412"/>
      <c r="R657" s="76"/>
      <c r="S657" s="197"/>
      <c r="T657" s="198"/>
      <c r="U657" s="197"/>
      <c r="V657" s="198"/>
      <c r="W657" s="198"/>
      <c r="X657" s="198"/>
      <c r="Y657" s="198"/>
      <c r="Z657" s="198"/>
    </row>
    <row r="658">
      <c r="A658" s="403"/>
      <c r="B658" s="198"/>
      <c r="C658" s="403"/>
      <c r="D658" s="142"/>
      <c r="E658" s="403"/>
      <c r="F658" s="198"/>
      <c r="G658" s="403"/>
      <c r="H658" s="198"/>
      <c r="I658" s="411"/>
      <c r="J658" s="142"/>
      <c r="K658" s="411"/>
      <c r="L658" s="142"/>
      <c r="M658" s="411"/>
      <c r="N658" s="142"/>
      <c r="O658" s="403"/>
      <c r="P658" s="198"/>
      <c r="Q658" s="412"/>
      <c r="R658" s="76"/>
      <c r="S658" s="197"/>
      <c r="T658" s="198"/>
      <c r="U658" s="197"/>
      <c r="V658" s="198"/>
      <c r="W658" s="198"/>
      <c r="X658" s="198"/>
      <c r="Y658" s="198"/>
      <c r="Z658" s="198"/>
    </row>
    <row r="659">
      <c r="A659" s="403"/>
      <c r="B659" s="198"/>
      <c r="C659" s="403"/>
      <c r="D659" s="142"/>
      <c r="E659" s="403"/>
      <c r="F659" s="198"/>
      <c r="G659" s="403"/>
      <c r="H659" s="198"/>
      <c r="I659" s="411"/>
      <c r="J659" s="142"/>
      <c r="K659" s="411"/>
      <c r="L659" s="142"/>
      <c r="M659" s="411"/>
      <c r="N659" s="142"/>
      <c r="O659" s="403"/>
      <c r="P659" s="198"/>
      <c r="Q659" s="412"/>
      <c r="R659" s="76"/>
      <c r="S659" s="197"/>
      <c r="T659" s="198"/>
      <c r="U659" s="197"/>
      <c r="V659" s="198"/>
      <c r="W659" s="198"/>
      <c r="X659" s="198"/>
      <c r="Y659" s="198"/>
      <c r="Z659" s="198"/>
    </row>
    <row r="660">
      <c r="A660" s="403"/>
      <c r="B660" s="198"/>
      <c r="C660" s="403"/>
      <c r="D660" s="142"/>
      <c r="E660" s="403"/>
      <c r="F660" s="198"/>
      <c r="G660" s="403"/>
      <c r="H660" s="198"/>
      <c r="I660" s="411"/>
      <c r="J660" s="142"/>
      <c r="K660" s="411"/>
      <c r="L660" s="142"/>
      <c r="M660" s="411"/>
      <c r="N660" s="142"/>
      <c r="O660" s="403"/>
      <c r="P660" s="198"/>
      <c r="Q660" s="412"/>
      <c r="R660" s="76"/>
      <c r="S660" s="197"/>
      <c r="T660" s="198"/>
      <c r="U660" s="197"/>
      <c r="V660" s="198"/>
      <c r="W660" s="198"/>
      <c r="X660" s="198"/>
      <c r="Y660" s="198"/>
      <c r="Z660" s="198"/>
    </row>
    <row r="661">
      <c r="A661" s="403"/>
      <c r="B661" s="198"/>
      <c r="C661" s="403"/>
      <c r="D661" s="142"/>
      <c r="E661" s="403"/>
      <c r="F661" s="198"/>
      <c r="G661" s="403"/>
      <c r="H661" s="198"/>
      <c r="I661" s="411"/>
      <c r="J661" s="142"/>
      <c r="K661" s="411"/>
      <c r="L661" s="142"/>
      <c r="M661" s="411"/>
      <c r="N661" s="142"/>
      <c r="O661" s="403"/>
      <c r="P661" s="198"/>
      <c r="Q661" s="412"/>
      <c r="R661" s="76"/>
      <c r="S661" s="197"/>
      <c r="T661" s="198"/>
      <c r="U661" s="197"/>
      <c r="V661" s="198"/>
      <c r="W661" s="198"/>
      <c r="X661" s="198"/>
      <c r="Y661" s="198"/>
      <c r="Z661" s="198"/>
    </row>
    <row r="662">
      <c r="A662" s="403"/>
      <c r="B662" s="198"/>
      <c r="C662" s="403"/>
      <c r="D662" s="142"/>
      <c r="E662" s="403"/>
      <c r="F662" s="198"/>
      <c r="G662" s="403"/>
      <c r="H662" s="198"/>
      <c r="I662" s="411"/>
      <c r="J662" s="142"/>
      <c r="K662" s="411"/>
      <c r="L662" s="142"/>
      <c r="M662" s="411"/>
      <c r="N662" s="142"/>
      <c r="O662" s="403"/>
      <c r="P662" s="198"/>
      <c r="Q662" s="412"/>
      <c r="R662" s="76"/>
      <c r="S662" s="197"/>
      <c r="T662" s="198"/>
      <c r="U662" s="197"/>
      <c r="V662" s="198"/>
      <c r="W662" s="198"/>
      <c r="X662" s="198"/>
      <c r="Y662" s="198"/>
      <c r="Z662" s="198"/>
    </row>
    <row r="663">
      <c r="A663" s="403"/>
      <c r="B663" s="198"/>
      <c r="C663" s="403"/>
      <c r="D663" s="142"/>
      <c r="E663" s="403"/>
      <c r="F663" s="198"/>
      <c r="G663" s="403"/>
      <c r="H663" s="198"/>
      <c r="I663" s="411"/>
      <c r="J663" s="142"/>
      <c r="K663" s="411"/>
      <c r="L663" s="142"/>
      <c r="M663" s="411"/>
      <c r="N663" s="142"/>
      <c r="O663" s="403"/>
      <c r="P663" s="198"/>
      <c r="Q663" s="412"/>
      <c r="R663" s="76"/>
      <c r="S663" s="197"/>
      <c r="T663" s="198"/>
      <c r="U663" s="197"/>
      <c r="V663" s="198"/>
      <c r="W663" s="198"/>
      <c r="X663" s="198"/>
      <c r="Y663" s="198"/>
      <c r="Z663" s="198"/>
    </row>
    <row r="664">
      <c r="A664" s="403"/>
      <c r="B664" s="198"/>
      <c r="C664" s="403"/>
      <c r="D664" s="142"/>
      <c r="E664" s="403"/>
      <c r="F664" s="198"/>
      <c r="G664" s="403"/>
      <c r="H664" s="198"/>
      <c r="I664" s="411"/>
      <c r="J664" s="142"/>
      <c r="K664" s="411"/>
      <c r="L664" s="142"/>
      <c r="M664" s="411"/>
      <c r="N664" s="142"/>
      <c r="O664" s="403"/>
      <c r="P664" s="198"/>
      <c r="Q664" s="412"/>
      <c r="R664" s="76"/>
      <c r="S664" s="197"/>
      <c r="T664" s="198"/>
      <c r="U664" s="197"/>
      <c r="V664" s="198"/>
      <c r="W664" s="198"/>
      <c r="X664" s="198"/>
      <c r="Y664" s="198"/>
      <c r="Z664" s="198"/>
    </row>
    <row r="665">
      <c r="A665" s="403"/>
      <c r="B665" s="198"/>
      <c r="C665" s="403"/>
      <c r="D665" s="142"/>
      <c r="E665" s="403"/>
      <c r="F665" s="198"/>
      <c r="G665" s="403"/>
      <c r="H665" s="198"/>
      <c r="I665" s="411"/>
      <c r="J665" s="142"/>
      <c r="K665" s="411"/>
      <c r="L665" s="142"/>
      <c r="M665" s="411"/>
      <c r="N665" s="142"/>
      <c r="O665" s="403"/>
      <c r="P665" s="198"/>
      <c r="Q665" s="412"/>
      <c r="R665" s="76"/>
      <c r="S665" s="197"/>
      <c r="T665" s="198"/>
      <c r="U665" s="197"/>
      <c r="V665" s="198"/>
      <c r="W665" s="198"/>
      <c r="X665" s="198"/>
      <c r="Y665" s="198"/>
      <c r="Z665" s="198"/>
    </row>
    <row r="666">
      <c r="A666" s="403"/>
      <c r="B666" s="198"/>
      <c r="C666" s="403"/>
      <c r="D666" s="142"/>
      <c r="E666" s="403"/>
      <c r="F666" s="198"/>
      <c r="G666" s="403"/>
      <c r="H666" s="198"/>
      <c r="I666" s="411"/>
      <c r="J666" s="142"/>
      <c r="K666" s="411"/>
      <c r="L666" s="142"/>
      <c r="M666" s="411"/>
      <c r="N666" s="142"/>
      <c r="O666" s="403"/>
      <c r="P666" s="198"/>
      <c r="Q666" s="412"/>
      <c r="R666" s="76"/>
      <c r="S666" s="197"/>
      <c r="T666" s="198"/>
      <c r="U666" s="197"/>
      <c r="V666" s="198"/>
      <c r="W666" s="198"/>
      <c r="X666" s="198"/>
      <c r="Y666" s="198"/>
      <c r="Z666" s="198"/>
    </row>
    <row r="667">
      <c r="A667" s="403"/>
      <c r="B667" s="198"/>
      <c r="C667" s="403"/>
      <c r="D667" s="142"/>
      <c r="E667" s="403"/>
      <c r="F667" s="198"/>
      <c r="G667" s="403"/>
      <c r="H667" s="198"/>
      <c r="I667" s="411"/>
      <c r="J667" s="142"/>
      <c r="K667" s="411"/>
      <c r="L667" s="142"/>
      <c r="M667" s="411"/>
      <c r="N667" s="142"/>
      <c r="O667" s="403"/>
      <c r="P667" s="198"/>
      <c r="Q667" s="412"/>
      <c r="R667" s="76"/>
      <c r="S667" s="197"/>
      <c r="T667" s="198"/>
      <c r="U667" s="197"/>
      <c r="V667" s="198"/>
      <c r="W667" s="198"/>
      <c r="X667" s="198"/>
      <c r="Y667" s="198"/>
      <c r="Z667" s="198"/>
    </row>
    <row r="668">
      <c r="A668" s="403"/>
      <c r="B668" s="198"/>
      <c r="C668" s="403"/>
      <c r="D668" s="142"/>
      <c r="E668" s="403"/>
      <c r="F668" s="198"/>
      <c r="G668" s="403"/>
      <c r="H668" s="198"/>
      <c r="I668" s="411"/>
      <c r="J668" s="142"/>
      <c r="K668" s="411"/>
      <c r="L668" s="142"/>
      <c r="M668" s="411"/>
      <c r="N668" s="142"/>
      <c r="O668" s="403"/>
      <c r="P668" s="198"/>
      <c r="Q668" s="412"/>
      <c r="R668" s="76"/>
      <c r="S668" s="197"/>
      <c r="T668" s="198"/>
      <c r="U668" s="197"/>
      <c r="V668" s="198"/>
      <c r="W668" s="198"/>
      <c r="X668" s="198"/>
      <c r="Y668" s="198"/>
      <c r="Z668" s="198"/>
    </row>
    <row r="669">
      <c r="A669" s="403"/>
      <c r="B669" s="198"/>
      <c r="C669" s="403"/>
      <c r="D669" s="142"/>
      <c r="E669" s="403"/>
      <c r="F669" s="198"/>
      <c r="G669" s="403"/>
      <c r="H669" s="198"/>
      <c r="I669" s="411"/>
      <c r="J669" s="142"/>
      <c r="K669" s="411"/>
      <c r="L669" s="142"/>
      <c r="M669" s="411"/>
      <c r="N669" s="142"/>
      <c r="O669" s="403"/>
      <c r="P669" s="198"/>
      <c r="Q669" s="412"/>
      <c r="R669" s="76"/>
      <c r="S669" s="197"/>
      <c r="T669" s="198"/>
      <c r="U669" s="197"/>
      <c r="V669" s="198"/>
      <c r="W669" s="198"/>
      <c r="X669" s="198"/>
      <c r="Y669" s="198"/>
      <c r="Z669" s="198"/>
    </row>
    <row r="670">
      <c r="A670" s="403"/>
      <c r="B670" s="198"/>
      <c r="C670" s="403"/>
      <c r="D670" s="142"/>
      <c r="E670" s="403"/>
      <c r="F670" s="198"/>
      <c r="G670" s="403"/>
      <c r="H670" s="198"/>
      <c r="I670" s="411"/>
      <c r="J670" s="142"/>
      <c r="K670" s="411"/>
      <c r="L670" s="142"/>
      <c r="M670" s="411"/>
      <c r="N670" s="142"/>
      <c r="O670" s="403"/>
      <c r="P670" s="198"/>
      <c r="Q670" s="412"/>
      <c r="R670" s="76"/>
      <c r="S670" s="197"/>
      <c r="T670" s="198"/>
      <c r="U670" s="197"/>
      <c r="V670" s="198"/>
      <c r="W670" s="198"/>
      <c r="X670" s="198"/>
      <c r="Y670" s="198"/>
      <c r="Z670" s="198"/>
    </row>
    <row r="671">
      <c r="A671" s="403"/>
      <c r="B671" s="198"/>
      <c r="C671" s="403"/>
      <c r="D671" s="142"/>
      <c r="E671" s="403"/>
      <c r="F671" s="198"/>
      <c r="G671" s="403"/>
      <c r="H671" s="198"/>
      <c r="I671" s="411"/>
      <c r="J671" s="142"/>
      <c r="K671" s="411"/>
      <c r="L671" s="142"/>
      <c r="M671" s="411"/>
      <c r="N671" s="142"/>
      <c r="O671" s="403"/>
      <c r="P671" s="198"/>
      <c r="Q671" s="412"/>
      <c r="R671" s="76"/>
      <c r="S671" s="197"/>
      <c r="T671" s="198"/>
      <c r="U671" s="197"/>
      <c r="V671" s="198"/>
      <c r="W671" s="198"/>
      <c r="X671" s="198"/>
      <c r="Y671" s="198"/>
      <c r="Z671" s="198"/>
    </row>
    <row r="672">
      <c r="A672" s="403"/>
      <c r="B672" s="198"/>
      <c r="C672" s="403"/>
      <c r="D672" s="142"/>
      <c r="E672" s="403"/>
      <c r="F672" s="198"/>
      <c r="G672" s="403"/>
      <c r="H672" s="198"/>
      <c r="I672" s="411"/>
      <c r="J672" s="142"/>
      <c r="K672" s="411"/>
      <c r="L672" s="142"/>
      <c r="M672" s="411"/>
      <c r="N672" s="142"/>
      <c r="O672" s="403"/>
      <c r="P672" s="198"/>
      <c r="Q672" s="412"/>
      <c r="R672" s="76"/>
      <c r="S672" s="197"/>
      <c r="T672" s="198"/>
      <c r="U672" s="197"/>
      <c r="V672" s="198"/>
      <c r="W672" s="198"/>
      <c r="X672" s="198"/>
      <c r="Y672" s="198"/>
      <c r="Z672" s="198"/>
    </row>
    <row r="673">
      <c r="A673" s="403"/>
      <c r="B673" s="198"/>
      <c r="C673" s="403"/>
      <c r="D673" s="142"/>
      <c r="E673" s="403"/>
      <c r="F673" s="198"/>
      <c r="G673" s="403"/>
      <c r="H673" s="198"/>
      <c r="I673" s="411"/>
      <c r="J673" s="142"/>
      <c r="K673" s="411"/>
      <c r="L673" s="142"/>
      <c r="M673" s="411"/>
      <c r="N673" s="142"/>
      <c r="O673" s="403"/>
      <c r="P673" s="198"/>
      <c r="Q673" s="412"/>
      <c r="R673" s="76"/>
      <c r="S673" s="197"/>
      <c r="T673" s="198"/>
      <c r="U673" s="197"/>
      <c r="V673" s="198"/>
      <c r="W673" s="198"/>
      <c r="X673" s="198"/>
      <c r="Y673" s="198"/>
      <c r="Z673" s="198"/>
    </row>
    <row r="674">
      <c r="A674" s="403"/>
      <c r="B674" s="198"/>
      <c r="C674" s="403"/>
      <c r="D674" s="142"/>
      <c r="E674" s="403"/>
      <c r="F674" s="198"/>
      <c r="G674" s="403"/>
      <c r="H674" s="198"/>
      <c r="I674" s="411"/>
      <c r="J674" s="142"/>
      <c r="K674" s="411"/>
      <c r="L674" s="142"/>
      <c r="M674" s="411"/>
      <c r="N674" s="142"/>
      <c r="O674" s="403"/>
      <c r="P674" s="198"/>
      <c r="Q674" s="412"/>
      <c r="R674" s="76"/>
      <c r="S674" s="197"/>
      <c r="T674" s="198"/>
      <c r="U674" s="197"/>
      <c r="V674" s="198"/>
      <c r="W674" s="198"/>
      <c r="X674" s="198"/>
      <c r="Y674" s="198"/>
      <c r="Z674" s="198"/>
    </row>
    <row r="675">
      <c r="A675" s="403"/>
      <c r="B675" s="198"/>
      <c r="C675" s="403"/>
      <c r="D675" s="142"/>
      <c r="E675" s="403"/>
      <c r="F675" s="198"/>
      <c r="G675" s="403"/>
      <c r="H675" s="198"/>
      <c r="I675" s="411"/>
      <c r="J675" s="142"/>
      <c r="K675" s="411"/>
      <c r="L675" s="142"/>
      <c r="M675" s="411"/>
      <c r="N675" s="142"/>
      <c r="O675" s="403"/>
      <c r="P675" s="198"/>
      <c r="Q675" s="412"/>
      <c r="R675" s="76"/>
      <c r="S675" s="197"/>
      <c r="T675" s="198"/>
      <c r="U675" s="197"/>
      <c r="V675" s="198"/>
      <c r="W675" s="198"/>
      <c r="X675" s="198"/>
      <c r="Y675" s="198"/>
      <c r="Z675" s="198"/>
    </row>
    <row r="676">
      <c r="A676" s="403"/>
      <c r="B676" s="198"/>
      <c r="C676" s="403"/>
      <c r="D676" s="142"/>
      <c r="E676" s="403"/>
      <c r="F676" s="198"/>
      <c r="G676" s="403"/>
      <c r="H676" s="198"/>
      <c r="I676" s="411"/>
      <c r="J676" s="142"/>
      <c r="K676" s="411"/>
      <c r="L676" s="142"/>
      <c r="M676" s="411"/>
      <c r="N676" s="142"/>
      <c r="O676" s="403"/>
      <c r="P676" s="198"/>
      <c r="Q676" s="412"/>
      <c r="R676" s="76"/>
      <c r="S676" s="197"/>
      <c r="T676" s="198"/>
      <c r="U676" s="197"/>
      <c r="V676" s="198"/>
      <c r="W676" s="198"/>
      <c r="X676" s="198"/>
      <c r="Y676" s="198"/>
      <c r="Z676" s="198"/>
    </row>
    <row r="677">
      <c r="A677" s="403"/>
      <c r="B677" s="198"/>
      <c r="C677" s="403"/>
      <c r="D677" s="142"/>
      <c r="E677" s="403"/>
      <c r="F677" s="198"/>
      <c r="G677" s="403"/>
      <c r="H677" s="198"/>
      <c r="I677" s="411"/>
      <c r="J677" s="142"/>
      <c r="K677" s="411"/>
      <c r="L677" s="142"/>
      <c r="M677" s="411"/>
      <c r="N677" s="142"/>
      <c r="O677" s="403"/>
      <c r="P677" s="198"/>
      <c r="Q677" s="412"/>
      <c r="R677" s="76"/>
      <c r="S677" s="197"/>
      <c r="T677" s="198"/>
      <c r="U677" s="197"/>
      <c r="V677" s="198"/>
      <c r="W677" s="198"/>
      <c r="X677" s="198"/>
      <c r="Y677" s="198"/>
      <c r="Z677" s="198"/>
    </row>
    <row r="678">
      <c r="A678" s="403"/>
      <c r="B678" s="198"/>
      <c r="C678" s="403"/>
      <c r="D678" s="142"/>
      <c r="E678" s="403"/>
      <c r="F678" s="198"/>
      <c r="G678" s="403"/>
      <c r="H678" s="198"/>
      <c r="I678" s="411"/>
      <c r="J678" s="142"/>
      <c r="K678" s="411"/>
      <c r="L678" s="142"/>
      <c r="M678" s="411"/>
      <c r="N678" s="142"/>
      <c r="O678" s="403"/>
      <c r="P678" s="198"/>
      <c r="Q678" s="412"/>
      <c r="R678" s="76"/>
      <c r="S678" s="197"/>
      <c r="T678" s="198"/>
      <c r="U678" s="197"/>
      <c r="V678" s="198"/>
      <c r="W678" s="198"/>
      <c r="X678" s="198"/>
      <c r="Y678" s="198"/>
      <c r="Z678" s="198"/>
    </row>
    <row r="679">
      <c r="A679" s="403"/>
      <c r="B679" s="198"/>
      <c r="C679" s="403"/>
      <c r="D679" s="142"/>
      <c r="E679" s="403"/>
      <c r="F679" s="198"/>
      <c r="G679" s="403"/>
      <c r="H679" s="198"/>
      <c r="I679" s="411"/>
      <c r="J679" s="142"/>
      <c r="K679" s="411"/>
      <c r="L679" s="142"/>
      <c r="M679" s="411"/>
      <c r="N679" s="142"/>
      <c r="O679" s="403"/>
      <c r="P679" s="198"/>
      <c r="Q679" s="412"/>
      <c r="R679" s="76"/>
      <c r="S679" s="197"/>
      <c r="T679" s="198"/>
      <c r="U679" s="197"/>
      <c r="V679" s="198"/>
      <c r="W679" s="198"/>
      <c r="X679" s="198"/>
      <c r="Y679" s="198"/>
      <c r="Z679" s="198"/>
    </row>
    <row r="680">
      <c r="A680" s="403"/>
      <c r="B680" s="198"/>
      <c r="C680" s="403"/>
      <c r="D680" s="142"/>
      <c r="E680" s="403"/>
      <c r="F680" s="198"/>
      <c r="G680" s="403"/>
      <c r="H680" s="198"/>
      <c r="I680" s="411"/>
      <c r="J680" s="142"/>
      <c r="K680" s="411"/>
      <c r="L680" s="142"/>
      <c r="M680" s="411"/>
      <c r="N680" s="142"/>
      <c r="O680" s="403"/>
      <c r="P680" s="198"/>
      <c r="Q680" s="412"/>
      <c r="R680" s="76"/>
      <c r="S680" s="197"/>
      <c r="T680" s="198"/>
      <c r="U680" s="197"/>
      <c r="V680" s="198"/>
      <c r="W680" s="198"/>
      <c r="X680" s="198"/>
      <c r="Y680" s="198"/>
      <c r="Z680" s="198"/>
    </row>
    <row r="681">
      <c r="A681" s="403"/>
      <c r="B681" s="198"/>
      <c r="C681" s="403"/>
      <c r="D681" s="142"/>
      <c r="E681" s="403"/>
      <c r="F681" s="198"/>
      <c r="G681" s="403"/>
      <c r="H681" s="198"/>
      <c r="I681" s="411"/>
      <c r="J681" s="142"/>
      <c r="K681" s="411"/>
      <c r="L681" s="142"/>
      <c r="M681" s="411"/>
      <c r="N681" s="142"/>
      <c r="O681" s="403"/>
      <c r="P681" s="198"/>
      <c r="Q681" s="412"/>
      <c r="R681" s="76"/>
      <c r="S681" s="197"/>
      <c r="T681" s="198"/>
      <c r="U681" s="197"/>
      <c r="V681" s="198"/>
      <c r="W681" s="198"/>
      <c r="X681" s="198"/>
      <c r="Y681" s="198"/>
      <c r="Z681" s="198"/>
    </row>
    <row r="682">
      <c r="A682" s="403"/>
      <c r="B682" s="198"/>
      <c r="C682" s="403"/>
      <c r="D682" s="142"/>
      <c r="E682" s="403"/>
      <c r="F682" s="198"/>
      <c r="G682" s="403"/>
      <c r="H682" s="198"/>
      <c r="I682" s="411"/>
      <c r="J682" s="142"/>
      <c r="K682" s="411"/>
      <c r="L682" s="142"/>
      <c r="M682" s="411"/>
      <c r="N682" s="142"/>
      <c r="O682" s="403"/>
      <c r="P682" s="198"/>
      <c r="Q682" s="412"/>
      <c r="R682" s="76"/>
      <c r="S682" s="197"/>
      <c r="T682" s="198"/>
      <c r="U682" s="197"/>
      <c r="V682" s="198"/>
      <c r="W682" s="198"/>
      <c r="X682" s="198"/>
      <c r="Y682" s="198"/>
      <c r="Z682" s="198"/>
    </row>
    <row r="683">
      <c r="A683" s="403"/>
      <c r="B683" s="198"/>
      <c r="C683" s="403"/>
      <c r="D683" s="142"/>
      <c r="E683" s="403"/>
      <c r="F683" s="198"/>
      <c r="G683" s="403"/>
      <c r="H683" s="198"/>
      <c r="I683" s="411"/>
      <c r="J683" s="142"/>
      <c r="K683" s="411"/>
      <c r="L683" s="142"/>
      <c r="M683" s="411"/>
      <c r="N683" s="142"/>
      <c r="O683" s="403"/>
      <c r="P683" s="198"/>
      <c r="Q683" s="412"/>
      <c r="R683" s="76"/>
      <c r="S683" s="197"/>
      <c r="T683" s="198"/>
      <c r="U683" s="197"/>
      <c r="V683" s="198"/>
      <c r="W683" s="198"/>
      <c r="X683" s="198"/>
      <c r="Y683" s="198"/>
      <c r="Z683" s="198"/>
    </row>
    <row r="684">
      <c r="A684" s="403"/>
      <c r="B684" s="198"/>
      <c r="C684" s="403"/>
      <c r="D684" s="142"/>
      <c r="E684" s="403"/>
      <c r="F684" s="198"/>
      <c r="G684" s="403"/>
      <c r="H684" s="198"/>
      <c r="I684" s="411"/>
      <c r="J684" s="142"/>
      <c r="K684" s="411"/>
      <c r="L684" s="142"/>
      <c r="M684" s="411"/>
      <c r="N684" s="142"/>
      <c r="O684" s="403"/>
      <c r="P684" s="198"/>
      <c r="Q684" s="412"/>
      <c r="R684" s="76"/>
      <c r="S684" s="197"/>
      <c r="T684" s="198"/>
      <c r="U684" s="197"/>
      <c r="V684" s="198"/>
      <c r="W684" s="198"/>
      <c r="X684" s="198"/>
      <c r="Y684" s="198"/>
      <c r="Z684" s="198"/>
    </row>
    <row r="685">
      <c r="A685" s="403"/>
      <c r="B685" s="198"/>
      <c r="C685" s="403"/>
      <c r="D685" s="142"/>
      <c r="E685" s="403"/>
      <c r="F685" s="198"/>
      <c r="G685" s="403"/>
      <c r="H685" s="198"/>
      <c r="I685" s="411"/>
      <c r="J685" s="142"/>
      <c r="K685" s="411"/>
      <c r="L685" s="142"/>
      <c r="M685" s="411"/>
      <c r="N685" s="142"/>
      <c r="O685" s="403"/>
      <c r="P685" s="198"/>
      <c r="Q685" s="412"/>
      <c r="R685" s="76"/>
      <c r="S685" s="197"/>
      <c r="T685" s="198"/>
      <c r="U685" s="197"/>
      <c r="V685" s="198"/>
      <c r="W685" s="198"/>
      <c r="X685" s="198"/>
      <c r="Y685" s="198"/>
      <c r="Z685" s="198"/>
    </row>
    <row r="686">
      <c r="A686" s="403"/>
      <c r="B686" s="198"/>
      <c r="C686" s="403"/>
      <c r="D686" s="142"/>
      <c r="E686" s="403"/>
      <c r="F686" s="198"/>
      <c r="G686" s="403"/>
      <c r="H686" s="198"/>
      <c r="I686" s="411"/>
      <c r="J686" s="142"/>
      <c r="K686" s="411"/>
      <c r="L686" s="142"/>
      <c r="M686" s="411"/>
      <c r="N686" s="142"/>
      <c r="O686" s="403"/>
      <c r="P686" s="198"/>
      <c r="Q686" s="412"/>
      <c r="R686" s="76"/>
      <c r="S686" s="197"/>
      <c r="T686" s="198"/>
      <c r="U686" s="197"/>
      <c r="V686" s="198"/>
      <c r="W686" s="198"/>
      <c r="X686" s="198"/>
      <c r="Y686" s="198"/>
      <c r="Z686" s="198"/>
    </row>
    <row r="687">
      <c r="A687" s="403"/>
      <c r="B687" s="198"/>
      <c r="C687" s="403"/>
      <c r="D687" s="142"/>
      <c r="E687" s="403"/>
      <c r="F687" s="198"/>
      <c r="G687" s="403"/>
      <c r="H687" s="198"/>
      <c r="I687" s="411"/>
      <c r="J687" s="142"/>
      <c r="K687" s="411"/>
      <c r="L687" s="142"/>
      <c r="M687" s="411"/>
      <c r="N687" s="142"/>
      <c r="O687" s="403"/>
      <c r="P687" s="198"/>
      <c r="Q687" s="412"/>
      <c r="R687" s="76"/>
      <c r="S687" s="197"/>
      <c r="T687" s="198"/>
      <c r="U687" s="197"/>
      <c r="V687" s="198"/>
      <c r="W687" s="198"/>
      <c r="X687" s="198"/>
      <c r="Y687" s="198"/>
      <c r="Z687" s="198"/>
    </row>
    <row r="688">
      <c r="A688" s="403"/>
      <c r="B688" s="198"/>
      <c r="C688" s="403"/>
      <c r="D688" s="142"/>
      <c r="E688" s="403"/>
      <c r="F688" s="198"/>
      <c r="G688" s="403"/>
      <c r="H688" s="198"/>
      <c r="I688" s="411"/>
      <c r="J688" s="142"/>
      <c r="K688" s="411"/>
      <c r="L688" s="142"/>
      <c r="M688" s="411"/>
      <c r="N688" s="142"/>
      <c r="O688" s="403"/>
      <c r="P688" s="198"/>
      <c r="Q688" s="412"/>
      <c r="R688" s="76"/>
      <c r="S688" s="197"/>
      <c r="T688" s="198"/>
      <c r="U688" s="197"/>
      <c r="V688" s="198"/>
      <c r="W688" s="198"/>
      <c r="X688" s="198"/>
      <c r="Y688" s="198"/>
      <c r="Z688" s="198"/>
    </row>
    <row r="689">
      <c r="A689" s="403"/>
      <c r="B689" s="198"/>
      <c r="C689" s="403"/>
      <c r="D689" s="142"/>
      <c r="E689" s="403"/>
      <c r="F689" s="198"/>
      <c r="G689" s="403"/>
      <c r="H689" s="198"/>
      <c r="I689" s="411"/>
      <c r="J689" s="142"/>
      <c r="K689" s="411"/>
      <c r="L689" s="142"/>
      <c r="M689" s="411"/>
      <c r="N689" s="142"/>
      <c r="O689" s="403"/>
      <c r="P689" s="198"/>
      <c r="Q689" s="412"/>
      <c r="R689" s="76"/>
      <c r="S689" s="197"/>
      <c r="T689" s="198"/>
      <c r="U689" s="197"/>
      <c r="V689" s="198"/>
      <c r="W689" s="198"/>
      <c r="X689" s="198"/>
      <c r="Y689" s="198"/>
      <c r="Z689" s="198"/>
    </row>
    <row r="690">
      <c r="A690" s="403"/>
      <c r="B690" s="198"/>
      <c r="C690" s="403"/>
      <c r="D690" s="142"/>
      <c r="E690" s="403"/>
      <c r="F690" s="198"/>
      <c r="G690" s="403"/>
      <c r="H690" s="198"/>
      <c r="I690" s="411"/>
      <c r="J690" s="142"/>
      <c r="K690" s="411"/>
      <c r="L690" s="142"/>
      <c r="M690" s="411"/>
      <c r="N690" s="142"/>
      <c r="O690" s="403"/>
      <c r="P690" s="198"/>
      <c r="Q690" s="412"/>
      <c r="R690" s="76"/>
      <c r="S690" s="197"/>
      <c r="T690" s="198"/>
      <c r="U690" s="197"/>
      <c r="V690" s="198"/>
      <c r="W690" s="198"/>
      <c r="X690" s="198"/>
      <c r="Y690" s="198"/>
      <c r="Z690" s="198"/>
    </row>
    <row r="691">
      <c r="A691" s="403"/>
      <c r="B691" s="198"/>
      <c r="C691" s="403"/>
      <c r="D691" s="142"/>
      <c r="E691" s="403"/>
      <c r="F691" s="198"/>
      <c r="G691" s="403"/>
      <c r="H691" s="198"/>
      <c r="I691" s="411"/>
      <c r="J691" s="142"/>
      <c r="K691" s="411"/>
      <c r="L691" s="142"/>
      <c r="M691" s="411"/>
      <c r="N691" s="142"/>
      <c r="O691" s="403"/>
      <c r="P691" s="198"/>
      <c r="Q691" s="412"/>
      <c r="R691" s="76"/>
      <c r="S691" s="197"/>
      <c r="T691" s="198"/>
      <c r="U691" s="197"/>
      <c r="V691" s="198"/>
      <c r="W691" s="198"/>
      <c r="X691" s="198"/>
      <c r="Y691" s="198"/>
      <c r="Z691" s="198"/>
    </row>
    <row r="692">
      <c r="A692" s="403"/>
      <c r="B692" s="198"/>
      <c r="C692" s="403"/>
      <c r="D692" s="142"/>
      <c r="E692" s="403"/>
      <c r="F692" s="198"/>
      <c r="G692" s="403"/>
      <c r="H692" s="198"/>
      <c r="I692" s="411"/>
      <c r="J692" s="142"/>
      <c r="K692" s="411"/>
      <c r="L692" s="142"/>
      <c r="M692" s="411"/>
      <c r="N692" s="142"/>
      <c r="O692" s="403"/>
      <c r="P692" s="198"/>
      <c r="Q692" s="412"/>
      <c r="R692" s="76"/>
      <c r="S692" s="197"/>
      <c r="T692" s="198"/>
      <c r="U692" s="197"/>
      <c r="V692" s="198"/>
      <c r="W692" s="198"/>
      <c r="X692" s="198"/>
      <c r="Y692" s="198"/>
      <c r="Z692" s="198"/>
    </row>
    <row r="693">
      <c r="A693" s="403"/>
      <c r="B693" s="198"/>
      <c r="C693" s="403"/>
      <c r="D693" s="142"/>
      <c r="E693" s="403"/>
      <c r="F693" s="198"/>
      <c r="G693" s="403"/>
      <c r="H693" s="198"/>
      <c r="I693" s="411"/>
      <c r="J693" s="142"/>
      <c r="K693" s="411"/>
      <c r="L693" s="142"/>
      <c r="M693" s="411"/>
      <c r="N693" s="142"/>
      <c r="O693" s="403"/>
      <c r="P693" s="198"/>
      <c r="Q693" s="412"/>
      <c r="R693" s="76"/>
      <c r="S693" s="197"/>
      <c r="T693" s="198"/>
      <c r="U693" s="197"/>
      <c r="V693" s="198"/>
      <c r="W693" s="198"/>
      <c r="X693" s="198"/>
      <c r="Y693" s="198"/>
      <c r="Z693" s="198"/>
    </row>
    <row r="694">
      <c r="A694" s="403"/>
      <c r="B694" s="198"/>
      <c r="C694" s="403"/>
      <c r="D694" s="142"/>
      <c r="E694" s="403"/>
      <c r="F694" s="198"/>
      <c r="G694" s="403"/>
      <c r="H694" s="198"/>
      <c r="I694" s="411"/>
      <c r="J694" s="142"/>
      <c r="K694" s="411"/>
      <c r="L694" s="142"/>
      <c r="M694" s="411"/>
      <c r="N694" s="142"/>
      <c r="O694" s="403"/>
      <c r="P694" s="198"/>
      <c r="Q694" s="412"/>
      <c r="R694" s="76"/>
      <c r="S694" s="197"/>
      <c r="T694" s="198"/>
      <c r="U694" s="197"/>
      <c r="V694" s="198"/>
      <c r="W694" s="198"/>
      <c r="X694" s="198"/>
      <c r="Y694" s="198"/>
      <c r="Z694" s="198"/>
    </row>
    <row r="695">
      <c r="A695" s="403"/>
      <c r="B695" s="198"/>
      <c r="C695" s="403"/>
      <c r="D695" s="142"/>
      <c r="E695" s="403"/>
      <c r="F695" s="198"/>
      <c r="G695" s="403"/>
      <c r="H695" s="198"/>
      <c r="I695" s="411"/>
      <c r="J695" s="142"/>
      <c r="K695" s="411"/>
      <c r="L695" s="142"/>
      <c r="M695" s="411"/>
      <c r="N695" s="142"/>
      <c r="O695" s="403"/>
      <c r="P695" s="198"/>
      <c r="Q695" s="412"/>
      <c r="R695" s="76"/>
      <c r="S695" s="197"/>
      <c r="T695" s="198"/>
      <c r="U695" s="197"/>
      <c r="V695" s="198"/>
      <c r="W695" s="198"/>
      <c r="X695" s="198"/>
      <c r="Y695" s="198"/>
      <c r="Z695" s="198"/>
    </row>
    <row r="696">
      <c r="A696" s="403"/>
      <c r="B696" s="198"/>
      <c r="C696" s="403"/>
      <c r="D696" s="142"/>
      <c r="E696" s="403"/>
      <c r="F696" s="198"/>
      <c r="G696" s="403"/>
      <c r="H696" s="198"/>
      <c r="I696" s="411"/>
      <c r="J696" s="142"/>
      <c r="K696" s="411"/>
      <c r="L696" s="142"/>
      <c r="M696" s="411"/>
      <c r="N696" s="142"/>
      <c r="O696" s="403"/>
      <c r="P696" s="198"/>
      <c r="Q696" s="412"/>
      <c r="R696" s="76"/>
      <c r="S696" s="197"/>
      <c r="T696" s="198"/>
      <c r="U696" s="197"/>
      <c r="V696" s="198"/>
      <c r="W696" s="198"/>
      <c r="X696" s="198"/>
      <c r="Y696" s="198"/>
      <c r="Z696" s="198"/>
    </row>
    <row r="697">
      <c r="A697" s="403"/>
      <c r="B697" s="198"/>
      <c r="C697" s="403"/>
      <c r="D697" s="142"/>
      <c r="E697" s="403"/>
      <c r="F697" s="198"/>
      <c r="G697" s="403"/>
      <c r="H697" s="198"/>
      <c r="I697" s="411"/>
      <c r="J697" s="142"/>
      <c r="K697" s="411"/>
      <c r="L697" s="142"/>
      <c r="M697" s="411"/>
      <c r="N697" s="142"/>
      <c r="O697" s="403"/>
      <c r="P697" s="198"/>
      <c r="Q697" s="412"/>
      <c r="R697" s="76"/>
      <c r="S697" s="197"/>
      <c r="T697" s="198"/>
      <c r="U697" s="197"/>
      <c r="V697" s="198"/>
      <c r="W697" s="198"/>
      <c r="X697" s="198"/>
      <c r="Y697" s="198"/>
      <c r="Z697" s="198"/>
    </row>
    <row r="698">
      <c r="A698" s="403"/>
      <c r="B698" s="198"/>
      <c r="C698" s="403"/>
      <c r="D698" s="142"/>
      <c r="E698" s="403"/>
      <c r="F698" s="198"/>
      <c r="G698" s="403"/>
      <c r="H698" s="198"/>
      <c r="I698" s="411"/>
      <c r="J698" s="142"/>
      <c r="K698" s="411"/>
      <c r="L698" s="142"/>
      <c r="M698" s="411"/>
      <c r="N698" s="142"/>
      <c r="O698" s="403"/>
      <c r="P698" s="198"/>
      <c r="Q698" s="412"/>
      <c r="R698" s="76"/>
      <c r="S698" s="197"/>
      <c r="T698" s="198"/>
      <c r="U698" s="197"/>
      <c r="V698" s="198"/>
      <c r="W698" s="198"/>
      <c r="X698" s="198"/>
      <c r="Y698" s="198"/>
      <c r="Z698" s="198"/>
    </row>
    <row r="699">
      <c r="A699" s="403"/>
      <c r="B699" s="198"/>
      <c r="C699" s="403"/>
      <c r="D699" s="142"/>
      <c r="E699" s="403"/>
      <c r="F699" s="198"/>
      <c r="G699" s="403"/>
      <c r="H699" s="198"/>
      <c r="I699" s="411"/>
      <c r="J699" s="142"/>
      <c r="K699" s="411"/>
      <c r="L699" s="142"/>
      <c r="M699" s="411"/>
      <c r="N699" s="142"/>
      <c r="O699" s="403"/>
      <c r="P699" s="198"/>
      <c r="Q699" s="412"/>
      <c r="R699" s="76"/>
      <c r="S699" s="197"/>
      <c r="T699" s="198"/>
      <c r="U699" s="197"/>
      <c r="V699" s="198"/>
      <c r="W699" s="198"/>
      <c r="X699" s="198"/>
      <c r="Y699" s="198"/>
      <c r="Z699" s="198"/>
    </row>
    <row r="700">
      <c r="A700" s="403"/>
      <c r="B700" s="198"/>
      <c r="C700" s="403"/>
      <c r="D700" s="142"/>
      <c r="E700" s="403"/>
      <c r="F700" s="198"/>
      <c r="G700" s="403"/>
      <c r="H700" s="198"/>
      <c r="I700" s="411"/>
      <c r="J700" s="142"/>
      <c r="K700" s="411"/>
      <c r="L700" s="142"/>
      <c r="M700" s="411"/>
      <c r="N700" s="142"/>
      <c r="O700" s="403"/>
      <c r="P700" s="198"/>
      <c r="Q700" s="412"/>
      <c r="R700" s="76"/>
      <c r="S700" s="197"/>
      <c r="T700" s="198"/>
      <c r="U700" s="197"/>
      <c r="V700" s="198"/>
      <c r="W700" s="198"/>
      <c r="X700" s="198"/>
      <c r="Y700" s="198"/>
      <c r="Z700" s="198"/>
    </row>
    <row r="701">
      <c r="A701" s="403"/>
      <c r="B701" s="198"/>
      <c r="C701" s="403"/>
      <c r="D701" s="142"/>
      <c r="E701" s="403"/>
      <c r="F701" s="198"/>
      <c r="G701" s="403"/>
      <c r="H701" s="198"/>
      <c r="I701" s="411"/>
      <c r="J701" s="142"/>
      <c r="K701" s="411"/>
      <c r="L701" s="142"/>
      <c r="M701" s="411"/>
      <c r="N701" s="142"/>
      <c r="O701" s="403"/>
      <c r="P701" s="198"/>
      <c r="Q701" s="412"/>
      <c r="R701" s="76"/>
      <c r="S701" s="197"/>
      <c r="T701" s="198"/>
      <c r="U701" s="197"/>
      <c r="V701" s="198"/>
      <c r="W701" s="198"/>
      <c r="X701" s="198"/>
      <c r="Y701" s="198"/>
      <c r="Z701" s="198"/>
    </row>
    <row r="702">
      <c r="A702" s="403"/>
      <c r="B702" s="198"/>
      <c r="C702" s="403"/>
      <c r="D702" s="142"/>
      <c r="E702" s="403"/>
      <c r="F702" s="198"/>
      <c r="G702" s="403"/>
      <c r="H702" s="198"/>
      <c r="I702" s="411"/>
      <c r="J702" s="142"/>
      <c r="K702" s="411"/>
      <c r="L702" s="142"/>
      <c r="M702" s="411"/>
      <c r="N702" s="142"/>
      <c r="O702" s="403"/>
      <c r="P702" s="198"/>
      <c r="Q702" s="412"/>
      <c r="R702" s="76"/>
      <c r="S702" s="197"/>
      <c r="T702" s="198"/>
      <c r="U702" s="197"/>
      <c r="V702" s="198"/>
      <c r="W702" s="198"/>
      <c r="X702" s="198"/>
      <c r="Y702" s="198"/>
      <c r="Z702" s="198"/>
    </row>
    <row r="703">
      <c r="A703" s="403"/>
      <c r="B703" s="198"/>
      <c r="C703" s="403"/>
      <c r="D703" s="142"/>
      <c r="E703" s="403"/>
      <c r="F703" s="198"/>
      <c r="G703" s="403"/>
      <c r="H703" s="198"/>
      <c r="I703" s="411"/>
      <c r="J703" s="142"/>
      <c r="K703" s="411"/>
      <c r="L703" s="142"/>
      <c r="M703" s="411"/>
      <c r="N703" s="142"/>
      <c r="O703" s="403"/>
      <c r="P703" s="198"/>
      <c r="Q703" s="412"/>
      <c r="R703" s="76"/>
      <c r="S703" s="197"/>
      <c r="T703" s="198"/>
      <c r="U703" s="197"/>
      <c r="V703" s="198"/>
      <c r="W703" s="198"/>
      <c r="X703" s="198"/>
      <c r="Y703" s="198"/>
      <c r="Z703" s="198"/>
    </row>
    <row r="704">
      <c r="A704" s="403"/>
      <c r="B704" s="198"/>
      <c r="C704" s="403"/>
      <c r="D704" s="142"/>
      <c r="E704" s="403"/>
      <c r="F704" s="198"/>
      <c r="G704" s="403"/>
      <c r="H704" s="198"/>
      <c r="I704" s="411"/>
      <c r="J704" s="142"/>
      <c r="K704" s="411"/>
      <c r="L704" s="142"/>
      <c r="M704" s="411"/>
      <c r="N704" s="142"/>
      <c r="O704" s="403"/>
      <c r="P704" s="198"/>
      <c r="Q704" s="412"/>
      <c r="R704" s="76"/>
      <c r="S704" s="197"/>
      <c r="T704" s="198"/>
      <c r="U704" s="197"/>
      <c r="V704" s="198"/>
      <c r="W704" s="198"/>
      <c r="X704" s="198"/>
      <c r="Y704" s="198"/>
      <c r="Z704" s="198"/>
    </row>
    <row r="705">
      <c r="A705" s="403"/>
      <c r="B705" s="198"/>
      <c r="C705" s="403"/>
      <c r="D705" s="142"/>
      <c r="E705" s="403"/>
      <c r="F705" s="198"/>
      <c r="G705" s="403"/>
      <c r="H705" s="198"/>
      <c r="I705" s="411"/>
      <c r="J705" s="142"/>
      <c r="K705" s="411"/>
      <c r="L705" s="142"/>
      <c r="M705" s="411"/>
      <c r="N705" s="142"/>
      <c r="O705" s="403"/>
      <c r="P705" s="198"/>
      <c r="Q705" s="412"/>
      <c r="R705" s="76"/>
      <c r="S705" s="197"/>
      <c r="T705" s="198"/>
      <c r="U705" s="197"/>
      <c r="V705" s="198"/>
      <c r="W705" s="198"/>
      <c r="X705" s="198"/>
      <c r="Y705" s="198"/>
      <c r="Z705" s="198"/>
    </row>
    <row r="706">
      <c r="A706" s="403"/>
      <c r="B706" s="198"/>
      <c r="C706" s="403"/>
      <c r="D706" s="142"/>
      <c r="E706" s="403"/>
      <c r="F706" s="198"/>
      <c r="G706" s="403"/>
      <c r="H706" s="198"/>
      <c r="I706" s="411"/>
      <c r="J706" s="142"/>
      <c r="K706" s="411"/>
      <c r="L706" s="142"/>
      <c r="M706" s="411"/>
      <c r="N706" s="142"/>
      <c r="O706" s="403"/>
      <c r="P706" s="198"/>
      <c r="Q706" s="412"/>
      <c r="R706" s="76"/>
      <c r="S706" s="197"/>
      <c r="T706" s="198"/>
      <c r="U706" s="197"/>
      <c r="V706" s="198"/>
      <c r="W706" s="198"/>
      <c r="X706" s="198"/>
      <c r="Y706" s="198"/>
      <c r="Z706" s="198"/>
    </row>
    <row r="707">
      <c r="A707" s="403"/>
      <c r="B707" s="198"/>
      <c r="C707" s="403"/>
      <c r="D707" s="142"/>
      <c r="E707" s="403"/>
      <c r="F707" s="198"/>
      <c r="G707" s="403"/>
      <c r="H707" s="198"/>
      <c r="I707" s="411"/>
      <c r="J707" s="142"/>
      <c r="K707" s="411"/>
      <c r="L707" s="142"/>
      <c r="M707" s="411"/>
      <c r="N707" s="142"/>
      <c r="O707" s="403"/>
      <c r="P707" s="198"/>
      <c r="Q707" s="412"/>
      <c r="R707" s="76"/>
      <c r="S707" s="197"/>
      <c r="T707" s="198"/>
      <c r="U707" s="197"/>
      <c r="V707" s="198"/>
      <c r="W707" s="198"/>
      <c r="X707" s="198"/>
      <c r="Y707" s="198"/>
      <c r="Z707" s="198"/>
    </row>
    <row r="708">
      <c r="A708" s="403"/>
      <c r="B708" s="198"/>
      <c r="C708" s="403"/>
      <c r="D708" s="142"/>
      <c r="E708" s="403"/>
      <c r="F708" s="198"/>
      <c r="G708" s="403"/>
      <c r="H708" s="198"/>
      <c r="I708" s="411"/>
      <c r="J708" s="142"/>
      <c r="K708" s="411"/>
      <c r="L708" s="142"/>
      <c r="M708" s="411"/>
      <c r="N708" s="142"/>
      <c r="O708" s="403"/>
      <c r="P708" s="198"/>
      <c r="Q708" s="412"/>
      <c r="R708" s="76"/>
      <c r="S708" s="197"/>
      <c r="T708" s="198"/>
      <c r="U708" s="197"/>
      <c r="V708" s="198"/>
      <c r="W708" s="198"/>
      <c r="X708" s="198"/>
      <c r="Y708" s="198"/>
      <c r="Z708" s="198"/>
    </row>
    <row r="709">
      <c r="A709" s="403"/>
      <c r="B709" s="198"/>
      <c r="C709" s="403"/>
      <c r="D709" s="142"/>
      <c r="E709" s="403"/>
      <c r="F709" s="198"/>
      <c r="G709" s="403"/>
      <c r="H709" s="198"/>
      <c r="I709" s="411"/>
      <c r="J709" s="142"/>
      <c r="K709" s="411"/>
      <c r="L709" s="142"/>
      <c r="M709" s="411"/>
      <c r="N709" s="142"/>
      <c r="O709" s="403"/>
      <c r="P709" s="198"/>
      <c r="Q709" s="412"/>
      <c r="R709" s="76"/>
      <c r="S709" s="197"/>
      <c r="T709" s="198"/>
      <c r="U709" s="197"/>
      <c r="V709" s="198"/>
      <c r="W709" s="198"/>
      <c r="X709" s="198"/>
      <c r="Y709" s="198"/>
      <c r="Z709" s="198"/>
    </row>
    <row r="710">
      <c r="A710" s="403"/>
      <c r="B710" s="198"/>
      <c r="C710" s="403"/>
      <c r="D710" s="142"/>
      <c r="E710" s="403"/>
      <c r="F710" s="198"/>
      <c r="G710" s="403"/>
      <c r="H710" s="198"/>
      <c r="I710" s="411"/>
      <c r="J710" s="142"/>
      <c r="K710" s="411"/>
      <c r="L710" s="142"/>
      <c r="M710" s="411"/>
      <c r="N710" s="142"/>
      <c r="O710" s="403"/>
      <c r="P710" s="198"/>
      <c r="Q710" s="412"/>
      <c r="R710" s="76"/>
      <c r="S710" s="197"/>
      <c r="T710" s="198"/>
      <c r="U710" s="197"/>
      <c r="V710" s="198"/>
      <c r="W710" s="198"/>
      <c r="X710" s="198"/>
      <c r="Y710" s="198"/>
      <c r="Z710" s="198"/>
    </row>
    <row r="711">
      <c r="A711" s="403"/>
      <c r="B711" s="198"/>
      <c r="C711" s="403"/>
      <c r="D711" s="142"/>
      <c r="E711" s="403"/>
      <c r="F711" s="198"/>
      <c r="G711" s="403"/>
      <c r="H711" s="198"/>
      <c r="I711" s="411"/>
      <c r="J711" s="142"/>
      <c r="K711" s="411"/>
      <c r="L711" s="142"/>
      <c r="M711" s="411"/>
      <c r="N711" s="142"/>
      <c r="O711" s="403"/>
      <c r="P711" s="198"/>
      <c r="Q711" s="412"/>
      <c r="R711" s="76"/>
      <c r="S711" s="197"/>
      <c r="T711" s="198"/>
      <c r="U711" s="197"/>
      <c r="V711" s="198"/>
      <c r="W711" s="198"/>
      <c r="X711" s="198"/>
      <c r="Y711" s="198"/>
      <c r="Z711" s="198"/>
    </row>
    <row r="712">
      <c r="A712" s="403"/>
      <c r="B712" s="198"/>
      <c r="C712" s="403"/>
      <c r="D712" s="142"/>
      <c r="E712" s="403"/>
      <c r="F712" s="198"/>
      <c r="G712" s="403"/>
      <c r="H712" s="198"/>
      <c r="I712" s="411"/>
      <c r="J712" s="142"/>
      <c r="K712" s="411"/>
      <c r="L712" s="142"/>
      <c r="M712" s="411"/>
      <c r="N712" s="142"/>
      <c r="O712" s="403"/>
      <c r="P712" s="198"/>
      <c r="Q712" s="412"/>
      <c r="R712" s="76"/>
      <c r="S712" s="197"/>
      <c r="T712" s="198"/>
      <c r="U712" s="197"/>
      <c r="V712" s="198"/>
      <c r="W712" s="198"/>
      <c r="X712" s="198"/>
      <c r="Y712" s="198"/>
      <c r="Z712" s="198"/>
    </row>
    <row r="713">
      <c r="A713" s="403"/>
      <c r="B713" s="198"/>
      <c r="C713" s="403"/>
      <c r="D713" s="142"/>
      <c r="E713" s="403"/>
      <c r="F713" s="198"/>
      <c r="G713" s="403"/>
      <c r="H713" s="198"/>
      <c r="I713" s="411"/>
      <c r="J713" s="142"/>
      <c r="K713" s="411"/>
      <c r="L713" s="142"/>
      <c r="M713" s="411"/>
      <c r="N713" s="142"/>
      <c r="O713" s="403"/>
      <c r="P713" s="198"/>
      <c r="Q713" s="412"/>
      <c r="R713" s="76"/>
      <c r="S713" s="197"/>
      <c r="T713" s="198"/>
      <c r="U713" s="197"/>
      <c r="V713" s="198"/>
      <c r="W713" s="198"/>
      <c r="X713" s="198"/>
      <c r="Y713" s="198"/>
      <c r="Z713" s="198"/>
    </row>
    <row r="714">
      <c r="A714" s="403"/>
      <c r="B714" s="198"/>
      <c r="C714" s="403"/>
      <c r="D714" s="142"/>
      <c r="E714" s="403"/>
      <c r="F714" s="198"/>
      <c r="G714" s="403"/>
      <c r="H714" s="198"/>
      <c r="I714" s="411"/>
      <c r="J714" s="142"/>
      <c r="K714" s="411"/>
      <c r="L714" s="142"/>
      <c r="M714" s="411"/>
      <c r="N714" s="142"/>
      <c r="O714" s="403"/>
      <c r="P714" s="198"/>
      <c r="Q714" s="412"/>
      <c r="R714" s="76"/>
      <c r="S714" s="197"/>
      <c r="T714" s="198"/>
      <c r="U714" s="197"/>
      <c r="V714" s="198"/>
      <c r="W714" s="198"/>
      <c r="X714" s="198"/>
      <c r="Y714" s="198"/>
      <c r="Z714" s="198"/>
    </row>
    <row r="715">
      <c r="A715" s="403"/>
      <c r="B715" s="198"/>
      <c r="C715" s="403"/>
      <c r="D715" s="142"/>
      <c r="E715" s="403"/>
      <c r="F715" s="198"/>
      <c r="G715" s="403"/>
      <c r="H715" s="198"/>
      <c r="I715" s="411"/>
      <c r="J715" s="142"/>
      <c r="K715" s="411"/>
      <c r="L715" s="142"/>
      <c r="M715" s="411"/>
      <c r="N715" s="142"/>
      <c r="O715" s="403"/>
      <c r="P715" s="198"/>
      <c r="Q715" s="412"/>
      <c r="R715" s="76"/>
      <c r="S715" s="197"/>
      <c r="T715" s="198"/>
      <c r="U715" s="197"/>
      <c r="V715" s="198"/>
      <c r="W715" s="198"/>
      <c r="X715" s="198"/>
      <c r="Y715" s="198"/>
      <c r="Z715" s="198"/>
    </row>
    <row r="716">
      <c r="A716" s="403"/>
      <c r="B716" s="198"/>
      <c r="C716" s="403"/>
      <c r="D716" s="142"/>
      <c r="E716" s="403"/>
      <c r="F716" s="198"/>
      <c r="G716" s="403"/>
      <c r="H716" s="198"/>
      <c r="I716" s="411"/>
      <c r="J716" s="142"/>
      <c r="K716" s="411"/>
      <c r="L716" s="142"/>
      <c r="M716" s="411"/>
      <c r="N716" s="142"/>
      <c r="O716" s="403"/>
      <c r="P716" s="198"/>
      <c r="Q716" s="412"/>
      <c r="R716" s="76"/>
      <c r="S716" s="197"/>
      <c r="T716" s="198"/>
      <c r="U716" s="197"/>
      <c r="V716" s="198"/>
      <c r="W716" s="198"/>
      <c r="X716" s="198"/>
      <c r="Y716" s="198"/>
      <c r="Z716" s="198"/>
    </row>
    <row r="717">
      <c r="A717" s="403"/>
      <c r="B717" s="198"/>
      <c r="C717" s="403"/>
      <c r="D717" s="142"/>
      <c r="E717" s="403"/>
      <c r="F717" s="198"/>
      <c r="G717" s="403"/>
      <c r="H717" s="198"/>
      <c r="I717" s="411"/>
      <c r="J717" s="142"/>
      <c r="K717" s="411"/>
      <c r="L717" s="142"/>
      <c r="M717" s="411"/>
      <c r="N717" s="142"/>
      <c r="O717" s="403"/>
      <c r="P717" s="198"/>
      <c r="Q717" s="412"/>
      <c r="R717" s="76"/>
      <c r="S717" s="197"/>
      <c r="T717" s="198"/>
      <c r="U717" s="197"/>
      <c r="V717" s="198"/>
      <c r="W717" s="198"/>
      <c r="X717" s="198"/>
      <c r="Y717" s="198"/>
      <c r="Z717" s="198"/>
    </row>
    <row r="718">
      <c r="A718" s="403"/>
      <c r="B718" s="198"/>
      <c r="C718" s="403"/>
      <c r="D718" s="142"/>
      <c r="E718" s="403"/>
      <c r="F718" s="198"/>
      <c r="G718" s="403"/>
      <c r="H718" s="198"/>
      <c r="I718" s="411"/>
      <c r="J718" s="142"/>
      <c r="K718" s="411"/>
      <c r="L718" s="142"/>
      <c r="M718" s="411"/>
      <c r="N718" s="142"/>
      <c r="O718" s="403"/>
      <c r="P718" s="198"/>
      <c r="Q718" s="412"/>
      <c r="R718" s="76"/>
      <c r="S718" s="197"/>
      <c r="T718" s="198"/>
      <c r="U718" s="197"/>
      <c r="V718" s="198"/>
      <c r="W718" s="198"/>
      <c r="X718" s="198"/>
      <c r="Y718" s="198"/>
      <c r="Z718" s="198"/>
    </row>
    <row r="719">
      <c r="A719" s="403"/>
      <c r="B719" s="198"/>
      <c r="C719" s="403"/>
      <c r="D719" s="142"/>
      <c r="E719" s="403"/>
      <c r="F719" s="198"/>
      <c r="G719" s="403"/>
      <c r="H719" s="198"/>
      <c r="I719" s="411"/>
      <c r="J719" s="142"/>
      <c r="K719" s="411"/>
      <c r="L719" s="142"/>
      <c r="M719" s="411"/>
      <c r="N719" s="142"/>
      <c r="O719" s="403"/>
      <c r="P719" s="198"/>
      <c r="Q719" s="412"/>
      <c r="R719" s="76"/>
      <c r="S719" s="197"/>
      <c r="T719" s="198"/>
      <c r="U719" s="197"/>
      <c r="V719" s="198"/>
      <c r="W719" s="198"/>
      <c r="X719" s="198"/>
      <c r="Y719" s="198"/>
      <c r="Z719" s="198"/>
    </row>
    <row r="720">
      <c r="A720" s="403"/>
      <c r="B720" s="198"/>
      <c r="C720" s="403"/>
      <c r="D720" s="142"/>
      <c r="E720" s="403"/>
      <c r="F720" s="198"/>
      <c r="G720" s="403"/>
      <c r="H720" s="198"/>
      <c r="I720" s="411"/>
      <c r="J720" s="142"/>
      <c r="K720" s="411"/>
      <c r="L720" s="142"/>
      <c r="M720" s="411"/>
      <c r="N720" s="142"/>
      <c r="O720" s="403"/>
      <c r="P720" s="198"/>
      <c r="Q720" s="412"/>
      <c r="R720" s="76"/>
      <c r="S720" s="197"/>
      <c r="T720" s="198"/>
      <c r="U720" s="197"/>
      <c r="V720" s="198"/>
      <c r="W720" s="198"/>
      <c r="X720" s="198"/>
      <c r="Y720" s="198"/>
      <c r="Z720" s="198"/>
    </row>
    <row r="721">
      <c r="A721" s="403"/>
      <c r="B721" s="198"/>
      <c r="C721" s="403"/>
      <c r="D721" s="142"/>
      <c r="E721" s="403"/>
      <c r="F721" s="198"/>
      <c r="G721" s="403"/>
      <c r="H721" s="198"/>
      <c r="I721" s="411"/>
      <c r="J721" s="142"/>
      <c r="K721" s="411"/>
      <c r="L721" s="142"/>
      <c r="M721" s="411"/>
      <c r="N721" s="142"/>
      <c r="O721" s="403"/>
      <c r="P721" s="198"/>
      <c r="Q721" s="412"/>
      <c r="R721" s="76"/>
      <c r="S721" s="197"/>
      <c r="T721" s="198"/>
      <c r="U721" s="197"/>
      <c r="V721" s="198"/>
      <c r="W721" s="198"/>
      <c r="X721" s="198"/>
      <c r="Y721" s="198"/>
      <c r="Z721" s="198"/>
    </row>
    <row r="722">
      <c r="A722" s="403"/>
      <c r="B722" s="198"/>
      <c r="C722" s="403"/>
      <c r="D722" s="142"/>
      <c r="E722" s="403"/>
      <c r="F722" s="198"/>
      <c r="G722" s="403"/>
      <c r="H722" s="198"/>
      <c r="I722" s="411"/>
      <c r="J722" s="142"/>
      <c r="K722" s="411"/>
      <c r="L722" s="142"/>
      <c r="M722" s="411"/>
      <c r="N722" s="142"/>
      <c r="O722" s="403"/>
      <c r="P722" s="198"/>
      <c r="Q722" s="412"/>
      <c r="R722" s="76"/>
      <c r="S722" s="197"/>
      <c r="T722" s="198"/>
      <c r="U722" s="197"/>
      <c r="V722" s="198"/>
      <c r="W722" s="198"/>
      <c r="X722" s="198"/>
      <c r="Y722" s="198"/>
      <c r="Z722" s="198"/>
    </row>
    <row r="723">
      <c r="A723" s="403"/>
      <c r="B723" s="198"/>
      <c r="C723" s="403"/>
      <c r="D723" s="142"/>
      <c r="E723" s="403"/>
      <c r="F723" s="198"/>
      <c r="G723" s="403"/>
      <c r="H723" s="198"/>
      <c r="I723" s="411"/>
      <c r="J723" s="142"/>
      <c r="K723" s="411"/>
      <c r="L723" s="142"/>
      <c r="M723" s="411"/>
      <c r="N723" s="142"/>
      <c r="O723" s="403"/>
      <c r="P723" s="198"/>
      <c r="Q723" s="412"/>
      <c r="R723" s="76"/>
      <c r="S723" s="197"/>
      <c r="T723" s="198"/>
      <c r="U723" s="197"/>
      <c r="V723" s="198"/>
      <c r="W723" s="198"/>
      <c r="X723" s="198"/>
      <c r="Y723" s="198"/>
      <c r="Z723" s="198"/>
    </row>
    <row r="724">
      <c r="A724" s="403"/>
      <c r="B724" s="198"/>
      <c r="C724" s="403"/>
      <c r="D724" s="142"/>
      <c r="E724" s="403"/>
      <c r="F724" s="198"/>
      <c r="G724" s="403"/>
      <c r="H724" s="198"/>
      <c r="I724" s="411"/>
      <c r="J724" s="142"/>
      <c r="K724" s="411"/>
      <c r="L724" s="142"/>
      <c r="M724" s="411"/>
      <c r="N724" s="142"/>
      <c r="O724" s="403"/>
      <c r="P724" s="198"/>
      <c r="Q724" s="412"/>
      <c r="R724" s="76"/>
      <c r="S724" s="197"/>
      <c r="T724" s="198"/>
      <c r="U724" s="197"/>
      <c r="V724" s="198"/>
      <c r="W724" s="198"/>
      <c r="X724" s="198"/>
      <c r="Y724" s="198"/>
      <c r="Z724" s="198"/>
    </row>
    <row r="725">
      <c r="A725" s="403"/>
      <c r="B725" s="198"/>
      <c r="C725" s="403"/>
      <c r="D725" s="142"/>
      <c r="E725" s="403"/>
      <c r="F725" s="198"/>
      <c r="G725" s="403"/>
      <c r="H725" s="198"/>
      <c r="I725" s="411"/>
      <c r="J725" s="142"/>
      <c r="K725" s="411"/>
      <c r="L725" s="142"/>
      <c r="M725" s="411"/>
      <c r="N725" s="142"/>
      <c r="O725" s="403"/>
      <c r="P725" s="198"/>
      <c r="Q725" s="412"/>
      <c r="R725" s="76"/>
      <c r="S725" s="197"/>
      <c r="T725" s="198"/>
      <c r="U725" s="197"/>
      <c r="V725" s="198"/>
      <c r="W725" s="198"/>
      <c r="X725" s="198"/>
      <c r="Y725" s="198"/>
      <c r="Z725" s="198"/>
    </row>
    <row r="726">
      <c r="A726" s="403"/>
      <c r="B726" s="198"/>
      <c r="C726" s="403"/>
      <c r="D726" s="142"/>
      <c r="E726" s="403"/>
      <c r="F726" s="198"/>
      <c r="G726" s="403"/>
      <c r="H726" s="198"/>
      <c r="I726" s="411"/>
      <c r="J726" s="142"/>
      <c r="K726" s="411"/>
      <c r="L726" s="142"/>
      <c r="M726" s="411"/>
      <c r="N726" s="142"/>
      <c r="O726" s="403"/>
      <c r="P726" s="198"/>
      <c r="Q726" s="412"/>
      <c r="R726" s="76"/>
      <c r="S726" s="197"/>
      <c r="T726" s="198"/>
      <c r="U726" s="197"/>
      <c r="V726" s="198"/>
      <c r="W726" s="198"/>
      <c r="X726" s="198"/>
      <c r="Y726" s="198"/>
      <c r="Z726" s="198"/>
    </row>
    <row r="727">
      <c r="A727" s="403"/>
      <c r="B727" s="198"/>
      <c r="C727" s="403"/>
      <c r="D727" s="142"/>
      <c r="E727" s="403"/>
      <c r="F727" s="198"/>
      <c r="G727" s="403"/>
      <c r="H727" s="198"/>
      <c r="I727" s="411"/>
      <c r="J727" s="142"/>
      <c r="K727" s="411"/>
      <c r="L727" s="142"/>
      <c r="M727" s="411"/>
      <c r="N727" s="142"/>
      <c r="O727" s="403"/>
      <c r="P727" s="198"/>
      <c r="Q727" s="412"/>
      <c r="R727" s="76"/>
      <c r="S727" s="197"/>
      <c r="T727" s="198"/>
      <c r="U727" s="197"/>
      <c r="V727" s="198"/>
      <c r="W727" s="198"/>
      <c r="X727" s="198"/>
      <c r="Y727" s="198"/>
      <c r="Z727" s="198"/>
    </row>
    <row r="728">
      <c r="A728" s="403"/>
      <c r="B728" s="198"/>
      <c r="C728" s="403"/>
      <c r="D728" s="142"/>
      <c r="E728" s="403"/>
      <c r="F728" s="198"/>
      <c r="G728" s="403"/>
      <c r="H728" s="198"/>
      <c r="I728" s="411"/>
      <c r="J728" s="142"/>
      <c r="K728" s="411"/>
      <c r="L728" s="142"/>
      <c r="M728" s="411"/>
      <c r="N728" s="142"/>
      <c r="O728" s="403"/>
      <c r="P728" s="198"/>
      <c r="Q728" s="412"/>
      <c r="R728" s="76"/>
      <c r="S728" s="197"/>
      <c r="T728" s="198"/>
      <c r="U728" s="197"/>
      <c r="V728" s="198"/>
      <c r="W728" s="198"/>
      <c r="X728" s="198"/>
      <c r="Y728" s="198"/>
      <c r="Z728" s="198"/>
    </row>
    <row r="729">
      <c r="A729" s="403"/>
      <c r="B729" s="198"/>
      <c r="C729" s="403"/>
      <c r="D729" s="142"/>
      <c r="E729" s="403"/>
      <c r="F729" s="198"/>
      <c r="G729" s="403"/>
      <c r="H729" s="198"/>
      <c r="I729" s="411"/>
      <c r="J729" s="142"/>
      <c r="K729" s="411"/>
      <c r="L729" s="142"/>
      <c r="M729" s="411"/>
      <c r="N729" s="142"/>
      <c r="O729" s="403"/>
      <c r="P729" s="198"/>
      <c r="Q729" s="412"/>
      <c r="R729" s="76"/>
      <c r="S729" s="197"/>
      <c r="T729" s="198"/>
      <c r="U729" s="197"/>
      <c r="V729" s="198"/>
      <c r="W729" s="198"/>
      <c r="X729" s="198"/>
      <c r="Y729" s="198"/>
      <c r="Z729" s="198"/>
    </row>
    <row r="730">
      <c r="A730" s="403"/>
      <c r="B730" s="198"/>
      <c r="C730" s="403"/>
      <c r="D730" s="142"/>
      <c r="E730" s="403"/>
      <c r="F730" s="198"/>
      <c r="G730" s="403"/>
      <c r="H730" s="198"/>
      <c r="I730" s="411"/>
      <c r="J730" s="142"/>
      <c r="K730" s="411"/>
      <c r="L730" s="142"/>
      <c r="M730" s="411"/>
      <c r="N730" s="142"/>
      <c r="O730" s="403"/>
      <c r="P730" s="198"/>
      <c r="Q730" s="412"/>
      <c r="R730" s="76"/>
      <c r="S730" s="197"/>
      <c r="T730" s="198"/>
      <c r="U730" s="197"/>
      <c r="V730" s="198"/>
      <c r="W730" s="198"/>
      <c r="X730" s="198"/>
      <c r="Y730" s="198"/>
      <c r="Z730" s="198"/>
    </row>
    <row r="731">
      <c r="A731" s="403"/>
      <c r="B731" s="198"/>
      <c r="C731" s="403"/>
      <c r="D731" s="142"/>
      <c r="E731" s="403"/>
      <c r="F731" s="198"/>
      <c r="G731" s="403"/>
      <c r="H731" s="198"/>
      <c r="I731" s="411"/>
      <c r="J731" s="142"/>
      <c r="K731" s="411"/>
      <c r="L731" s="142"/>
      <c r="M731" s="411"/>
      <c r="N731" s="142"/>
      <c r="O731" s="403"/>
      <c r="P731" s="198"/>
      <c r="Q731" s="412"/>
      <c r="R731" s="76"/>
      <c r="S731" s="197"/>
      <c r="T731" s="198"/>
      <c r="U731" s="197"/>
      <c r="V731" s="198"/>
      <c r="W731" s="198"/>
      <c r="X731" s="198"/>
      <c r="Y731" s="198"/>
      <c r="Z731" s="198"/>
    </row>
    <row r="732">
      <c r="A732" s="403"/>
      <c r="B732" s="198"/>
      <c r="C732" s="403"/>
      <c r="D732" s="142"/>
      <c r="E732" s="403"/>
      <c r="F732" s="198"/>
      <c r="G732" s="403"/>
      <c r="H732" s="198"/>
      <c r="I732" s="411"/>
      <c r="J732" s="142"/>
      <c r="K732" s="411"/>
      <c r="L732" s="142"/>
      <c r="M732" s="411"/>
      <c r="N732" s="142"/>
      <c r="O732" s="403"/>
      <c r="P732" s="198"/>
      <c r="Q732" s="412"/>
      <c r="R732" s="76"/>
      <c r="S732" s="197"/>
      <c r="T732" s="198"/>
      <c r="U732" s="197"/>
      <c r="V732" s="198"/>
      <c r="W732" s="198"/>
      <c r="X732" s="198"/>
      <c r="Y732" s="198"/>
      <c r="Z732" s="198"/>
    </row>
    <row r="733">
      <c r="A733" s="403"/>
      <c r="B733" s="198"/>
      <c r="C733" s="403"/>
      <c r="D733" s="142"/>
      <c r="E733" s="403"/>
      <c r="F733" s="198"/>
      <c r="G733" s="403"/>
      <c r="H733" s="198"/>
      <c r="I733" s="411"/>
      <c r="J733" s="142"/>
      <c r="K733" s="411"/>
      <c r="L733" s="142"/>
      <c r="M733" s="411"/>
      <c r="N733" s="142"/>
      <c r="O733" s="403"/>
      <c r="P733" s="198"/>
      <c r="Q733" s="412"/>
      <c r="R733" s="76"/>
      <c r="S733" s="197"/>
      <c r="T733" s="198"/>
      <c r="U733" s="197"/>
      <c r="V733" s="198"/>
      <c r="W733" s="198"/>
      <c r="X733" s="198"/>
      <c r="Y733" s="198"/>
      <c r="Z733" s="198"/>
    </row>
    <row r="734">
      <c r="A734" s="403"/>
      <c r="B734" s="198"/>
      <c r="C734" s="403"/>
      <c r="D734" s="142"/>
      <c r="E734" s="403"/>
      <c r="F734" s="198"/>
      <c r="G734" s="403"/>
      <c r="H734" s="198"/>
      <c r="I734" s="411"/>
      <c r="J734" s="142"/>
      <c r="K734" s="411"/>
      <c r="L734" s="142"/>
      <c r="M734" s="411"/>
      <c r="N734" s="142"/>
      <c r="O734" s="403"/>
      <c r="P734" s="198"/>
      <c r="Q734" s="412"/>
      <c r="R734" s="76"/>
      <c r="S734" s="197"/>
      <c r="T734" s="198"/>
      <c r="U734" s="197"/>
      <c r="V734" s="198"/>
      <c r="W734" s="198"/>
      <c r="X734" s="198"/>
      <c r="Y734" s="198"/>
      <c r="Z734" s="198"/>
    </row>
    <row r="735">
      <c r="A735" s="403"/>
      <c r="B735" s="198"/>
      <c r="C735" s="403"/>
      <c r="D735" s="142"/>
      <c r="E735" s="403"/>
      <c r="F735" s="198"/>
      <c r="G735" s="403"/>
      <c r="H735" s="198"/>
      <c r="I735" s="411"/>
      <c r="J735" s="142"/>
      <c r="K735" s="411"/>
      <c r="L735" s="142"/>
      <c r="M735" s="411"/>
      <c r="N735" s="142"/>
      <c r="O735" s="403"/>
      <c r="P735" s="198"/>
      <c r="Q735" s="412"/>
      <c r="R735" s="76"/>
      <c r="S735" s="197"/>
      <c r="T735" s="198"/>
      <c r="U735" s="197"/>
      <c r="V735" s="198"/>
      <c r="W735" s="198"/>
      <c r="X735" s="198"/>
      <c r="Y735" s="198"/>
      <c r="Z735" s="198"/>
    </row>
    <row r="736">
      <c r="A736" s="403"/>
      <c r="B736" s="198"/>
      <c r="C736" s="403"/>
      <c r="D736" s="142"/>
      <c r="E736" s="403"/>
      <c r="F736" s="198"/>
      <c r="G736" s="403"/>
      <c r="H736" s="198"/>
      <c r="I736" s="411"/>
      <c r="J736" s="142"/>
      <c r="K736" s="411"/>
      <c r="L736" s="142"/>
      <c r="M736" s="411"/>
      <c r="N736" s="142"/>
      <c r="O736" s="403"/>
      <c r="P736" s="198"/>
      <c r="Q736" s="412"/>
      <c r="R736" s="76"/>
      <c r="S736" s="197"/>
      <c r="T736" s="198"/>
      <c r="U736" s="197"/>
      <c r="V736" s="198"/>
      <c r="W736" s="198"/>
      <c r="X736" s="198"/>
      <c r="Y736" s="198"/>
      <c r="Z736" s="198"/>
    </row>
    <row r="737">
      <c r="A737" s="403"/>
      <c r="B737" s="198"/>
      <c r="C737" s="403"/>
      <c r="D737" s="142"/>
      <c r="E737" s="403"/>
      <c r="F737" s="198"/>
      <c r="G737" s="403"/>
      <c r="H737" s="198"/>
      <c r="I737" s="411"/>
      <c r="J737" s="142"/>
      <c r="K737" s="411"/>
      <c r="L737" s="142"/>
      <c r="M737" s="411"/>
      <c r="N737" s="142"/>
      <c r="O737" s="403"/>
      <c r="P737" s="198"/>
      <c r="Q737" s="412"/>
      <c r="R737" s="76"/>
      <c r="S737" s="197"/>
      <c r="T737" s="198"/>
      <c r="U737" s="197"/>
      <c r="V737" s="198"/>
      <c r="W737" s="198"/>
      <c r="X737" s="198"/>
      <c r="Y737" s="198"/>
      <c r="Z737" s="198"/>
    </row>
    <row r="738">
      <c r="A738" s="403"/>
      <c r="B738" s="198"/>
      <c r="C738" s="403"/>
      <c r="D738" s="142"/>
      <c r="E738" s="403"/>
      <c r="F738" s="198"/>
      <c r="G738" s="403"/>
      <c r="H738" s="198"/>
      <c r="I738" s="411"/>
      <c r="J738" s="142"/>
      <c r="K738" s="411"/>
      <c r="L738" s="142"/>
      <c r="M738" s="411"/>
      <c r="N738" s="142"/>
      <c r="O738" s="403"/>
      <c r="P738" s="198"/>
      <c r="Q738" s="412"/>
      <c r="R738" s="76"/>
      <c r="S738" s="197"/>
      <c r="T738" s="198"/>
      <c r="U738" s="197"/>
      <c r="V738" s="198"/>
      <c r="W738" s="198"/>
      <c r="X738" s="198"/>
      <c r="Y738" s="198"/>
      <c r="Z738" s="198"/>
    </row>
    <row r="739">
      <c r="A739" s="403"/>
      <c r="B739" s="198"/>
      <c r="C739" s="403"/>
      <c r="D739" s="142"/>
      <c r="E739" s="403"/>
      <c r="F739" s="198"/>
      <c r="G739" s="403"/>
      <c r="H739" s="198"/>
      <c r="I739" s="411"/>
      <c r="J739" s="142"/>
      <c r="K739" s="411"/>
      <c r="L739" s="142"/>
      <c r="M739" s="411"/>
      <c r="N739" s="142"/>
      <c r="O739" s="403"/>
      <c r="P739" s="198"/>
      <c r="Q739" s="412"/>
      <c r="R739" s="76"/>
      <c r="S739" s="197"/>
      <c r="T739" s="198"/>
      <c r="U739" s="197"/>
      <c r="V739" s="198"/>
      <c r="W739" s="198"/>
      <c r="X739" s="198"/>
      <c r="Y739" s="198"/>
      <c r="Z739" s="198"/>
    </row>
    <row r="740">
      <c r="A740" s="403"/>
      <c r="B740" s="198"/>
      <c r="C740" s="403"/>
      <c r="D740" s="142"/>
      <c r="E740" s="403"/>
      <c r="F740" s="198"/>
      <c r="G740" s="403"/>
      <c r="H740" s="198"/>
      <c r="I740" s="411"/>
      <c r="J740" s="142"/>
      <c r="K740" s="411"/>
      <c r="L740" s="142"/>
      <c r="M740" s="411"/>
      <c r="N740" s="142"/>
      <c r="O740" s="403"/>
      <c r="P740" s="198"/>
      <c r="Q740" s="412"/>
      <c r="R740" s="76"/>
      <c r="S740" s="197"/>
      <c r="T740" s="198"/>
      <c r="U740" s="197"/>
      <c r="V740" s="198"/>
      <c r="W740" s="198"/>
      <c r="X740" s="198"/>
      <c r="Y740" s="198"/>
      <c r="Z740" s="198"/>
    </row>
    <row r="741">
      <c r="A741" s="403"/>
      <c r="B741" s="198"/>
      <c r="C741" s="403"/>
      <c r="D741" s="142"/>
      <c r="E741" s="403"/>
      <c r="F741" s="198"/>
      <c r="G741" s="403"/>
      <c r="H741" s="198"/>
      <c r="I741" s="411"/>
      <c r="J741" s="142"/>
      <c r="K741" s="411"/>
      <c r="L741" s="142"/>
      <c r="M741" s="411"/>
      <c r="N741" s="142"/>
      <c r="O741" s="403"/>
      <c r="P741" s="198"/>
      <c r="Q741" s="412"/>
      <c r="R741" s="76"/>
      <c r="S741" s="197"/>
      <c r="T741" s="198"/>
      <c r="U741" s="197"/>
      <c r="V741" s="198"/>
      <c r="W741" s="198"/>
      <c r="X741" s="198"/>
      <c r="Y741" s="198"/>
      <c r="Z741" s="198"/>
    </row>
    <row r="742">
      <c r="A742" s="403"/>
      <c r="B742" s="198"/>
      <c r="C742" s="403"/>
      <c r="D742" s="142"/>
      <c r="E742" s="403"/>
      <c r="F742" s="198"/>
      <c r="G742" s="403"/>
      <c r="H742" s="198"/>
      <c r="I742" s="411"/>
      <c r="J742" s="142"/>
      <c r="K742" s="411"/>
      <c r="L742" s="142"/>
      <c r="M742" s="411"/>
      <c r="N742" s="142"/>
      <c r="O742" s="403"/>
      <c r="P742" s="198"/>
      <c r="Q742" s="412"/>
      <c r="R742" s="76"/>
      <c r="S742" s="197"/>
      <c r="T742" s="198"/>
      <c r="U742" s="197"/>
      <c r="V742" s="198"/>
      <c r="W742" s="198"/>
      <c r="X742" s="198"/>
      <c r="Y742" s="198"/>
      <c r="Z742" s="198"/>
    </row>
    <row r="743">
      <c r="A743" s="403"/>
      <c r="B743" s="198"/>
      <c r="C743" s="403"/>
      <c r="D743" s="142"/>
      <c r="E743" s="403"/>
      <c r="F743" s="198"/>
      <c r="G743" s="403"/>
      <c r="H743" s="198"/>
      <c r="I743" s="411"/>
      <c r="J743" s="142"/>
      <c r="K743" s="411"/>
      <c r="L743" s="142"/>
      <c r="M743" s="411"/>
      <c r="N743" s="142"/>
      <c r="O743" s="403"/>
      <c r="P743" s="198"/>
      <c r="Q743" s="412"/>
      <c r="R743" s="76"/>
      <c r="S743" s="197"/>
      <c r="T743" s="198"/>
      <c r="U743" s="197"/>
      <c r="V743" s="198"/>
      <c r="W743" s="198"/>
      <c r="X743" s="198"/>
      <c r="Y743" s="198"/>
      <c r="Z743" s="198"/>
    </row>
    <row r="744">
      <c r="A744" s="403"/>
      <c r="B744" s="198"/>
      <c r="C744" s="403"/>
      <c r="D744" s="142"/>
      <c r="E744" s="403"/>
      <c r="F744" s="198"/>
      <c r="G744" s="403"/>
      <c r="H744" s="198"/>
      <c r="I744" s="411"/>
      <c r="J744" s="142"/>
      <c r="K744" s="411"/>
      <c r="L744" s="142"/>
      <c r="M744" s="411"/>
      <c r="N744" s="142"/>
      <c r="O744" s="403"/>
      <c r="P744" s="198"/>
      <c r="Q744" s="412"/>
      <c r="R744" s="76"/>
      <c r="S744" s="197"/>
      <c r="T744" s="198"/>
      <c r="U744" s="197"/>
      <c r="V744" s="198"/>
      <c r="W744" s="198"/>
      <c r="X744" s="198"/>
      <c r="Y744" s="198"/>
      <c r="Z744" s="198"/>
    </row>
    <row r="745">
      <c r="A745" s="403"/>
      <c r="B745" s="198"/>
      <c r="C745" s="403"/>
      <c r="D745" s="142"/>
      <c r="E745" s="403"/>
      <c r="F745" s="198"/>
      <c r="G745" s="403"/>
      <c r="H745" s="198"/>
      <c r="I745" s="411"/>
      <c r="J745" s="142"/>
      <c r="K745" s="411"/>
      <c r="L745" s="142"/>
      <c r="M745" s="411"/>
      <c r="N745" s="142"/>
      <c r="O745" s="403"/>
      <c r="P745" s="198"/>
      <c r="Q745" s="412"/>
      <c r="R745" s="76"/>
      <c r="S745" s="197"/>
      <c r="T745" s="198"/>
      <c r="U745" s="197"/>
      <c r="V745" s="198"/>
      <c r="W745" s="198"/>
      <c r="X745" s="198"/>
      <c r="Y745" s="198"/>
      <c r="Z745" s="198"/>
    </row>
    <row r="746">
      <c r="A746" s="403"/>
      <c r="B746" s="198"/>
      <c r="C746" s="403"/>
      <c r="D746" s="142"/>
      <c r="E746" s="403"/>
      <c r="F746" s="198"/>
      <c r="G746" s="403"/>
      <c r="H746" s="198"/>
      <c r="I746" s="411"/>
      <c r="J746" s="142"/>
      <c r="K746" s="411"/>
      <c r="L746" s="142"/>
      <c r="M746" s="411"/>
      <c r="N746" s="142"/>
      <c r="O746" s="403"/>
      <c r="P746" s="198"/>
      <c r="Q746" s="412"/>
      <c r="R746" s="76"/>
      <c r="S746" s="197"/>
      <c r="T746" s="198"/>
      <c r="U746" s="197"/>
      <c r="V746" s="198"/>
      <c r="W746" s="198"/>
      <c r="X746" s="198"/>
      <c r="Y746" s="198"/>
      <c r="Z746" s="198"/>
    </row>
    <row r="747">
      <c r="A747" s="403"/>
      <c r="B747" s="198"/>
      <c r="C747" s="403"/>
      <c r="D747" s="142"/>
      <c r="E747" s="403"/>
      <c r="F747" s="198"/>
      <c r="G747" s="403"/>
      <c r="H747" s="198"/>
      <c r="I747" s="411"/>
      <c r="J747" s="142"/>
      <c r="K747" s="411"/>
      <c r="L747" s="142"/>
      <c r="M747" s="411"/>
      <c r="N747" s="142"/>
      <c r="O747" s="403"/>
      <c r="P747" s="198"/>
      <c r="Q747" s="412"/>
      <c r="R747" s="76"/>
      <c r="S747" s="197"/>
      <c r="T747" s="198"/>
      <c r="U747" s="197"/>
      <c r="V747" s="198"/>
      <c r="W747" s="198"/>
      <c r="X747" s="198"/>
      <c r="Y747" s="198"/>
      <c r="Z747" s="198"/>
    </row>
    <row r="748">
      <c r="A748" s="403"/>
      <c r="B748" s="198"/>
      <c r="C748" s="403"/>
      <c r="D748" s="142"/>
      <c r="E748" s="403"/>
      <c r="F748" s="198"/>
      <c r="G748" s="403"/>
      <c r="H748" s="198"/>
      <c r="I748" s="411"/>
      <c r="J748" s="142"/>
      <c r="K748" s="411"/>
      <c r="L748" s="142"/>
      <c r="M748" s="411"/>
      <c r="N748" s="142"/>
      <c r="O748" s="403"/>
      <c r="P748" s="198"/>
      <c r="Q748" s="412"/>
      <c r="R748" s="76"/>
      <c r="S748" s="197"/>
      <c r="T748" s="198"/>
      <c r="U748" s="197"/>
      <c r="V748" s="198"/>
      <c r="W748" s="198"/>
      <c r="X748" s="198"/>
      <c r="Y748" s="198"/>
      <c r="Z748" s="198"/>
    </row>
    <row r="749">
      <c r="A749" s="403"/>
      <c r="B749" s="198"/>
      <c r="C749" s="403"/>
      <c r="D749" s="142"/>
      <c r="E749" s="403"/>
      <c r="F749" s="198"/>
      <c r="G749" s="403"/>
      <c r="H749" s="198"/>
      <c r="I749" s="411"/>
      <c r="J749" s="142"/>
      <c r="K749" s="411"/>
      <c r="L749" s="142"/>
      <c r="M749" s="411"/>
      <c r="N749" s="142"/>
      <c r="O749" s="403"/>
      <c r="P749" s="198"/>
      <c r="Q749" s="412"/>
      <c r="R749" s="76"/>
      <c r="S749" s="197"/>
      <c r="T749" s="198"/>
      <c r="U749" s="197"/>
      <c r="V749" s="198"/>
      <c r="W749" s="198"/>
      <c r="X749" s="198"/>
      <c r="Y749" s="198"/>
      <c r="Z749" s="198"/>
    </row>
    <row r="750">
      <c r="A750" s="403"/>
      <c r="B750" s="198"/>
      <c r="C750" s="403"/>
      <c r="D750" s="142"/>
      <c r="E750" s="403"/>
      <c r="F750" s="198"/>
      <c r="G750" s="403"/>
      <c r="H750" s="198"/>
      <c r="I750" s="411"/>
      <c r="J750" s="142"/>
      <c r="K750" s="411"/>
      <c r="L750" s="142"/>
      <c r="M750" s="411"/>
      <c r="N750" s="142"/>
      <c r="O750" s="403"/>
      <c r="P750" s="198"/>
      <c r="Q750" s="412"/>
      <c r="R750" s="76"/>
      <c r="S750" s="197"/>
      <c r="T750" s="198"/>
      <c r="U750" s="197"/>
      <c r="V750" s="198"/>
      <c r="W750" s="198"/>
      <c r="X750" s="198"/>
      <c r="Y750" s="198"/>
      <c r="Z750" s="198"/>
    </row>
    <row r="751">
      <c r="A751" s="403"/>
      <c r="B751" s="198"/>
      <c r="C751" s="403"/>
      <c r="D751" s="142"/>
      <c r="E751" s="403"/>
      <c r="F751" s="198"/>
      <c r="G751" s="403"/>
      <c r="H751" s="198"/>
      <c r="I751" s="411"/>
      <c r="J751" s="142"/>
      <c r="K751" s="411"/>
      <c r="L751" s="142"/>
      <c r="M751" s="411"/>
      <c r="N751" s="142"/>
      <c r="O751" s="403"/>
      <c r="P751" s="198"/>
      <c r="Q751" s="412"/>
      <c r="R751" s="76"/>
      <c r="S751" s="197"/>
      <c r="T751" s="198"/>
      <c r="U751" s="197"/>
      <c r="V751" s="198"/>
      <c r="W751" s="198"/>
      <c r="X751" s="198"/>
      <c r="Y751" s="198"/>
      <c r="Z751" s="198"/>
    </row>
    <row r="752">
      <c r="A752" s="403"/>
      <c r="B752" s="198"/>
      <c r="C752" s="403"/>
      <c r="D752" s="142"/>
      <c r="E752" s="403"/>
      <c r="F752" s="198"/>
      <c r="G752" s="403"/>
      <c r="H752" s="198"/>
      <c r="I752" s="411"/>
      <c r="J752" s="142"/>
      <c r="K752" s="411"/>
      <c r="L752" s="142"/>
      <c r="M752" s="411"/>
      <c r="N752" s="142"/>
      <c r="O752" s="403"/>
      <c r="P752" s="198"/>
      <c r="Q752" s="412"/>
      <c r="R752" s="76"/>
      <c r="S752" s="197"/>
      <c r="T752" s="198"/>
      <c r="U752" s="197"/>
      <c r="V752" s="198"/>
      <c r="W752" s="198"/>
      <c r="X752" s="198"/>
      <c r="Y752" s="198"/>
      <c r="Z752" s="198"/>
    </row>
    <row r="753">
      <c r="A753" s="403"/>
      <c r="B753" s="198"/>
      <c r="C753" s="403"/>
      <c r="D753" s="142"/>
      <c r="E753" s="403"/>
      <c r="F753" s="198"/>
      <c r="G753" s="403"/>
      <c r="H753" s="198"/>
      <c r="I753" s="411"/>
      <c r="J753" s="142"/>
      <c r="K753" s="411"/>
      <c r="L753" s="142"/>
      <c r="M753" s="411"/>
      <c r="N753" s="142"/>
      <c r="O753" s="403"/>
      <c r="P753" s="198"/>
      <c r="Q753" s="412"/>
      <c r="R753" s="76"/>
      <c r="S753" s="197"/>
      <c r="T753" s="198"/>
      <c r="U753" s="197"/>
      <c r="V753" s="198"/>
      <c r="W753" s="198"/>
      <c r="X753" s="198"/>
      <c r="Y753" s="198"/>
      <c r="Z753" s="198"/>
    </row>
    <row r="754">
      <c r="A754" s="403"/>
      <c r="B754" s="198"/>
      <c r="C754" s="403"/>
      <c r="D754" s="142"/>
      <c r="E754" s="403"/>
      <c r="F754" s="198"/>
      <c r="G754" s="403"/>
      <c r="H754" s="198"/>
      <c r="I754" s="411"/>
      <c r="J754" s="142"/>
      <c r="K754" s="411"/>
      <c r="L754" s="142"/>
      <c r="M754" s="411"/>
      <c r="N754" s="142"/>
      <c r="O754" s="403"/>
      <c r="P754" s="198"/>
      <c r="Q754" s="412"/>
      <c r="R754" s="76"/>
      <c r="S754" s="197"/>
      <c r="T754" s="198"/>
      <c r="U754" s="197"/>
      <c r="V754" s="198"/>
      <c r="W754" s="198"/>
      <c r="X754" s="198"/>
      <c r="Y754" s="198"/>
      <c r="Z754" s="198"/>
    </row>
    <row r="755">
      <c r="A755" s="403"/>
      <c r="B755" s="198"/>
      <c r="C755" s="403"/>
      <c r="D755" s="142"/>
      <c r="E755" s="403"/>
      <c r="F755" s="198"/>
      <c r="G755" s="403"/>
      <c r="H755" s="198"/>
      <c r="I755" s="411"/>
      <c r="J755" s="142"/>
      <c r="K755" s="411"/>
      <c r="L755" s="142"/>
      <c r="M755" s="411"/>
      <c r="N755" s="142"/>
      <c r="O755" s="403"/>
      <c r="P755" s="198"/>
      <c r="Q755" s="412"/>
      <c r="R755" s="76"/>
      <c r="S755" s="197"/>
      <c r="T755" s="198"/>
      <c r="U755" s="197"/>
      <c r="V755" s="198"/>
      <c r="W755" s="198"/>
      <c r="X755" s="198"/>
      <c r="Y755" s="198"/>
      <c r="Z755" s="198"/>
    </row>
    <row r="756">
      <c r="A756" s="403"/>
      <c r="B756" s="198"/>
      <c r="C756" s="403"/>
      <c r="D756" s="142"/>
      <c r="E756" s="403"/>
      <c r="F756" s="198"/>
      <c r="G756" s="403"/>
      <c r="H756" s="198"/>
      <c r="I756" s="411"/>
      <c r="J756" s="142"/>
      <c r="K756" s="411"/>
      <c r="L756" s="142"/>
      <c r="M756" s="411"/>
      <c r="N756" s="142"/>
      <c r="O756" s="403"/>
      <c r="P756" s="198"/>
      <c r="Q756" s="412"/>
      <c r="R756" s="76"/>
      <c r="S756" s="197"/>
      <c r="T756" s="198"/>
      <c r="U756" s="197"/>
      <c r="V756" s="198"/>
      <c r="W756" s="198"/>
      <c r="X756" s="198"/>
      <c r="Y756" s="198"/>
      <c r="Z756" s="198"/>
    </row>
    <row r="757">
      <c r="A757" s="403"/>
      <c r="B757" s="198"/>
      <c r="C757" s="403"/>
      <c r="D757" s="142"/>
      <c r="E757" s="403"/>
      <c r="F757" s="198"/>
      <c r="G757" s="403"/>
      <c r="H757" s="198"/>
      <c r="I757" s="411"/>
      <c r="J757" s="142"/>
      <c r="K757" s="411"/>
      <c r="L757" s="142"/>
      <c r="M757" s="411"/>
      <c r="N757" s="142"/>
      <c r="O757" s="403"/>
      <c r="P757" s="198"/>
      <c r="Q757" s="412"/>
      <c r="R757" s="76"/>
      <c r="S757" s="197"/>
      <c r="T757" s="198"/>
      <c r="U757" s="197"/>
      <c r="V757" s="198"/>
      <c r="W757" s="198"/>
      <c r="X757" s="198"/>
      <c r="Y757" s="198"/>
      <c r="Z757" s="198"/>
    </row>
    <row r="758">
      <c r="A758" s="403"/>
      <c r="B758" s="198"/>
      <c r="C758" s="403"/>
      <c r="D758" s="142"/>
      <c r="E758" s="403"/>
      <c r="F758" s="198"/>
      <c r="G758" s="403"/>
      <c r="H758" s="198"/>
      <c r="I758" s="411"/>
      <c r="J758" s="142"/>
      <c r="K758" s="411"/>
      <c r="L758" s="142"/>
      <c r="M758" s="411"/>
      <c r="N758" s="142"/>
      <c r="O758" s="403"/>
      <c r="P758" s="198"/>
      <c r="Q758" s="412"/>
      <c r="R758" s="76"/>
      <c r="S758" s="197"/>
      <c r="T758" s="198"/>
      <c r="U758" s="197"/>
      <c r="V758" s="198"/>
      <c r="W758" s="198"/>
      <c r="X758" s="198"/>
      <c r="Y758" s="198"/>
      <c r="Z758" s="198"/>
    </row>
    <row r="759">
      <c r="A759" s="403"/>
      <c r="B759" s="198"/>
      <c r="C759" s="403"/>
      <c r="D759" s="142"/>
      <c r="E759" s="403"/>
      <c r="F759" s="198"/>
      <c r="G759" s="403"/>
      <c r="H759" s="198"/>
      <c r="I759" s="411"/>
      <c r="J759" s="142"/>
      <c r="K759" s="411"/>
      <c r="L759" s="142"/>
      <c r="M759" s="411"/>
      <c r="N759" s="142"/>
      <c r="O759" s="403"/>
      <c r="P759" s="198"/>
      <c r="Q759" s="412"/>
      <c r="R759" s="76"/>
      <c r="S759" s="197"/>
      <c r="T759" s="198"/>
      <c r="U759" s="197"/>
      <c r="V759" s="198"/>
      <c r="W759" s="198"/>
      <c r="X759" s="198"/>
      <c r="Y759" s="198"/>
      <c r="Z759" s="198"/>
    </row>
    <row r="760">
      <c r="A760" s="403"/>
      <c r="B760" s="198"/>
      <c r="C760" s="403"/>
      <c r="D760" s="142"/>
      <c r="E760" s="403"/>
      <c r="F760" s="198"/>
      <c r="G760" s="403"/>
      <c r="H760" s="198"/>
      <c r="I760" s="411"/>
      <c r="J760" s="142"/>
      <c r="K760" s="411"/>
      <c r="L760" s="142"/>
      <c r="M760" s="411"/>
      <c r="N760" s="142"/>
      <c r="O760" s="403"/>
      <c r="P760" s="198"/>
      <c r="Q760" s="412"/>
      <c r="R760" s="76"/>
      <c r="S760" s="197"/>
      <c r="T760" s="198"/>
      <c r="U760" s="197"/>
      <c r="V760" s="198"/>
      <c r="W760" s="198"/>
      <c r="X760" s="198"/>
      <c r="Y760" s="198"/>
      <c r="Z760" s="198"/>
    </row>
    <row r="761">
      <c r="A761" s="403"/>
      <c r="B761" s="198"/>
      <c r="C761" s="403"/>
      <c r="D761" s="142"/>
      <c r="E761" s="403"/>
      <c r="F761" s="198"/>
      <c r="G761" s="403"/>
      <c r="H761" s="198"/>
      <c r="I761" s="411"/>
      <c r="J761" s="142"/>
      <c r="K761" s="411"/>
      <c r="L761" s="142"/>
      <c r="M761" s="411"/>
      <c r="N761" s="142"/>
      <c r="O761" s="403"/>
      <c r="P761" s="198"/>
      <c r="Q761" s="412"/>
      <c r="R761" s="76"/>
      <c r="S761" s="197"/>
      <c r="T761" s="198"/>
      <c r="U761" s="197"/>
      <c r="V761" s="198"/>
      <c r="W761" s="198"/>
      <c r="X761" s="198"/>
      <c r="Y761" s="198"/>
      <c r="Z761" s="198"/>
    </row>
    <row r="762">
      <c r="A762" s="403"/>
      <c r="B762" s="198"/>
      <c r="C762" s="403"/>
      <c r="D762" s="142"/>
      <c r="E762" s="403"/>
      <c r="F762" s="198"/>
      <c r="G762" s="403"/>
      <c r="H762" s="198"/>
      <c r="I762" s="411"/>
      <c r="J762" s="142"/>
      <c r="K762" s="411"/>
      <c r="L762" s="142"/>
      <c r="M762" s="411"/>
      <c r="N762" s="142"/>
      <c r="O762" s="403"/>
      <c r="P762" s="198"/>
      <c r="Q762" s="412"/>
      <c r="R762" s="76"/>
      <c r="S762" s="197"/>
      <c r="T762" s="198"/>
      <c r="U762" s="197"/>
      <c r="V762" s="198"/>
      <c r="W762" s="198"/>
      <c r="X762" s="198"/>
      <c r="Y762" s="198"/>
      <c r="Z762" s="198"/>
    </row>
    <row r="763">
      <c r="A763" s="403"/>
      <c r="B763" s="198"/>
      <c r="C763" s="403"/>
      <c r="D763" s="142"/>
      <c r="E763" s="403"/>
      <c r="F763" s="198"/>
      <c r="G763" s="403"/>
      <c r="H763" s="198"/>
      <c r="I763" s="411"/>
      <c r="J763" s="142"/>
      <c r="K763" s="411"/>
      <c r="L763" s="142"/>
      <c r="M763" s="411"/>
      <c r="N763" s="142"/>
      <c r="O763" s="403"/>
      <c r="P763" s="198"/>
      <c r="Q763" s="412"/>
      <c r="R763" s="76"/>
      <c r="S763" s="197"/>
      <c r="T763" s="198"/>
      <c r="U763" s="197"/>
      <c r="V763" s="198"/>
      <c r="W763" s="198"/>
      <c r="X763" s="198"/>
      <c r="Y763" s="198"/>
      <c r="Z763" s="198"/>
    </row>
    <row r="764">
      <c r="A764" s="403"/>
      <c r="B764" s="198"/>
      <c r="C764" s="403"/>
      <c r="D764" s="142"/>
      <c r="E764" s="403"/>
      <c r="F764" s="198"/>
      <c r="G764" s="403"/>
      <c r="H764" s="198"/>
      <c r="I764" s="411"/>
      <c r="J764" s="142"/>
      <c r="K764" s="411"/>
      <c r="L764" s="142"/>
      <c r="M764" s="411"/>
      <c r="N764" s="142"/>
      <c r="O764" s="403"/>
      <c r="P764" s="198"/>
      <c r="Q764" s="412"/>
      <c r="R764" s="76"/>
      <c r="S764" s="197"/>
      <c r="T764" s="198"/>
      <c r="U764" s="197"/>
      <c r="V764" s="198"/>
      <c r="W764" s="198"/>
      <c r="X764" s="198"/>
      <c r="Y764" s="198"/>
      <c r="Z764" s="198"/>
    </row>
    <row r="765">
      <c r="A765" s="403"/>
      <c r="B765" s="198"/>
      <c r="C765" s="403"/>
      <c r="D765" s="142"/>
      <c r="E765" s="403"/>
      <c r="F765" s="198"/>
      <c r="G765" s="403"/>
      <c r="H765" s="198"/>
      <c r="I765" s="411"/>
      <c r="J765" s="142"/>
      <c r="K765" s="411"/>
      <c r="L765" s="142"/>
      <c r="M765" s="411"/>
      <c r="N765" s="142"/>
      <c r="O765" s="403"/>
      <c r="P765" s="198"/>
      <c r="Q765" s="412"/>
      <c r="R765" s="76"/>
      <c r="S765" s="197"/>
      <c r="T765" s="198"/>
      <c r="U765" s="197"/>
      <c r="V765" s="198"/>
      <c r="W765" s="198"/>
      <c r="X765" s="198"/>
      <c r="Y765" s="198"/>
      <c r="Z765" s="198"/>
    </row>
    <row r="766">
      <c r="A766" s="403"/>
      <c r="B766" s="198"/>
      <c r="C766" s="403"/>
      <c r="D766" s="142"/>
      <c r="E766" s="403"/>
      <c r="F766" s="198"/>
      <c r="G766" s="403"/>
      <c r="H766" s="198"/>
      <c r="I766" s="411"/>
      <c r="J766" s="142"/>
      <c r="K766" s="411"/>
      <c r="L766" s="142"/>
      <c r="M766" s="411"/>
      <c r="N766" s="142"/>
      <c r="O766" s="403"/>
      <c r="P766" s="198"/>
      <c r="Q766" s="412"/>
      <c r="R766" s="76"/>
      <c r="S766" s="197"/>
      <c r="T766" s="198"/>
      <c r="U766" s="197"/>
      <c r="V766" s="198"/>
      <c r="W766" s="198"/>
      <c r="X766" s="198"/>
      <c r="Y766" s="198"/>
      <c r="Z766" s="198"/>
    </row>
    <row r="767">
      <c r="A767" s="403"/>
      <c r="B767" s="198"/>
      <c r="C767" s="403"/>
      <c r="D767" s="142"/>
      <c r="E767" s="403"/>
      <c r="F767" s="198"/>
      <c r="G767" s="403"/>
      <c r="H767" s="198"/>
      <c r="I767" s="411"/>
      <c r="J767" s="142"/>
      <c r="K767" s="411"/>
      <c r="L767" s="142"/>
      <c r="M767" s="411"/>
      <c r="N767" s="142"/>
      <c r="O767" s="403"/>
      <c r="P767" s="198"/>
      <c r="Q767" s="412"/>
      <c r="R767" s="76"/>
      <c r="S767" s="197"/>
      <c r="T767" s="198"/>
      <c r="U767" s="197"/>
      <c r="V767" s="198"/>
      <c r="W767" s="198"/>
      <c r="X767" s="198"/>
      <c r="Y767" s="198"/>
      <c r="Z767" s="198"/>
    </row>
    <row r="768">
      <c r="A768" s="403"/>
      <c r="B768" s="198"/>
      <c r="C768" s="403"/>
      <c r="D768" s="142"/>
      <c r="E768" s="403"/>
      <c r="F768" s="198"/>
      <c r="G768" s="403"/>
      <c r="H768" s="198"/>
      <c r="I768" s="411"/>
      <c r="J768" s="142"/>
      <c r="K768" s="411"/>
      <c r="L768" s="142"/>
      <c r="M768" s="411"/>
      <c r="N768" s="142"/>
      <c r="O768" s="403"/>
      <c r="P768" s="198"/>
      <c r="Q768" s="412"/>
      <c r="R768" s="76"/>
      <c r="S768" s="197"/>
      <c r="T768" s="198"/>
      <c r="U768" s="197"/>
      <c r="V768" s="198"/>
      <c r="W768" s="198"/>
      <c r="X768" s="198"/>
      <c r="Y768" s="198"/>
      <c r="Z768" s="198"/>
    </row>
    <row r="769">
      <c r="A769" s="403"/>
      <c r="B769" s="198"/>
      <c r="C769" s="403"/>
      <c r="D769" s="142"/>
      <c r="E769" s="403"/>
      <c r="F769" s="198"/>
      <c r="G769" s="403"/>
      <c r="H769" s="198"/>
      <c r="I769" s="411"/>
      <c r="J769" s="142"/>
      <c r="K769" s="411"/>
      <c r="L769" s="142"/>
      <c r="M769" s="411"/>
      <c r="N769" s="142"/>
      <c r="O769" s="403"/>
      <c r="P769" s="198"/>
      <c r="Q769" s="412"/>
      <c r="R769" s="76"/>
      <c r="S769" s="197"/>
      <c r="T769" s="198"/>
      <c r="U769" s="197"/>
      <c r="V769" s="198"/>
      <c r="W769" s="198"/>
      <c r="X769" s="198"/>
      <c r="Y769" s="198"/>
      <c r="Z769" s="198"/>
    </row>
    <row r="770">
      <c r="A770" s="403"/>
      <c r="B770" s="198"/>
      <c r="C770" s="403"/>
      <c r="D770" s="142"/>
      <c r="E770" s="403"/>
      <c r="F770" s="198"/>
      <c r="G770" s="403"/>
      <c r="H770" s="198"/>
      <c r="I770" s="411"/>
      <c r="J770" s="142"/>
      <c r="K770" s="411"/>
      <c r="L770" s="142"/>
      <c r="M770" s="411"/>
      <c r="N770" s="142"/>
      <c r="O770" s="403"/>
      <c r="P770" s="198"/>
      <c r="Q770" s="412"/>
      <c r="R770" s="76"/>
      <c r="S770" s="197"/>
      <c r="T770" s="198"/>
      <c r="U770" s="197"/>
      <c r="V770" s="198"/>
      <c r="W770" s="198"/>
      <c r="X770" s="198"/>
      <c r="Y770" s="198"/>
      <c r="Z770" s="198"/>
    </row>
    <row r="771">
      <c r="A771" s="403"/>
      <c r="B771" s="198"/>
      <c r="C771" s="403"/>
      <c r="D771" s="142"/>
      <c r="E771" s="403"/>
      <c r="F771" s="198"/>
      <c r="G771" s="403"/>
      <c r="H771" s="198"/>
      <c r="I771" s="411"/>
      <c r="J771" s="142"/>
      <c r="K771" s="411"/>
      <c r="L771" s="142"/>
      <c r="M771" s="411"/>
      <c r="N771" s="142"/>
      <c r="O771" s="403"/>
      <c r="P771" s="198"/>
      <c r="Q771" s="412"/>
      <c r="R771" s="76"/>
      <c r="S771" s="197"/>
      <c r="T771" s="198"/>
      <c r="U771" s="197"/>
      <c r="V771" s="198"/>
      <c r="W771" s="198"/>
      <c r="X771" s="198"/>
      <c r="Y771" s="198"/>
      <c r="Z771" s="198"/>
    </row>
    <row r="772">
      <c r="A772" s="403"/>
      <c r="B772" s="198"/>
      <c r="C772" s="403"/>
      <c r="D772" s="142"/>
      <c r="E772" s="403"/>
      <c r="F772" s="198"/>
      <c r="G772" s="403"/>
      <c r="H772" s="198"/>
      <c r="I772" s="411"/>
      <c r="J772" s="142"/>
      <c r="K772" s="411"/>
      <c r="L772" s="142"/>
      <c r="M772" s="411"/>
      <c r="N772" s="142"/>
      <c r="O772" s="403"/>
      <c r="P772" s="198"/>
      <c r="Q772" s="412"/>
      <c r="R772" s="76"/>
      <c r="S772" s="197"/>
      <c r="T772" s="198"/>
      <c r="U772" s="197"/>
      <c r="V772" s="198"/>
      <c r="W772" s="198"/>
      <c r="X772" s="198"/>
      <c r="Y772" s="198"/>
      <c r="Z772" s="198"/>
    </row>
    <row r="773">
      <c r="A773" s="403"/>
      <c r="B773" s="198"/>
      <c r="C773" s="403"/>
      <c r="D773" s="142"/>
      <c r="E773" s="403"/>
      <c r="F773" s="198"/>
      <c r="G773" s="403"/>
      <c r="H773" s="198"/>
      <c r="I773" s="411"/>
      <c r="J773" s="142"/>
      <c r="K773" s="411"/>
      <c r="L773" s="142"/>
      <c r="M773" s="411"/>
      <c r="N773" s="142"/>
      <c r="O773" s="403"/>
      <c r="P773" s="198"/>
      <c r="Q773" s="412"/>
      <c r="R773" s="76"/>
      <c r="S773" s="197"/>
      <c r="T773" s="198"/>
      <c r="U773" s="197"/>
      <c r="V773" s="198"/>
      <c r="W773" s="198"/>
      <c r="X773" s="198"/>
      <c r="Y773" s="198"/>
      <c r="Z773" s="198"/>
    </row>
    <row r="774">
      <c r="A774" s="403"/>
      <c r="B774" s="198"/>
      <c r="C774" s="403"/>
      <c r="D774" s="142"/>
      <c r="E774" s="403"/>
      <c r="F774" s="198"/>
      <c r="G774" s="403"/>
      <c r="H774" s="198"/>
      <c r="I774" s="411"/>
      <c r="J774" s="142"/>
      <c r="K774" s="411"/>
      <c r="L774" s="142"/>
      <c r="M774" s="411"/>
      <c r="N774" s="142"/>
      <c r="O774" s="403"/>
      <c r="P774" s="198"/>
      <c r="Q774" s="412"/>
      <c r="R774" s="76"/>
      <c r="S774" s="197"/>
      <c r="T774" s="198"/>
      <c r="U774" s="197"/>
      <c r="V774" s="198"/>
      <c r="W774" s="198"/>
      <c r="X774" s="198"/>
      <c r="Y774" s="198"/>
      <c r="Z774" s="198"/>
    </row>
    <row r="775">
      <c r="A775" s="403"/>
      <c r="B775" s="198"/>
      <c r="C775" s="403"/>
      <c r="D775" s="142"/>
      <c r="E775" s="403"/>
      <c r="F775" s="198"/>
      <c r="G775" s="403"/>
      <c r="H775" s="198"/>
      <c r="I775" s="411"/>
      <c r="J775" s="142"/>
      <c r="K775" s="411"/>
      <c r="L775" s="142"/>
      <c r="M775" s="411"/>
      <c r="N775" s="142"/>
      <c r="O775" s="403"/>
      <c r="P775" s="198"/>
      <c r="Q775" s="412"/>
      <c r="R775" s="76"/>
      <c r="S775" s="197"/>
      <c r="T775" s="198"/>
      <c r="U775" s="197"/>
      <c r="V775" s="198"/>
      <c r="W775" s="198"/>
      <c r="X775" s="198"/>
      <c r="Y775" s="198"/>
      <c r="Z775" s="198"/>
    </row>
    <row r="776">
      <c r="A776" s="403"/>
      <c r="B776" s="198"/>
      <c r="C776" s="403"/>
      <c r="D776" s="142"/>
      <c r="E776" s="403"/>
      <c r="F776" s="198"/>
      <c r="G776" s="403"/>
      <c r="H776" s="198"/>
      <c r="I776" s="411"/>
      <c r="J776" s="142"/>
      <c r="K776" s="411"/>
      <c r="L776" s="142"/>
      <c r="M776" s="411"/>
      <c r="N776" s="142"/>
      <c r="O776" s="403"/>
      <c r="P776" s="198"/>
      <c r="Q776" s="412"/>
      <c r="R776" s="76"/>
      <c r="S776" s="197"/>
      <c r="T776" s="198"/>
      <c r="U776" s="197"/>
      <c r="V776" s="198"/>
      <c r="W776" s="198"/>
      <c r="X776" s="198"/>
      <c r="Y776" s="198"/>
      <c r="Z776" s="198"/>
    </row>
    <row r="777">
      <c r="A777" s="403"/>
      <c r="B777" s="198"/>
      <c r="C777" s="403"/>
      <c r="D777" s="142"/>
      <c r="E777" s="403"/>
      <c r="F777" s="198"/>
      <c r="G777" s="403"/>
      <c r="H777" s="198"/>
      <c r="I777" s="411"/>
      <c r="J777" s="142"/>
      <c r="K777" s="411"/>
      <c r="L777" s="142"/>
      <c r="M777" s="411"/>
      <c r="N777" s="142"/>
      <c r="O777" s="403"/>
      <c r="P777" s="198"/>
      <c r="Q777" s="412"/>
      <c r="R777" s="76"/>
      <c r="S777" s="197"/>
      <c r="T777" s="198"/>
      <c r="U777" s="197"/>
      <c r="V777" s="198"/>
      <c r="W777" s="198"/>
      <c r="X777" s="198"/>
      <c r="Y777" s="198"/>
      <c r="Z777" s="198"/>
    </row>
    <row r="778">
      <c r="A778" s="403"/>
      <c r="B778" s="198"/>
      <c r="C778" s="403"/>
      <c r="D778" s="142"/>
      <c r="E778" s="403"/>
      <c r="F778" s="198"/>
      <c r="G778" s="403"/>
      <c r="H778" s="198"/>
      <c r="I778" s="411"/>
      <c r="J778" s="142"/>
      <c r="K778" s="411"/>
      <c r="L778" s="142"/>
      <c r="M778" s="411"/>
      <c r="N778" s="142"/>
      <c r="O778" s="403"/>
      <c r="P778" s="198"/>
      <c r="Q778" s="412"/>
      <c r="R778" s="76"/>
      <c r="S778" s="197"/>
      <c r="T778" s="198"/>
      <c r="U778" s="197"/>
      <c r="V778" s="198"/>
      <c r="W778" s="198"/>
      <c r="X778" s="198"/>
      <c r="Y778" s="198"/>
      <c r="Z778" s="198"/>
    </row>
    <row r="779">
      <c r="A779" s="403"/>
      <c r="B779" s="198"/>
      <c r="C779" s="403"/>
      <c r="D779" s="142"/>
      <c r="E779" s="403"/>
      <c r="F779" s="198"/>
      <c r="G779" s="403"/>
      <c r="H779" s="198"/>
      <c r="I779" s="411"/>
      <c r="J779" s="142"/>
      <c r="K779" s="411"/>
      <c r="L779" s="142"/>
      <c r="M779" s="411"/>
      <c r="N779" s="142"/>
      <c r="O779" s="403"/>
      <c r="P779" s="198"/>
      <c r="Q779" s="412"/>
      <c r="R779" s="76"/>
      <c r="S779" s="197"/>
      <c r="T779" s="198"/>
      <c r="U779" s="197"/>
      <c r="V779" s="198"/>
      <c r="W779" s="198"/>
      <c r="X779" s="198"/>
      <c r="Y779" s="198"/>
      <c r="Z779" s="198"/>
    </row>
    <row r="780">
      <c r="A780" s="403"/>
      <c r="B780" s="198"/>
      <c r="C780" s="403"/>
      <c r="D780" s="142"/>
      <c r="E780" s="403"/>
      <c r="F780" s="198"/>
      <c r="G780" s="403"/>
      <c r="H780" s="198"/>
      <c r="I780" s="411"/>
      <c r="J780" s="142"/>
      <c r="K780" s="411"/>
      <c r="L780" s="142"/>
      <c r="M780" s="411"/>
      <c r="N780" s="142"/>
      <c r="O780" s="403"/>
      <c r="P780" s="198"/>
      <c r="Q780" s="412"/>
      <c r="R780" s="76"/>
      <c r="S780" s="197"/>
      <c r="T780" s="198"/>
      <c r="U780" s="197"/>
      <c r="V780" s="198"/>
      <c r="W780" s="198"/>
      <c r="X780" s="198"/>
      <c r="Y780" s="198"/>
      <c r="Z780" s="198"/>
    </row>
    <row r="781">
      <c r="A781" s="403"/>
      <c r="B781" s="198"/>
      <c r="C781" s="403"/>
      <c r="D781" s="142"/>
      <c r="E781" s="403"/>
      <c r="F781" s="198"/>
      <c r="G781" s="403"/>
      <c r="H781" s="198"/>
      <c r="I781" s="411"/>
      <c r="J781" s="142"/>
      <c r="K781" s="411"/>
      <c r="L781" s="142"/>
      <c r="M781" s="411"/>
      <c r="N781" s="142"/>
      <c r="O781" s="403"/>
      <c r="P781" s="198"/>
      <c r="Q781" s="412"/>
      <c r="R781" s="76"/>
      <c r="S781" s="197"/>
      <c r="T781" s="198"/>
      <c r="U781" s="197"/>
      <c r="V781" s="198"/>
      <c r="W781" s="198"/>
      <c r="X781" s="198"/>
      <c r="Y781" s="198"/>
      <c r="Z781" s="198"/>
    </row>
    <row r="782">
      <c r="A782" s="403"/>
      <c r="B782" s="198"/>
      <c r="C782" s="403"/>
      <c r="D782" s="142"/>
      <c r="E782" s="403"/>
      <c r="F782" s="198"/>
      <c r="G782" s="403"/>
      <c r="H782" s="198"/>
      <c r="I782" s="411"/>
      <c r="J782" s="142"/>
      <c r="K782" s="411"/>
      <c r="L782" s="142"/>
      <c r="M782" s="411"/>
      <c r="N782" s="142"/>
      <c r="O782" s="403"/>
      <c r="P782" s="198"/>
      <c r="Q782" s="412"/>
      <c r="R782" s="76"/>
      <c r="S782" s="197"/>
      <c r="T782" s="198"/>
      <c r="U782" s="197"/>
      <c r="V782" s="198"/>
      <c r="W782" s="198"/>
      <c r="X782" s="198"/>
      <c r="Y782" s="198"/>
      <c r="Z782" s="198"/>
    </row>
    <row r="783">
      <c r="A783" s="403"/>
      <c r="B783" s="198"/>
      <c r="C783" s="403"/>
      <c r="D783" s="142"/>
      <c r="E783" s="403"/>
      <c r="F783" s="198"/>
      <c r="G783" s="403"/>
      <c r="H783" s="198"/>
      <c r="I783" s="411"/>
      <c r="J783" s="142"/>
      <c r="K783" s="411"/>
      <c r="L783" s="142"/>
      <c r="M783" s="411"/>
      <c r="N783" s="142"/>
      <c r="O783" s="403"/>
      <c r="P783" s="198"/>
      <c r="Q783" s="412"/>
      <c r="R783" s="76"/>
      <c r="S783" s="197"/>
      <c r="T783" s="198"/>
      <c r="U783" s="197"/>
      <c r="V783" s="198"/>
      <c r="W783" s="198"/>
      <c r="X783" s="198"/>
      <c r="Y783" s="198"/>
      <c r="Z783" s="198"/>
    </row>
    <row r="784">
      <c r="A784" s="403"/>
      <c r="B784" s="198"/>
      <c r="C784" s="403"/>
      <c r="D784" s="142"/>
      <c r="E784" s="403"/>
      <c r="F784" s="198"/>
      <c r="G784" s="403"/>
      <c r="H784" s="198"/>
      <c r="I784" s="411"/>
      <c r="J784" s="142"/>
      <c r="K784" s="411"/>
      <c r="L784" s="142"/>
      <c r="M784" s="411"/>
      <c r="N784" s="142"/>
      <c r="O784" s="403"/>
      <c r="P784" s="198"/>
      <c r="Q784" s="412"/>
      <c r="R784" s="76"/>
      <c r="S784" s="197"/>
      <c r="T784" s="198"/>
      <c r="U784" s="197"/>
      <c r="V784" s="198"/>
      <c r="W784" s="198"/>
      <c r="X784" s="198"/>
      <c r="Y784" s="198"/>
      <c r="Z784" s="198"/>
    </row>
    <row r="785">
      <c r="A785" s="403"/>
      <c r="B785" s="198"/>
      <c r="C785" s="403"/>
      <c r="D785" s="142"/>
      <c r="E785" s="403"/>
      <c r="F785" s="198"/>
      <c r="G785" s="403"/>
      <c r="H785" s="198"/>
      <c r="I785" s="411"/>
      <c r="J785" s="142"/>
      <c r="K785" s="411"/>
      <c r="L785" s="142"/>
      <c r="M785" s="411"/>
      <c r="N785" s="142"/>
      <c r="O785" s="403"/>
      <c r="P785" s="198"/>
      <c r="Q785" s="412"/>
      <c r="R785" s="76"/>
      <c r="S785" s="197"/>
      <c r="T785" s="198"/>
      <c r="U785" s="197"/>
      <c r="V785" s="198"/>
      <c r="W785" s="198"/>
      <c r="X785" s="198"/>
      <c r="Y785" s="198"/>
      <c r="Z785" s="198"/>
    </row>
    <row r="786">
      <c r="A786" s="403"/>
      <c r="B786" s="198"/>
      <c r="C786" s="403"/>
      <c r="D786" s="142"/>
      <c r="E786" s="403"/>
      <c r="F786" s="198"/>
      <c r="G786" s="403"/>
      <c r="H786" s="198"/>
      <c r="I786" s="411"/>
      <c r="J786" s="142"/>
      <c r="K786" s="411"/>
      <c r="L786" s="142"/>
      <c r="M786" s="411"/>
      <c r="N786" s="142"/>
      <c r="O786" s="403"/>
      <c r="P786" s="198"/>
      <c r="Q786" s="412"/>
      <c r="R786" s="76"/>
      <c r="S786" s="197"/>
      <c r="T786" s="198"/>
      <c r="U786" s="197"/>
      <c r="V786" s="198"/>
      <c r="W786" s="198"/>
      <c r="X786" s="198"/>
      <c r="Y786" s="198"/>
      <c r="Z786" s="198"/>
    </row>
    <row r="787">
      <c r="A787" s="403"/>
      <c r="B787" s="198"/>
      <c r="C787" s="403"/>
      <c r="D787" s="142"/>
      <c r="E787" s="403"/>
      <c r="F787" s="198"/>
      <c r="G787" s="403"/>
      <c r="H787" s="198"/>
      <c r="I787" s="411"/>
      <c r="J787" s="142"/>
      <c r="K787" s="411"/>
      <c r="L787" s="142"/>
      <c r="M787" s="411"/>
      <c r="N787" s="142"/>
      <c r="O787" s="403"/>
      <c r="P787" s="198"/>
      <c r="Q787" s="412"/>
      <c r="R787" s="76"/>
      <c r="S787" s="197"/>
      <c r="T787" s="198"/>
      <c r="U787" s="197"/>
      <c r="V787" s="198"/>
      <c r="W787" s="198"/>
      <c r="X787" s="198"/>
      <c r="Y787" s="198"/>
      <c r="Z787" s="198"/>
    </row>
    <row r="788">
      <c r="A788" s="403"/>
      <c r="B788" s="198"/>
      <c r="C788" s="403"/>
      <c r="D788" s="142"/>
      <c r="E788" s="403"/>
      <c r="F788" s="198"/>
      <c r="G788" s="403"/>
      <c r="H788" s="198"/>
      <c r="I788" s="411"/>
      <c r="J788" s="142"/>
      <c r="K788" s="411"/>
      <c r="L788" s="142"/>
      <c r="M788" s="411"/>
      <c r="N788" s="142"/>
      <c r="O788" s="403"/>
      <c r="P788" s="198"/>
      <c r="Q788" s="412"/>
      <c r="R788" s="76"/>
      <c r="S788" s="197"/>
      <c r="T788" s="198"/>
      <c r="U788" s="197"/>
      <c r="V788" s="198"/>
      <c r="W788" s="198"/>
      <c r="X788" s="198"/>
      <c r="Y788" s="198"/>
      <c r="Z788" s="198"/>
    </row>
    <row r="789">
      <c r="A789" s="403"/>
      <c r="B789" s="198"/>
      <c r="C789" s="403"/>
      <c r="D789" s="142"/>
      <c r="E789" s="403"/>
      <c r="F789" s="198"/>
      <c r="G789" s="403"/>
      <c r="H789" s="198"/>
      <c r="I789" s="411"/>
      <c r="J789" s="142"/>
      <c r="K789" s="411"/>
      <c r="L789" s="142"/>
      <c r="M789" s="411"/>
      <c r="N789" s="142"/>
      <c r="O789" s="403"/>
      <c r="P789" s="198"/>
      <c r="Q789" s="412"/>
      <c r="R789" s="76"/>
      <c r="S789" s="197"/>
      <c r="T789" s="198"/>
      <c r="U789" s="197"/>
      <c r="V789" s="198"/>
      <c r="W789" s="198"/>
      <c r="X789" s="198"/>
      <c r="Y789" s="198"/>
      <c r="Z789" s="198"/>
    </row>
    <row r="790">
      <c r="A790" s="403"/>
      <c r="B790" s="198"/>
      <c r="C790" s="403"/>
      <c r="D790" s="142"/>
      <c r="E790" s="403"/>
      <c r="F790" s="198"/>
      <c r="G790" s="403"/>
      <c r="H790" s="198"/>
      <c r="I790" s="411"/>
      <c r="J790" s="142"/>
      <c r="K790" s="411"/>
      <c r="L790" s="142"/>
      <c r="M790" s="411"/>
      <c r="N790" s="142"/>
      <c r="O790" s="403"/>
      <c r="P790" s="198"/>
      <c r="Q790" s="412"/>
      <c r="R790" s="76"/>
      <c r="S790" s="197"/>
      <c r="T790" s="198"/>
      <c r="U790" s="197"/>
      <c r="V790" s="198"/>
      <c r="W790" s="198"/>
      <c r="X790" s="198"/>
      <c r="Y790" s="198"/>
      <c r="Z790" s="198"/>
    </row>
    <row r="791">
      <c r="A791" s="403"/>
      <c r="B791" s="198"/>
      <c r="C791" s="403"/>
      <c r="D791" s="142"/>
      <c r="E791" s="403"/>
      <c r="F791" s="198"/>
      <c r="G791" s="403"/>
      <c r="H791" s="198"/>
      <c r="I791" s="411"/>
      <c r="J791" s="142"/>
      <c r="K791" s="411"/>
      <c r="L791" s="142"/>
      <c r="M791" s="411"/>
      <c r="N791" s="142"/>
      <c r="O791" s="403"/>
      <c r="P791" s="198"/>
      <c r="Q791" s="412"/>
      <c r="R791" s="76"/>
      <c r="S791" s="197"/>
      <c r="T791" s="198"/>
      <c r="U791" s="197"/>
      <c r="V791" s="198"/>
      <c r="W791" s="198"/>
      <c r="X791" s="198"/>
      <c r="Y791" s="198"/>
      <c r="Z791" s="198"/>
    </row>
    <row r="792">
      <c r="A792" s="403"/>
      <c r="B792" s="198"/>
      <c r="C792" s="403"/>
      <c r="D792" s="142"/>
      <c r="E792" s="403"/>
      <c r="F792" s="198"/>
      <c r="G792" s="403"/>
      <c r="H792" s="198"/>
      <c r="I792" s="411"/>
      <c r="J792" s="142"/>
      <c r="K792" s="411"/>
      <c r="L792" s="142"/>
      <c r="M792" s="411"/>
      <c r="N792" s="142"/>
      <c r="O792" s="403"/>
      <c r="P792" s="198"/>
      <c r="Q792" s="412"/>
      <c r="R792" s="76"/>
      <c r="S792" s="197"/>
      <c r="T792" s="198"/>
      <c r="U792" s="197"/>
      <c r="V792" s="198"/>
      <c r="W792" s="198"/>
      <c r="X792" s="198"/>
      <c r="Y792" s="198"/>
      <c r="Z792" s="198"/>
    </row>
    <row r="793">
      <c r="A793" s="403"/>
      <c r="B793" s="198"/>
      <c r="C793" s="403"/>
      <c r="D793" s="142"/>
      <c r="E793" s="403"/>
      <c r="F793" s="198"/>
      <c r="G793" s="403"/>
      <c r="H793" s="198"/>
      <c r="I793" s="411"/>
      <c r="J793" s="142"/>
      <c r="K793" s="411"/>
      <c r="L793" s="142"/>
      <c r="M793" s="411"/>
      <c r="N793" s="142"/>
      <c r="O793" s="403"/>
      <c r="P793" s="198"/>
      <c r="Q793" s="412"/>
      <c r="R793" s="76"/>
      <c r="S793" s="197"/>
      <c r="T793" s="198"/>
      <c r="U793" s="197"/>
      <c r="V793" s="198"/>
      <c r="W793" s="198"/>
      <c r="X793" s="198"/>
      <c r="Y793" s="198"/>
      <c r="Z793" s="198"/>
    </row>
    <row r="794">
      <c r="A794" s="403"/>
      <c r="B794" s="198"/>
      <c r="C794" s="403"/>
      <c r="D794" s="142"/>
      <c r="E794" s="403"/>
      <c r="F794" s="198"/>
      <c r="G794" s="403"/>
      <c r="H794" s="198"/>
      <c r="I794" s="411"/>
      <c r="J794" s="142"/>
      <c r="K794" s="411"/>
      <c r="L794" s="142"/>
      <c r="M794" s="411"/>
      <c r="N794" s="142"/>
      <c r="O794" s="403"/>
      <c r="P794" s="198"/>
      <c r="Q794" s="412"/>
      <c r="R794" s="76"/>
      <c r="S794" s="197"/>
      <c r="T794" s="198"/>
      <c r="U794" s="197"/>
      <c r="V794" s="198"/>
      <c r="W794" s="198"/>
      <c r="X794" s="198"/>
      <c r="Y794" s="198"/>
      <c r="Z794" s="198"/>
    </row>
    <row r="795">
      <c r="A795" s="403"/>
      <c r="B795" s="198"/>
      <c r="C795" s="403"/>
      <c r="D795" s="142"/>
      <c r="E795" s="403"/>
      <c r="F795" s="198"/>
      <c r="G795" s="403"/>
      <c r="H795" s="198"/>
      <c r="I795" s="411"/>
      <c r="J795" s="142"/>
      <c r="K795" s="411"/>
      <c r="L795" s="142"/>
      <c r="M795" s="411"/>
      <c r="N795" s="142"/>
      <c r="O795" s="403"/>
      <c r="P795" s="198"/>
      <c r="Q795" s="412"/>
      <c r="R795" s="76"/>
      <c r="S795" s="197"/>
      <c r="T795" s="198"/>
      <c r="U795" s="197"/>
      <c r="V795" s="198"/>
      <c r="W795" s="198"/>
      <c r="X795" s="198"/>
      <c r="Y795" s="198"/>
      <c r="Z795" s="198"/>
    </row>
    <row r="796">
      <c r="A796" s="403"/>
      <c r="B796" s="198"/>
      <c r="C796" s="403"/>
      <c r="D796" s="142"/>
      <c r="E796" s="403"/>
      <c r="F796" s="198"/>
      <c r="G796" s="403"/>
      <c r="H796" s="198"/>
      <c r="I796" s="411"/>
      <c r="J796" s="142"/>
      <c r="K796" s="411"/>
      <c r="L796" s="142"/>
      <c r="M796" s="411"/>
      <c r="N796" s="142"/>
      <c r="O796" s="403"/>
      <c r="P796" s="198"/>
      <c r="Q796" s="412"/>
      <c r="R796" s="76"/>
      <c r="S796" s="197"/>
      <c r="T796" s="198"/>
      <c r="U796" s="197"/>
      <c r="V796" s="198"/>
      <c r="W796" s="198"/>
      <c r="X796" s="198"/>
      <c r="Y796" s="198"/>
      <c r="Z796" s="198"/>
    </row>
    <row r="797">
      <c r="A797" s="403"/>
      <c r="B797" s="198"/>
      <c r="C797" s="403"/>
      <c r="D797" s="142"/>
      <c r="E797" s="403"/>
      <c r="F797" s="198"/>
      <c r="G797" s="403"/>
      <c r="H797" s="198"/>
      <c r="I797" s="411"/>
      <c r="J797" s="142"/>
      <c r="K797" s="411"/>
      <c r="L797" s="142"/>
      <c r="M797" s="411"/>
      <c r="N797" s="142"/>
      <c r="O797" s="403"/>
      <c r="P797" s="198"/>
      <c r="Q797" s="412"/>
      <c r="R797" s="76"/>
      <c r="S797" s="197"/>
      <c r="T797" s="198"/>
      <c r="U797" s="197"/>
      <c r="V797" s="198"/>
      <c r="W797" s="198"/>
      <c r="X797" s="198"/>
      <c r="Y797" s="198"/>
      <c r="Z797" s="198"/>
    </row>
    <row r="798">
      <c r="A798" s="403"/>
      <c r="B798" s="198"/>
      <c r="C798" s="403"/>
      <c r="D798" s="142"/>
      <c r="E798" s="403"/>
      <c r="F798" s="198"/>
      <c r="G798" s="403"/>
      <c r="H798" s="198"/>
      <c r="I798" s="411"/>
      <c r="J798" s="142"/>
      <c r="K798" s="411"/>
      <c r="L798" s="142"/>
      <c r="M798" s="411"/>
      <c r="N798" s="142"/>
      <c r="O798" s="403"/>
      <c r="P798" s="198"/>
      <c r="Q798" s="412"/>
      <c r="R798" s="76"/>
      <c r="S798" s="197"/>
      <c r="T798" s="198"/>
      <c r="U798" s="197"/>
      <c r="V798" s="198"/>
      <c r="W798" s="198"/>
      <c r="X798" s="198"/>
      <c r="Y798" s="198"/>
      <c r="Z798" s="198"/>
    </row>
    <row r="799">
      <c r="A799" s="403"/>
      <c r="B799" s="198"/>
      <c r="C799" s="403"/>
      <c r="D799" s="142"/>
      <c r="E799" s="403"/>
      <c r="F799" s="198"/>
      <c r="G799" s="403"/>
      <c r="H799" s="198"/>
      <c r="I799" s="411"/>
      <c r="J799" s="142"/>
      <c r="K799" s="411"/>
      <c r="L799" s="142"/>
      <c r="M799" s="411"/>
      <c r="N799" s="142"/>
      <c r="O799" s="403"/>
      <c r="P799" s="198"/>
      <c r="Q799" s="412"/>
      <c r="R799" s="76"/>
      <c r="S799" s="197"/>
      <c r="T799" s="198"/>
      <c r="U799" s="197"/>
      <c r="V799" s="198"/>
      <c r="W799" s="198"/>
      <c r="X799" s="198"/>
      <c r="Y799" s="198"/>
      <c r="Z799" s="198"/>
    </row>
    <row r="800">
      <c r="A800" s="403"/>
      <c r="B800" s="198"/>
      <c r="C800" s="403"/>
      <c r="D800" s="142"/>
      <c r="E800" s="403"/>
      <c r="F800" s="198"/>
      <c r="G800" s="403"/>
      <c r="H800" s="198"/>
      <c r="I800" s="411"/>
      <c r="J800" s="142"/>
      <c r="K800" s="411"/>
      <c r="L800" s="142"/>
      <c r="M800" s="411"/>
      <c r="N800" s="142"/>
      <c r="O800" s="403"/>
      <c r="P800" s="198"/>
      <c r="Q800" s="412"/>
      <c r="R800" s="76"/>
      <c r="S800" s="197"/>
      <c r="T800" s="198"/>
      <c r="U800" s="197"/>
      <c r="V800" s="198"/>
      <c r="W800" s="198"/>
      <c r="X800" s="198"/>
      <c r="Y800" s="198"/>
      <c r="Z800" s="198"/>
    </row>
    <row r="801">
      <c r="A801" s="403"/>
      <c r="B801" s="198"/>
      <c r="C801" s="403"/>
      <c r="D801" s="142"/>
      <c r="E801" s="403"/>
      <c r="F801" s="198"/>
      <c r="G801" s="403"/>
      <c r="H801" s="198"/>
      <c r="I801" s="411"/>
      <c r="J801" s="142"/>
      <c r="K801" s="411"/>
      <c r="L801" s="142"/>
      <c r="M801" s="411"/>
      <c r="N801" s="142"/>
      <c r="O801" s="403"/>
      <c r="P801" s="198"/>
      <c r="Q801" s="412"/>
      <c r="R801" s="76"/>
      <c r="S801" s="197"/>
      <c r="T801" s="198"/>
      <c r="U801" s="197"/>
      <c r="V801" s="198"/>
      <c r="W801" s="198"/>
      <c r="X801" s="198"/>
      <c r="Y801" s="198"/>
      <c r="Z801" s="198"/>
    </row>
    <row r="802">
      <c r="A802" s="403"/>
      <c r="B802" s="198"/>
      <c r="C802" s="403"/>
      <c r="D802" s="142"/>
      <c r="E802" s="403"/>
      <c r="F802" s="198"/>
      <c r="G802" s="403"/>
      <c r="H802" s="198"/>
      <c r="I802" s="411"/>
      <c r="J802" s="142"/>
      <c r="K802" s="411"/>
      <c r="L802" s="142"/>
      <c r="M802" s="411"/>
      <c r="N802" s="142"/>
      <c r="O802" s="403"/>
      <c r="P802" s="198"/>
      <c r="Q802" s="412"/>
      <c r="R802" s="76"/>
      <c r="S802" s="197"/>
      <c r="T802" s="198"/>
      <c r="U802" s="197"/>
      <c r="V802" s="198"/>
      <c r="W802" s="198"/>
      <c r="X802" s="198"/>
      <c r="Y802" s="198"/>
      <c r="Z802" s="198"/>
    </row>
    <row r="803">
      <c r="A803" s="403"/>
      <c r="B803" s="198"/>
      <c r="C803" s="403"/>
      <c r="D803" s="142"/>
      <c r="E803" s="403"/>
      <c r="F803" s="198"/>
      <c r="G803" s="403"/>
      <c r="H803" s="198"/>
      <c r="I803" s="411"/>
      <c r="J803" s="142"/>
      <c r="K803" s="411"/>
      <c r="L803" s="142"/>
      <c r="M803" s="411"/>
      <c r="N803" s="142"/>
      <c r="O803" s="403"/>
      <c r="P803" s="198"/>
      <c r="Q803" s="412"/>
      <c r="R803" s="76"/>
      <c r="S803" s="197"/>
      <c r="T803" s="198"/>
      <c r="U803" s="197"/>
      <c r="V803" s="198"/>
      <c r="W803" s="198"/>
      <c r="X803" s="198"/>
      <c r="Y803" s="198"/>
      <c r="Z803" s="198"/>
    </row>
    <row r="804">
      <c r="A804" s="403"/>
      <c r="B804" s="198"/>
      <c r="C804" s="403"/>
      <c r="D804" s="142"/>
      <c r="E804" s="403"/>
      <c r="F804" s="198"/>
      <c r="G804" s="403"/>
      <c r="H804" s="198"/>
      <c r="I804" s="411"/>
      <c r="J804" s="142"/>
      <c r="K804" s="411"/>
      <c r="L804" s="142"/>
      <c r="M804" s="411"/>
      <c r="N804" s="142"/>
      <c r="O804" s="403"/>
      <c r="P804" s="198"/>
      <c r="Q804" s="412"/>
      <c r="R804" s="76"/>
      <c r="S804" s="197"/>
      <c r="T804" s="198"/>
      <c r="U804" s="197"/>
      <c r="V804" s="198"/>
      <c r="W804" s="198"/>
      <c r="X804" s="198"/>
      <c r="Y804" s="198"/>
      <c r="Z804" s="198"/>
    </row>
    <row r="805">
      <c r="A805" s="403"/>
      <c r="B805" s="198"/>
      <c r="C805" s="403"/>
      <c r="D805" s="142"/>
      <c r="E805" s="403"/>
      <c r="F805" s="198"/>
      <c r="G805" s="403"/>
      <c r="H805" s="198"/>
      <c r="I805" s="411"/>
      <c r="J805" s="142"/>
      <c r="K805" s="411"/>
      <c r="L805" s="142"/>
      <c r="M805" s="411"/>
      <c r="N805" s="142"/>
      <c r="O805" s="403"/>
      <c r="P805" s="198"/>
      <c r="Q805" s="412"/>
      <c r="R805" s="76"/>
      <c r="S805" s="197"/>
      <c r="T805" s="198"/>
      <c r="U805" s="197"/>
      <c r="V805" s="198"/>
      <c r="W805" s="198"/>
      <c r="X805" s="198"/>
      <c r="Y805" s="198"/>
      <c r="Z805" s="198"/>
    </row>
    <row r="806">
      <c r="A806" s="403"/>
      <c r="B806" s="198"/>
      <c r="C806" s="403"/>
      <c r="D806" s="142"/>
      <c r="E806" s="403"/>
      <c r="F806" s="198"/>
      <c r="G806" s="403"/>
      <c r="H806" s="198"/>
      <c r="I806" s="411"/>
      <c r="J806" s="142"/>
      <c r="K806" s="411"/>
      <c r="L806" s="142"/>
      <c r="M806" s="411"/>
      <c r="N806" s="142"/>
      <c r="O806" s="403"/>
      <c r="P806" s="198"/>
      <c r="Q806" s="412"/>
      <c r="R806" s="76"/>
      <c r="S806" s="197"/>
      <c r="T806" s="198"/>
      <c r="U806" s="197"/>
      <c r="V806" s="198"/>
      <c r="W806" s="198"/>
      <c r="X806" s="198"/>
      <c r="Y806" s="198"/>
      <c r="Z806" s="198"/>
    </row>
    <row r="807">
      <c r="A807" s="403"/>
      <c r="B807" s="198"/>
      <c r="C807" s="403"/>
      <c r="D807" s="142"/>
      <c r="E807" s="403"/>
      <c r="F807" s="198"/>
      <c r="G807" s="403"/>
      <c r="H807" s="198"/>
      <c r="I807" s="411"/>
      <c r="J807" s="142"/>
      <c r="K807" s="411"/>
      <c r="L807" s="142"/>
      <c r="M807" s="411"/>
      <c r="N807" s="142"/>
      <c r="O807" s="403"/>
      <c r="P807" s="198"/>
      <c r="Q807" s="412"/>
      <c r="R807" s="76"/>
      <c r="S807" s="197"/>
      <c r="T807" s="198"/>
      <c r="U807" s="197"/>
      <c r="V807" s="198"/>
      <c r="W807" s="198"/>
      <c r="X807" s="198"/>
      <c r="Y807" s="198"/>
      <c r="Z807" s="198"/>
    </row>
    <row r="808">
      <c r="A808" s="403"/>
      <c r="B808" s="198"/>
      <c r="C808" s="403"/>
      <c r="D808" s="142"/>
      <c r="E808" s="403"/>
      <c r="F808" s="198"/>
      <c r="G808" s="403"/>
      <c r="H808" s="198"/>
      <c r="I808" s="411"/>
      <c r="J808" s="142"/>
      <c r="K808" s="411"/>
      <c r="L808" s="142"/>
      <c r="M808" s="411"/>
      <c r="N808" s="142"/>
      <c r="O808" s="403"/>
      <c r="P808" s="198"/>
      <c r="Q808" s="412"/>
      <c r="R808" s="76"/>
      <c r="S808" s="197"/>
      <c r="T808" s="198"/>
      <c r="U808" s="197"/>
      <c r="V808" s="198"/>
      <c r="W808" s="198"/>
      <c r="X808" s="198"/>
      <c r="Y808" s="198"/>
      <c r="Z808" s="198"/>
    </row>
    <row r="809">
      <c r="A809" s="403"/>
      <c r="B809" s="198"/>
      <c r="C809" s="403"/>
      <c r="D809" s="142"/>
      <c r="E809" s="403"/>
      <c r="F809" s="198"/>
      <c r="G809" s="403"/>
      <c r="H809" s="198"/>
      <c r="I809" s="411"/>
      <c r="J809" s="142"/>
      <c r="K809" s="411"/>
      <c r="L809" s="142"/>
      <c r="M809" s="411"/>
      <c r="N809" s="142"/>
      <c r="O809" s="403"/>
      <c r="P809" s="198"/>
      <c r="Q809" s="412"/>
      <c r="R809" s="76"/>
      <c r="S809" s="197"/>
      <c r="T809" s="198"/>
      <c r="U809" s="197"/>
      <c r="V809" s="198"/>
      <c r="W809" s="198"/>
      <c r="X809" s="198"/>
      <c r="Y809" s="198"/>
      <c r="Z809" s="198"/>
    </row>
    <row r="810">
      <c r="A810" s="403"/>
      <c r="B810" s="198"/>
      <c r="C810" s="403"/>
      <c r="D810" s="142"/>
      <c r="E810" s="403"/>
      <c r="F810" s="198"/>
      <c r="G810" s="403"/>
      <c r="H810" s="198"/>
      <c r="I810" s="411"/>
      <c r="J810" s="142"/>
      <c r="K810" s="411"/>
      <c r="L810" s="142"/>
      <c r="M810" s="411"/>
      <c r="N810" s="142"/>
      <c r="O810" s="403"/>
      <c r="P810" s="198"/>
      <c r="Q810" s="412"/>
      <c r="R810" s="76"/>
      <c r="S810" s="197"/>
      <c r="T810" s="198"/>
      <c r="U810" s="197"/>
      <c r="V810" s="198"/>
      <c r="W810" s="198"/>
      <c r="X810" s="198"/>
      <c r="Y810" s="198"/>
      <c r="Z810" s="198"/>
    </row>
    <row r="811">
      <c r="A811" s="403"/>
      <c r="B811" s="198"/>
      <c r="C811" s="403"/>
      <c r="D811" s="142"/>
      <c r="E811" s="403"/>
      <c r="F811" s="198"/>
      <c r="G811" s="403"/>
      <c r="H811" s="198"/>
      <c r="I811" s="411"/>
      <c r="J811" s="142"/>
      <c r="K811" s="411"/>
      <c r="L811" s="142"/>
      <c r="M811" s="411"/>
      <c r="N811" s="142"/>
      <c r="O811" s="403"/>
      <c r="P811" s="198"/>
      <c r="Q811" s="412"/>
      <c r="R811" s="76"/>
      <c r="S811" s="197"/>
      <c r="T811" s="198"/>
      <c r="U811" s="197"/>
      <c r="V811" s="198"/>
      <c r="W811" s="198"/>
      <c r="X811" s="198"/>
      <c r="Y811" s="198"/>
      <c r="Z811" s="198"/>
    </row>
    <row r="812">
      <c r="A812" s="403"/>
      <c r="B812" s="198"/>
      <c r="C812" s="403"/>
      <c r="D812" s="142"/>
      <c r="E812" s="403"/>
      <c r="F812" s="198"/>
      <c r="G812" s="403"/>
      <c r="H812" s="198"/>
      <c r="I812" s="411"/>
      <c r="J812" s="142"/>
      <c r="K812" s="411"/>
      <c r="L812" s="142"/>
      <c r="M812" s="411"/>
      <c r="N812" s="142"/>
      <c r="O812" s="403"/>
      <c r="P812" s="198"/>
      <c r="Q812" s="412"/>
      <c r="R812" s="76"/>
      <c r="S812" s="197"/>
      <c r="T812" s="198"/>
      <c r="U812" s="197"/>
      <c r="V812" s="198"/>
      <c r="W812" s="198"/>
      <c r="X812" s="198"/>
      <c r="Y812" s="198"/>
      <c r="Z812" s="198"/>
    </row>
    <row r="813">
      <c r="A813" s="403"/>
      <c r="B813" s="198"/>
      <c r="C813" s="403"/>
      <c r="D813" s="142"/>
      <c r="E813" s="403"/>
      <c r="F813" s="198"/>
      <c r="G813" s="403"/>
      <c r="H813" s="198"/>
      <c r="I813" s="411"/>
      <c r="J813" s="142"/>
      <c r="K813" s="411"/>
      <c r="L813" s="142"/>
      <c r="M813" s="411"/>
      <c r="N813" s="142"/>
      <c r="O813" s="403"/>
      <c r="P813" s="198"/>
      <c r="Q813" s="412"/>
      <c r="R813" s="76"/>
      <c r="S813" s="197"/>
      <c r="T813" s="198"/>
      <c r="U813" s="197"/>
      <c r="V813" s="198"/>
      <c r="W813" s="198"/>
      <c r="X813" s="198"/>
      <c r="Y813" s="198"/>
      <c r="Z813" s="198"/>
    </row>
    <row r="814">
      <c r="A814" s="403"/>
      <c r="B814" s="198"/>
      <c r="C814" s="403"/>
      <c r="D814" s="142"/>
      <c r="E814" s="403"/>
      <c r="F814" s="198"/>
      <c r="G814" s="403"/>
      <c r="H814" s="198"/>
      <c r="I814" s="411"/>
      <c r="J814" s="142"/>
      <c r="K814" s="411"/>
      <c r="L814" s="142"/>
      <c r="M814" s="411"/>
      <c r="N814" s="142"/>
      <c r="O814" s="403"/>
      <c r="P814" s="198"/>
      <c r="Q814" s="412"/>
      <c r="R814" s="76"/>
      <c r="S814" s="197"/>
      <c r="T814" s="198"/>
      <c r="U814" s="197"/>
      <c r="V814" s="198"/>
      <c r="W814" s="198"/>
      <c r="X814" s="198"/>
      <c r="Y814" s="198"/>
      <c r="Z814" s="198"/>
    </row>
    <row r="815">
      <c r="A815" s="403"/>
      <c r="B815" s="198"/>
      <c r="C815" s="403"/>
      <c r="D815" s="142"/>
      <c r="E815" s="403"/>
      <c r="F815" s="198"/>
      <c r="G815" s="403"/>
      <c r="H815" s="198"/>
      <c r="I815" s="411"/>
      <c r="J815" s="142"/>
      <c r="K815" s="411"/>
      <c r="L815" s="142"/>
      <c r="M815" s="411"/>
      <c r="N815" s="142"/>
      <c r="O815" s="403"/>
      <c r="P815" s="198"/>
      <c r="Q815" s="412"/>
      <c r="R815" s="76"/>
      <c r="S815" s="197"/>
      <c r="T815" s="198"/>
      <c r="U815" s="197"/>
      <c r="V815" s="198"/>
      <c r="W815" s="198"/>
      <c r="X815" s="198"/>
      <c r="Y815" s="198"/>
      <c r="Z815" s="198"/>
    </row>
    <row r="816">
      <c r="A816" s="403"/>
      <c r="B816" s="198"/>
      <c r="C816" s="403"/>
      <c r="D816" s="142"/>
      <c r="E816" s="403"/>
      <c r="F816" s="198"/>
      <c r="G816" s="403"/>
      <c r="H816" s="198"/>
      <c r="I816" s="411"/>
      <c r="J816" s="142"/>
      <c r="K816" s="411"/>
      <c r="L816" s="142"/>
      <c r="M816" s="411"/>
      <c r="N816" s="142"/>
      <c r="O816" s="403"/>
      <c r="P816" s="198"/>
      <c r="Q816" s="412"/>
      <c r="R816" s="76"/>
      <c r="S816" s="197"/>
      <c r="T816" s="198"/>
      <c r="U816" s="197"/>
      <c r="V816" s="198"/>
      <c r="W816" s="198"/>
      <c r="X816" s="198"/>
      <c r="Y816" s="198"/>
      <c r="Z816" s="198"/>
    </row>
    <row r="817">
      <c r="A817" s="403"/>
      <c r="B817" s="198"/>
      <c r="C817" s="403"/>
      <c r="D817" s="142"/>
      <c r="E817" s="403"/>
      <c r="F817" s="198"/>
      <c r="G817" s="403"/>
      <c r="H817" s="198"/>
      <c r="I817" s="411"/>
      <c r="J817" s="142"/>
      <c r="K817" s="411"/>
      <c r="L817" s="142"/>
      <c r="M817" s="411"/>
      <c r="N817" s="142"/>
      <c r="O817" s="403"/>
      <c r="P817" s="198"/>
      <c r="Q817" s="412"/>
      <c r="R817" s="76"/>
      <c r="S817" s="197"/>
      <c r="T817" s="198"/>
      <c r="U817" s="197"/>
      <c r="V817" s="198"/>
      <c r="W817" s="198"/>
      <c r="X817" s="198"/>
      <c r="Y817" s="198"/>
      <c r="Z817" s="198"/>
    </row>
    <row r="818">
      <c r="A818" s="403"/>
      <c r="B818" s="198"/>
      <c r="C818" s="403"/>
      <c r="D818" s="142"/>
      <c r="E818" s="403"/>
      <c r="F818" s="198"/>
      <c r="G818" s="403"/>
      <c r="H818" s="198"/>
      <c r="I818" s="411"/>
      <c r="J818" s="142"/>
      <c r="K818" s="411"/>
      <c r="L818" s="142"/>
      <c r="M818" s="411"/>
      <c r="N818" s="142"/>
      <c r="O818" s="403"/>
      <c r="P818" s="198"/>
      <c r="Q818" s="412"/>
      <c r="R818" s="76"/>
      <c r="S818" s="197"/>
      <c r="T818" s="198"/>
      <c r="U818" s="197"/>
      <c r="V818" s="198"/>
      <c r="W818" s="198"/>
      <c r="X818" s="198"/>
      <c r="Y818" s="198"/>
      <c r="Z818" s="198"/>
    </row>
    <row r="819">
      <c r="A819" s="403"/>
      <c r="B819" s="198"/>
      <c r="C819" s="403"/>
      <c r="D819" s="142"/>
      <c r="E819" s="403"/>
      <c r="F819" s="198"/>
      <c r="G819" s="403"/>
      <c r="H819" s="198"/>
      <c r="I819" s="411"/>
      <c r="J819" s="142"/>
      <c r="K819" s="411"/>
      <c r="L819" s="142"/>
      <c r="M819" s="411"/>
      <c r="N819" s="142"/>
      <c r="O819" s="403"/>
      <c r="P819" s="198"/>
      <c r="Q819" s="412"/>
      <c r="R819" s="76"/>
      <c r="S819" s="197"/>
      <c r="T819" s="198"/>
      <c r="U819" s="197"/>
      <c r="V819" s="198"/>
      <c r="W819" s="198"/>
      <c r="X819" s="198"/>
      <c r="Y819" s="198"/>
      <c r="Z819" s="198"/>
    </row>
    <row r="820">
      <c r="A820" s="403"/>
      <c r="B820" s="198"/>
      <c r="C820" s="403"/>
      <c r="D820" s="142"/>
      <c r="E820" s="403"/>
      <c r="F820" s="198"/>
      <c r="G820" s="403"/>
      <c r="H820" s="198"/>
      <c r="I820" s="411"/>
      <c r="J820" s="142"/>
      <c r="K820" s="411"/>
      <c r="L820" s="142"/>
      <c r="M820" s="411"/>
      <c r="N820" s="142"/>
      <c r="O820" s="403"/>
      <c r="P820" s="198"/>
      <c r="Q820" s="412"/>
      <c r="R820" s="76"/>
      <c r="S820" s="197"/>
      <c r="T820" s="198"/>
      <c r="U820" s="197"/>
      <c r="V820" s="198"/>
      <c r="W820" s="198"/>
      <c r="X820" s="198"/>
      <c r="Y820" s="198"/>
      <c r="Z820" s="198"/>
    </row>
    <row r="821">
      <c r="A821" s="403"/>
      <c r="B821" s="198"/>
      <c r="C821" s="403"/>
      <c r="D821" s="142"/>
      <c r="E821" s="403"/>
      <c r="F821" s="198"/>
      <c r="G821" s="403"/>
      <c r="H821" s="198"/>
      <c r="I821" s="411"/>
      <c r="J821" s="142"/>
      <c r="K821" s="411"/>
      <c r="L821" s="142"/>
      <c r="M821" s="411"/>
      <c r="N821" s="142"/>
      <c r="O821" s="403"/>
      <c r="P821" s="198"/>
      <c r="Q821" s="412"/>
      <c r="R821" s="76"/>
      <c r="S821" s="197"/>
      <c r="T821" s="198"/>
      <c r="U821" s="197"/>
      <c r="V821" s="198"/>
      <c r="W821" s="198"/>
      <c r="X821" s="198"/>
      <c r="Y821" s="198"/>
      <c r="Z821" s="198"/>
    </row>
    <row r="822">
      <c r="A822" s="403"/>
      <c r="B822" s="198"/>
      <c r="C822" s="403"/>
      <c r="D822" s="142"/>
      <c r="E822" s="403"/>
      <c r="F822" s="198"/>
      <c r="G822" s="403"/>
      <c r="H822" s="198"/>
      <c r="I822" s="411"/>
      <c r="J822" s="142"/>
      <c r="K822" s="411"/>
      <c r="L822" s="142"/>
      <c r="M822" s="411"/>
      <c r="N822" s="142"/>
      <c r="O822" s="403"/>
      <c r="P822" s="198"/>
      <c r="Q822" s="412"/>
      <c r="R822" s="76"/>
      <c r="S822" s="197"/>
      <c r="T822" s="198"/>
      <c r="U822" s="197"/>
      <c r="V822" s="198"/>
      <c r="W822" s="198"/>
      <c r="X822" s="198"/>
      <c r="Y822" s="198"/>
      <c r="Z822" s="198"/>
    </row>
    <row r="823">
      <c r="A823" s="403"/>
      <c r="B823" s="198"/>
      <c r="C823" s="403"/>
      <c r="D823" s="142"/>
      <c r="E823" s="403"/>
      <c r="F823" s="198"/>
      <c r="G823" s="403"/>
      <c r="H823" s="198"/>
      <c r="I823" s="411"/>
      <c r="J823" s="142"/>
      <c r="K823" s="411"/>
      <c r="L823" s="142"/>
      <c r="M823" s="411"/>
      <c r="N823" s="142"/>
      <c r="O823" s="403"/>
      <c r="P823" s="198"/>
      <c r="Q823" s="412"/>
      <c r="R823" s="76"/>
      <c r="S823" s="197"/>
      <c r="T823" s="198"/>
      <c r="U823" s="197"/>
      <c r="V823" s="198"/>
      <c r="W823" s="198"/>
      <c r="X823" s="198"/>
      <c r="Y823" s="198"/>
      <c r="Z823" s="198"/>
    </row>
    <row r="824">
      <c r="A824" s="403"/>
      <c r="B824" s="198"/>
      <c r="C824" s="403"/>
      <c r="D824" s="142"/>
      <c r="E824" s="403"/>
      <c r="F824" s="198"/>
      <c r="G824" s="403"/>
      <c r="H824" s="198"/>
      <c r="I824" s="411"/>
      <c r="J824" s="142"/>
      <c r="K824" s="411"/>
      <c r="L824" s="142"/>
      <c r="M824" s="411"/>
      <c r="N824" s="142"/>
      <c r="O824" s="403"/>
      <c r="P824" s="198"/>
      <c r="Q824" s="412"/>
      <c r="R824" s="76"/>
      <c r="S824" s="197"/>
      <c r="T824" s="198"/>
      <c r="U824" s="197"/>
      <c r="V824" s="198"/>
      <c r="W824" s="198"/>
      <c r="X824" s="198"/>
      <c r="Y824" s="198"/>
      <c r="Z824" s="198"/>
    </row>
    <row r="825">
      <c r="A825" s="403"/>
      <c r="B825" s="198"/>
      <c r="C825" s="403"/>
      <c r="D825" s="142"/>
      <c r="E825" s="403"/>
      <c r="F825" s="198"/>
      <c r="G825" s="403"/>
      <c r="H825" s="198"/>
      <c r="I825" s="411"/>
      <c r="J825" s="142"/>
      <c r="K825" s="411"/>
      <c r="L825" s="142"/>
      <c r="M825" s="411"/>
      <c r="N825" s="142"/>
      <c r="O825" s="403"/>
      <c r="P825" s="198"/>
      <c r="Q825" s="412"/>
      <c r="R825" s="76"/>
      <c r="S825" s="197"/>
      <c r="T825" s="198"/>
      <c r="U825" s="197"/>
      <c r="V825" s="198"/>
      <c r="W825" s="198"/>
      <c r="X825" s="198"/>
      <c r="Y825" s="198"/>
      <c r="Z825" s="198"/>
    </row>
    <row r="826">
      <c r="A826" s="403"/>
      <c r="B826" s="198"/>
      <c r="C826" s="403"/>
      <c r="D826" s="142"/>
      <c r="E826" s="403"/>
      <c r="F826" s="198"/>
      <c r="G826" s="403"/>
      <c r="H826" s="198"/>
      <c r="I826" s="411"/>
      <c r="J826" s="142"/>
      <c r="K826" s="411"/>
      <c r="L826" s="142"/>
      <c r="M826" s="411"/>
      <c r="N826" s="142"/>
      <c r="O826" s="403"/>
      <c r="P826" s="198"/>
      <c r="Q826" s="412"/>
      <c r="R826" s="76"/>
      <c r="S826" s="197"/>
      <c r="T826" s="198"/>
      <c r="U826" s="197"/>
      <c r="V826" s="198"/>
      <c r="W826" s="198"/>
      <c r="X826" s="198"/>
      <c r="Y826" s="198"/>
      <c r="Z826" s="198"/>
    </row>
    <row r="827">
      <c r="A827" s="403"/>
      <c r="B827" s="198"/>
      <c r="C827" s="403"/>
      <c r="D827" s="142"/>
      <c r="E827" s="403"/>
      <c r="F827" s="198"/>
      <c r="G827" s="403"/>
      <c r="H827" s="198"/>
      <c r="I827" s="411"/>
      <c r="J827" s="142"/>
      <c r="K827" s="411"/>
      <c r="L827" s="142"/>
      <c r="M827" s="411"/>
      <c r="N827" s="142"/>
      <c r="O827" s="403"/>
      <c r="P827" s="198"/>
      <c r="Q827" s="412"/>
      <c r="R827" s="76"/>
      <c r="S827" s="197"/>
      <c r="T827" s="198"/>
      <c r="U827" s="197"/>
      <c r="V827" s="198"/>
      <c r="W827" s="198"/>
      <c r="X827" s="198"/>
      <c r="Y827" s="198"/>
      <c r="Z827" s="198"/>
    </row>
    <row r="828">
      <c r="A828" s="403"/>
      <c r="B828" s="198"/>
      <c r="C828" s="403"/>
      <c r="D828" s="142"/>
      <c r="E828" s="403"/>
      <c r="F828" s="198"/>
      <c r="G828" s="403"/>
      <c r="H828" s="198"/>
      <c r="I828" s="411"/>
      <c r="J828" s="142"/>
      <c r="K828" s="411"/>
      <c r="L828" s="142"/>
      <c r="M828" s="411"/>
      <c r="N828" s="142"/>
      <c r="O828" s="403"/>
      <c r="P828" s="198"/>
      <c r="Q828" s="412"/>
      <c r="R828" s="76"/>
      <c r="S828" s="197"/>
      <c r="T828" s="198"/>
      <c r="U828" s="197"/>
      <c r="V828" s="198"/>
      <c r="W828" s="198"/>
      <c r="X828" s="198"/>
      <c r="Y828" s="198"/>
      <c r="Z828" s="198"/>
    </row>
    <row r="829">
      <c r="A829" s="403"/>
      <c r="B829" s="198"/>
      <c r="C829" s="403"/>
      <c r="D829" s="142"/>
      <c r="E829" s="403"/>
      <c r="F829" s="198"/>
      <c r="G829" s="403"/>
      <c r="H829" s="198"/>
      <c r="I829" s="411"/>
      <c r="J829" s="142"/>
      <c r="K829" s="411"/>
      <c r="L829" s="142"/>
      <c r="M829" s="411"/>
      <c r="N829" s="142"/>
      <c r="O829" s="403"/>
      <c r="P829" s="198"/>
      <c r="Q829" s="412"/>
      <c r="R829" s="76"/>
      <c r="S829" s="197"/>
      <c r="T829" s="198"/>
      <c r="U829" s="197"/>
      <c r="V829" s="198"/>
      <c r="W829" s="198"/>
      <c r="X829" s="198"/>
      <c r="Y829" s="198"/>
      <c r="Z829" s="198"/>
    </row>
    <row r="830">
      <c r="A830" s="403"/>
      <c r="B830" s="198"/>
      <c r="C830" s="403"/>
      <c r="D830" s="142"/>
      <c r="E830" s="403"/>
      <c r="F830" s="198"/>
      <c r="G830" s="403"/>
      <c r="H830" s="198"/>
      <c r="I830" s="411"/>
      <c r="J830" s="142"/>
      <c r="K830" s="411"/>
      <c r="L830" s="142"/>
      <c r="M830" s="411"/>
      <c r="N830" s="142"/>
      <c r="O830" s="403"/>
      <c r="P830" s="198"/>
      <c r="Q830" s="412"/>
      <c r="R830" s="76"/>
      <c r="S830" s="197"/>
      <c r="T830" s="198"/>
      <c r="U830" s="197"/>
      <c r="V830" s="198"/>
      <c r="W830" s="198"/>
      <c r="X830" s="198"/>
      <c r="Y830" s="198"/>
      <c r="Z830" s="198"/>
    </row>
    <row r="831">
      <c r="A831" s="403"/>
      <c r="B831" s="198"/>
      <c r="C831" s="403"/>
      <c r="D831" s="142"/>
      <c r="E831" s="403"/>
      <c r="F831" s="198"/>
      <c r="G831" s="403"/>
      <c r="H831" s="198"/>
      <c r="I831" s="411"/>
      <c r="J831" s="142"/>
      <c r="K831" s="411"/>
      <c r="L831" s="142"/>
      <c r="M831" s="411"/>
      <c r="N831" s="142"/>
      <c r="O831" s="403"/>
      <c r="P831" s="198"/>
      <c r="Q831" s="412"/>
      <c r="R831" s="76"/>
      <c r="S831" s="197"/>
      <c r="T831" s="198"/>
      <c r="U831" s="197"/>
      <c r="V831" s="198"/>
      <c r="W831" s="198"/>
      <c r="X831" s="198"/>
      <c r="Y831" s="198"/>
      <c r="Z831" s="198"/>
    </row>
    <row r="832">
      <c r="A832" s="403"/>
      <c r="B832" s="198"/>
      <c r="C832" s="403"/>
      <c r="D832" s="142"/>
      <c r="E832" s="403"/>
      <c r="F832" s="198"/>
      <c r="G832" s="403"/>
      <c r="H832" s="198"/>
      <c r="I832" s="411"/>
      <c r="J832" s="142"/>
      <c r="K832" s="411"/>
      <c r="L832" s="142"/>
      <c r="M832" s="411"/>
      <c r="N832" s="142"/>
      <c r="O832" s="403"/>
      <c r="P832" s="198"/>
      <c r="Q832" s="412"/>
      <c r="R832" s="76"/>
      <c r="S832" s="197"/>
      <c r="T832" s="198"/>
      <c r="U832" s="197"/>
      <c r="V832" s="198"/>
      <c r="W832" s="198"/>
      <c r="X832" s="198"/>
      <c r="Y832" s="198"/>
      <c r="Z832" s="198"/>
    </row>
    <row r="833">
      <c r="A833" s="403"/>
      <c r="B833" s="198"/>
      <c r="C833" s="403"/>
      <c r="D833" s="142"/>
      <c r="E833" s="403"/>
      <c r="F833" s="198"/>
      <c r="G833" s="403"/>
      <c r="H833" s="198"/>
      <c r="I833" s="411"/>
      <c r="J833" s="142"/>
      <c r="K833" s="411"/>
      <c r="L833" s="142"/>
      <c r="M833" s="411"/>
      <c r="N833" s="142"/>
      <c r="O833" s="403"/>
      <c r="P833" s="198"/>
      <c r="Q833" s="412"/>
      <c r="R833" s="76"/>
      <c r="S833" s="197"/>
      <c r="T833" s="198"/>
      <c r="U833" s="197"/>
      <c r="V833" s="198"/>
      <c r="W833" s="198"/>
      <c r="X833" s="198"/>
      <c r="Y833" s="198"/>
      <c r="Z833" s="198"/>
    </row>
    <row r="834">
      <c r="A834" s="403"/>
      <c r="B834" s="198"/>
      <c r="C834" s="403"/>
      <c r="D834" s="142"/>
      <c r="E834" s="403"/>
      <c r="F834" s="198"/>
      <c r="G834" s="403"/>
      <c r="H834" s="198"/>
      <c r="I834" s="411"/>
      <c r="J834" s="142"/>
      <c r="K834" s="411"/>
      <c r="L834" s="142"/>
      <c r="M834" s="411"/>
      <c r="N834" s="142"/>
      <c r="O834" s="403"/>
      <c r="P834" s="198"/>
      <c r="Q834" s="412"/>
      <c r="R834" s="76"/>
      <c r="S834" s="197"/>
      <c r="T834" s="198"/>
      <c r="U834" s="197"/>
      <c r="V834" s="198"/>
      <c r="W834" s="198"/>
      <c r="X834" s="198"/>
      <c r="Y834" s="198"/>
      <c r="Z834" s="198"/>
    </row>
    <row r="835">
      <c r="A835" s="403"/>
      <c r="B835" s="198"/>
      <c r="C835" s="403"/>
      <c r="D835" s="142"/>
      <c r="E835" s="403"/>
      <c r="F835" s="198"/>
      <c r="G835" s="403"/>
      <c r="H835" s="198"/>
      <c r="I835" s="411"/>
      <c r="J835" s="142"/>
      <c r="K835" s="411"/>
      <c r="L835" s="142"/>
      <c r="M835" s="411"/>
      <c r="N835" s="142"/>
      <c r="O835" s="403"/>
      <c r="P835" s="198"/>
      <c r="Q835" s="412"/>
      <c r="R835" s="76"/>
      <c r="S835" s="197"/>
      <c r="T835" s="198"/>
      <c r="U835" s="197"/>
      <c r="V835" s="198"/>
      <c r="W835" s="198"/>
      <c r="X835" s="198"/>
      <c r="Y835" s="198"/>
      <c r="Z835" s="198"/>
    </row>
    <row r="836">
      <c r="A836" s="403"/>
      <c r="B836" s="198"/>
      <c r="C836" s="403"/>
      <c r="D836" s="142"/>
      <c r="E836" s="403"/>
      <c r="F836" s="198"/>
      <c r="G836" s="403"/>
      <c r="H836" s="198"/>
      <c r="I836" s="411"/>
      <c r="J836" s="142"/>
      <c r="K836" s="411"/>
      <c r="L836" s="142"/>
      <c r="M836" s="411"/>
      <c r="N836" s="142"/>
      <c r="O836" s="403"/>
      <c r="P836" s="198"/>
      <c r="Q836" s="412"/>
      <c r="R836" s="76"/>
      <c r="S836" s="197"/>
      <c r="T836" s="198"/>
      <c r="U836" s="197"/>
      <c r="V836" s="198"/>
      <c r="W836" s="198"/>
      <c r="X836" s="198"/>
      <c r="Y836" s="198"/>
      <c r="Z836" s="198"/>
    </row>
    <row r="837">
      <c r="A837" s="403"/>
      <c r="B837" s="198"/>
      <c r="C837" s="403"/>
      <c r="D837" s="142"/>
      <c r="E837" s="403"/>
      <c r="F837" s="198"/>
      <c r="G837" s="403"/>
      <c r="H837" s="198"/>
      <c r="I837" s="411"/>
      <c r="J837" s="142"/>
      <c r="K837" s="411"/>
      <c r="L837" s="142"/>
      <c r="M837" s="411"/>
      <c r="N837" s="142"/>
      <c r="O837" s="403"/>
      <c r="P837" s="198"/>
      <c r="Q837" s="412"/>
      <c r="R837" s="76"/>
      <c r="S837" s="197"/>
      <c r="T837" s="198"/>
      <c r="U837" s="197"/>
      <c r="V837" s="198"/>
      <c r="W837" s="198"/>
      <c r="X837" s="198"/>
      <c r="Y837" s="198"/>
      <c r="Z837" s="198"/>
    </row>
    <row r="838">
      <c r="A838" s="403"/>
      <c r="B838" s="198"/>
      <c r="C838" s="403"/>
      <c r="D838" s="142"/>
      <c r="E838" s="403"/>
      <c r="F838" s="198"/>
      <c r="G838" s="403"/>
      <c r="H838" s="198"/>
      <c r="I838" s="411"/>
      <c r="J838" s="142"/>
      <c r="K838" s="411"/>
      <c r="L838" s="142"/>
      <c r="M838" s="411"/>
      <c r="N838" s="142"/>
      <c r="O838" s="403"/>
      <c r="P838" s="198"/>
      <c r="Q838" s="412"/>
      <c r="R838" s="76"/>
      <c r="S838" s="197"/>
      <c r="T838" s="198"/>
      <c r="U838" s="197"/>
      <c r="V838" s="198"/>
      <c r="W838" s="198"/>
      <c r="X838" s="198"/>
      <c r="Y838" s="198"/>
      <c r="Z838" s="198"/>
    </row>
    <row r="839">
      <c r="A839" s="403"/>
      <c r="B839" s="198"/>
      <c r="C839" s="403"/>
      <c r="D839" s="142"/>
      <c r="E839" s="403"/>
      <c r="F839" s="198"/>
      <c r="G839" s="403"/>
      <c r="H839" s="198"/>
      <c r="I839" s="411"/>
      <c r="J839" s="142"/>
      <c r="K839" s="411"/>
      <c r="L839" s="142"/>
      <c r="M839" s="411"/>
      <c r="N839" s="142"/>
      <c r="O839" s="403"/>
      <c r="P839" s="198"/>
      <c r="Q839" s="412"/>
      <c r="R839" s="76"/>
      <c r="S839" s="197"/>
      <c r="T839" s="198"/>
      <c r="U839" s="197"/>
      <c r="V839" s="198"/>
      <c r="W839" s="198"/>
      <c r="X839" s="198"/>
      <c r="Y839" s="198"/>
      <c r="Z839" s="198"/>
    </row>
    <row r="840">
      <c r="A840" s="403"/>
      <c r="B840" s="198"/>
      <c r="C840" s="403"/>
      <c r="D840" s="142"/>
      <c r="E840" s="403"/>
      <c r="F840" s="198"/>
      <c r="G840" s="403"/>
      <c r="H840" s="198"/>
      <c r="I840" s="411"/>
      <c r="J840" s="142"/>
      <c r="K840" s="411"/>
      <c r="L840" s="142"/>
      <c r="M840" s="411"/>
      <c r="N840" s="142"/>
      <c r="O840" s="403"/>
      <c r="P840" s="198"/>
      <c r="Q840" s="412"/>
      <c r="R840" s="76"/>
      <c r="S840" s="197"/>
      <c r="T840" s="198"/>
      <c r="U840" s="197"/>
      <c r="V840" s="198"/>
      <c r="W840" s="198"/>
      <c r="X840" s="198"/>
      <c r="Y840" s="198"/>
      <c r="Z840" s="198"/>
    </row>
    <row r="841">
      <c r="A841" s="403"/>
      <c r="B841" s="198"/>
      <c r="C841" s="403"/>
      <c r="D841" s="142"/>
      <c r="E841" s="403"/>
      <c r="F841" s="198"/>
      <c r="G841" s="403"/>
      <c r="H841" s="198"/>
      <c r="I841" s="411"/>
      <c r="J841" s="142"/>
      <c r="K841" s="411"/>
      <c r="L841" s="142"/>
      <c r="M841" s="411"/>
      <c r="N841" s="142"/>
      <c r="O841" s="403"/>
      <c r="P841" s="198"/>
      <c r="Q841" s="412"/>
      <c r="R841" s="76"/>
      <c r="S841" s="197"/>
      <c r="T841" s="198"/>
      <c r="U841" s="197"/>
      <c r="V841" s="198"/>
      <c r="W841" s="198"/>
      <c r="X841" s="198"/>
      <c r="Y841" s="198"/>
      <c r="Z841" s="198"/>
    </row>
    <row r="842">
      <c r="A842" s="403"/>
      <c r="B842" s="198"/>
      <c r="C842" s="403"/>
      <c r="D842" s="142"/>
      <c r="E842" s="403"/>
      <c r="F842" s="198"/>
      <c r="G842" s="403"/>
      <c r="H842" s="198"/>
      <c r="I842" s="411"/>
      <c r="J842" s="142"/>
      <c r="K842" s="411"/>
      <c r="L842" s="142"/>
      <c r="M842" s="411"/>
      <c r="N842" s="142"/>
      <c r="O842" s="403"/>
      <c r="P842" s="198"/>
      <c r="Q842" s="412"/>
      <c r="R842" s="76"/>
      <c r="S842" s="197"/>
      <c r="T842" s="198"/>
      <c r="U842" s="197"/>
      <c r="V842" s="198"/>
      <c r="W842" s="198"/>
      <c r="X842" s="198"/>
      <c r="Y842" s="198"/>
      <c r="Z842" s="198"/>
    </row>
    <row r="843">
      <c r="A843" s="403"/>
      <c r="B843" s="198"/>
      <c r="C843" s="403"/>
      <c r="D843" s="142"/>
      <c r="E843" s="403"/>
      <c r="F843" s="198"/>
      <c r="G843" s="403"/>
      <c r="H843" s="198"/>
      <c r="I843" s="411"/>
      <c r="J843" s="142"/>
      <c r="K843" s="411"/>
      <c r="L843" s="142"/>
      <c r="M843" s="411"/>
      <c r="N843" s="142"/>
      <c r="O843" s="403"/>
      <c r="P843" s="198"/>
      <c r="Q843" s="412"/>
      <c r="R843" s="76"/>
      <c r="S843" s="197"/>
      <c r="T843" s="198"/>
      <c r="U843" s="197"/>
      <c r="V843" s="198"/>
      <c r="W843" s="198"/>
      <c r="X843" s="198"/>
      <c r="Y843" s="198"/>
      <c r="Z843" s="198"/>
    </row>
    <row r="844">
      <c r="A844" s="403"/>
      <c r="B844" s="198"/>
      <c r="C844" s="403"/>
      <c r="D844" s="142"/>
      <c r="E844" s="403"/>
      <c r="F844" s="198"/>
      <c r="G844" s="403"/>
      <c r="H844" s="198"/>
      <c r="I844" s="411"/>
      <c r="J844" s="142"/>
      <c r="K844" s="411"/>
      <c r="L844" s="142"/>
      <c r="M844" s="411"/>
      <c r="N844" s="142"/>
      <c r="O844" s="403"/>
      <c r="P844" s="198"/>
      <c r="Q844" s="412"/>
      <c r="R844" s="76"/>
      <c r="S844" s="197"/>
      <c r="T844" s="198"/>
      <c r="U844" s="197"/>
      <c r="V844" s="198"/>
      <c r="W844" s="198"/>
      <c r="X844" s="198"/>
      <c r="Y844" s="198"/>
      <c r="Z844" s="198"/>
    </row>
    <row r="845">
      <c r="A845" s="403"/>
      <c r="B845" s="198"/>
      <c r="C845" s="403"/>
      <c r="D845" s="142"/>
      <c r="E845" s="403"/>
      <c r="F845" s="198"/>
      <c r="G845" s="403"/>
      <c r="H845" s="198"/>
      <c r="I845" s="411"/>
      <c r="J845" s="142"/>
      <c r="K845" s="411"/>
      <c r="L845" s="142"/>
      <c r="M845" s="411"/>
      <c r="N845" s="142"/>
      <c r="O845" s="403"/>
      <c r="P845" s="198"/>
      <c r="Q845" s="412"/>
      <c r="R845" s="76"/>
      <c r="S845" s="197"/>
      <c r="T845" s="198"/>
      <c r="U845" s="197"/>
      <c r="V845" s="198"/>
      <c r="W845" s="198"/>
      <c r="X845" s="198"/>
      <c r="Y845" s="198"/>
      <c r="Z845" s="198"/>
    </row>
    <row r="846">
      <c r="A846" s="403"/>
      <c r="B846" s="198"/>
      <c r="C846" s="403"/>
      <c r="D846" s="142"/>
      <c r="E846" s="403"/>
      <c r="F846" s="198"/>
      <c r="G846" s="403"/>
      <c r="H846" s="198"/>
      <c r="I846" s="411"/>
      <c r="J846" s="142"/>
      <c r="K846" s="411"/>
      <c r="L846" s="142"/>
      <c r="M846" s="411"/>
      <c r="N846" s="142"/>
      <c r="O846" s="403"/>
      <c r="P846" s="198"/>
      <c r="Q846" s="412"/>
      <c r="R846" s="76"/>
      <c r="S846" s="197"/>
      <c r="T846" s="198"/>
      <c r="U846" s="197"/>
      <c r="V846" s="198"/>
      <c r="W846" s="198"/>
      <c r="X846" s="198"/>
      <c r="Y846" s="198"/>
      <c r="Z846" s="198"/>
    </row>
    <row r="847">
      <c r="A847" s="403"/>
      <c r="B847" s="198"/>
      <c r="C847" s="403"/>
      <c r="D847" s="142"/>
      <c r="E847" s="403"/>
      <c r="F847" s="198"/>
      <c r="G847" s="403"/>
      <c r="H847" s="198"/>
      <c r="I847" s="411"/>
      <c r="J847" s="142"/>
      <c r="K847" s="411"/>
      <c r="L847" s="142"/>
      <c r="M847" s="411"/>
      <c r="N847" s="142"/>
      <c r="O847" s="403"/>
      <c r="P847" s="198"/>
      <c r="Q847" s="412"/>
      <c r="R847" s="76"/>
      <c r="S847" s="197"/>
      <c r="T847" s="198"/>
      <c r="U847" s="197"/>
      <c r="V847" s="198"/>
      <c r="W847" s="198"/>
      <c r="X847" s="198"/>
      <c r="Y847" s="198"/>
      <c r="Z847" s="198"/>
    </row>
    <row r="848">
      <c r="A848" s="403"/>
      <c r="B848" s="198"/>
      <c r="C848" s="403"/>
      <c r="D848" s="142"/>
      <c r="E848" s="403"/>
      <c r="F848" s="198"/>
      <c r="G848" s="403"/>
      <c r="H848" s="198"/>
      <c r="I848" s="411"/>
      <c r="J848" s="142"/>
      <c r="K848" s="411"/>
      <c r="L848" s="142"/>
      <c r="M848" s="411"/>
      <c r="N848" s="142"/>
      <c r="O848" s="403"/>
      <c r="P848" s="198"/>
      <c r="Q848" s="412"/>
      <c r="R848" s="76"/>
      <c r="S848" s="197"/>
      <c r="T848" s="198"/>
      <c r="U848" s="197"/>
      <c r="V848" s="198"/>
      <c r="W848" s="198"/>
      <c r="X848" s="198"/>
      <c r="Y848" s="198"/>
      <c r="Z848" s="198"/>
    </row>
    <row r="849">
      <c r="A849" s="403"/>
      <c r="B849" s="198"/>
      <c r="C849" s="403"/>
      <c r="D849" s="142"/>
      <c r="E849" s="403"/>
      <c r="F849" s="198"/>
      <c r="G849" s="403"/>
      <c r="H849" s="198"/>
      <c r="I849" s="411"/>
      <c r="J849" s="142"/>
      <c r="K849" s="411"/>
      <c r="L849" s="142"/>
      <c r="M849" s="411"/>
      <c r="N849" s="142"/>
      <c r="O849" s="403"/>
      <c r="P849" s="198"/>
      <c r="Q849" s="412"/>
      <c r="R849" s="76"/>
      <c r="S849" s="197"/>
      <c r="T849" s="198"/>
      <c r="U849" s="197"/>
      <c r="V849" s="198"/>
      <c r="W849" s="198"/>
      <c r="X849" s="198"/>
      <c r="Y849" s="198"/>
      <c r="Z849" s="198"/>
    </row>
    <row r="850">
      <c r="A850" s="403"/>
      <c r="B850" s="198"/>
      <c r="C850" s="403"/>
      <c r="D850" s="142"/>
      <c r="E850" s="403"/>
      <c r="F850" s="198"/>
      <c r="G850" s="403"/>
      <c r="H850" s="198"/>
      <c r="I850" s="411"/>
      <c r="J850" s="142"/>
      <c r="K850" s="411"/>
      <c r="L850" s="142"/>
      <c r="M850" s="411"/>
      <c r="N850" s="142"/>
      <c r="O850" s="403"/>
      <c r="P850" s="198"/>
      <c r="Q850" s="412"/>
      <c r="R850" s="76"/>
      <c r="S850" s="197"/>
      <c r="T850" s="198"/>
      <c r="U850" s="197"/>
      <c r="V850" s="198"/>
      <c r="W850" s="198"/>
      <c r="X850" s="198"/>
      <c r="Y850" s="198"/>
      <c r="Z850" s="198"/>
    </row>
    <row r="851">
      <c r="A851" s="403"/>
      <c r="B851" s="198"/>
      <c r="C851" s="403"/>
      <c r="D851" s="142"/>
      <c r="E851" s="403"/>
      <c r="F851" s="198"/>
      <c r="G851" s="403"/>
      <c r="H851" s="198"/>
      <c r="I851" s="411"/>
      <c r="J851" s="142"/>
      <c r="K851" s="411"/>
      <c r="L851" s="142"/>
      <c r="M851" s="411"/>
      <c r="N851" s="142"/>
      <c r="O851" s="403"/>
      <c r="P851" s="198"/>
      <c r="Q851" s="412"/>
      <c r="R851" s="76"/>
      <c r="S851" s="197"/>
      <c r="T851" s="198"/>
      <c r="U851" s="197"/>
      <c r="V851" s="198"/>
      <c r="W851" s="198"/>
      <c r="X851" s="198"/>
      <c r="Y851" s="198"/>
      <c r="Z851" s="198"/>
    </row>
    <row r="852">
      <c r="A852" s="403"/>
      <c r="B852" s="198"/>
      <c r="C852" s="403"/>
      <c r="D852" s="142"/>
      <c r="E852" s="403"/>
      <c r="F852" s="198"/>
      <c r="G852" s="403"/>
      <c r="H852" s="198"/>
      <c r="I852" s="411"/>
      <c r="J852" s="142"/>
      <c r="K852" s="411"/>
      <c r="L852" s="142"/>
      <c r="M852" s="411"/>
      <c r="N852" s="142"/>
      <c r="O852" s="403"/>
      <c r="P852" s="198"/>
      <c r="Q852" s="412"/>
      <c r="R852" s="76"/>
      <c r="S852" s="197"/>
      <c r="T852" s="198"/>
      <c r="U852" s="197"/>
      <c r="V852" s="198"/>
      <c r="W852" s="198"/>
      <c r="X852" s="198"/>
      <c r="Y852" s="198"/>
      <c r="Z852" s="198"/>
    </row>
    <row r="853">
      <c r="A853" s="403"/>
      <c r="B853" s="198"/>
      <c r="C853" s="403"/>
      <c r="D853" s="142"/>
      <c r="E853" s="403"/>
      <c r="F853" s="198"/>
      <c r="G853" s="403"/>
      <c r="H853" s="198"/>
      <c r="I853" s="411"/>
      <c r="J853" s="142"/>
      <c r="K853" s="411"/>
      <c r="L853" s="142"/>
      <c r="M853" s="411"/>
      <c r="N853" s="142"/>
      <c r="O853" s="403"/>
      <c r="P853" s="198"/>
      <c r="Q853" s="412"/>
      <c r="R853" s="76"/>
      <c r="S853" s="197"/>
      <c r="T853" s="198"/>
      <c r="U853" s="197"/>
      <c r="V853" s="198"/>
      <c r="W853" s="198"/>
      <c r="X853" s="198"/>
      <c r="Y853" s="198"/>
      <c r="Z853" s="198"/>
    </row>
    <row r="854">
      <c r="A854" s="403"/>
      <c r="B854" s="198"/>
      <c r="C854" s="403"/>
      <c r="D854" s="142"/>
      <c r="E854" s="403"/>
      <c r="F854" s="198"/>
      <c r="G854" s="403"/>
      <c r="H854" s="198"/>
      <c r="I854" s="411"/>
      <c r="J854" s="142"/>
      <c r="K854" s="411"/>
      <c r="L854" s="142"/>
      <c r="M854" s="411"/>
      <c r="N854" s="142"/>
      <c r="O854" s="403"/>
      <c r="P854" s="198"/>
      <c r="Q854" s="412"/>
      <c r="R854" s="76"/>
      <c r="S854" s="197"/>
      <c r="T854" s="198"/>
      <c r="U854" s="197"/>
      <c r="V854" s="198"/>
      <c r="W854" s="198"/>
      <c r="X854" s="198"/>
      <c r="Y854" s="198"/>
      <c r="Z854" s="198"/>
    </row>
    <row r="855">
      <c r="A855" s="403"/>
      <c r="B855" s="198"/>
      <c r="C855" s="403"/>
      <c r="D855" s="142"/>
      <c r="E855" s="403"/>
      <c r="F855" s="198"/>
      <c r="G855" s="403"/>
      <c r="H855" s="198"/>
      <c r="I855" s="411"/>
      <c r="J855" s="142"/>
      <c r="K855" s="411"/>
      <c r="L855" s="142"/>
      <c r="M855" s="411"/>
      <c r="N855" s="142"/>
      <c r="O855" s="403"/>
      <c r="P855" s="198"/>
      <c r="Q855" s="412"/>
      <c r="R855" s="76"/>
      <c r="S855" s="197"/>
      <c r="T855" s="198"/>
      <c r="U855" s="197"/>
      <c r="V855" s="198"/>
      <c r="W855" s="198"/>
      <c r="X855" s="198"/>
      <c r="Y855" s="198"/>
      <c r="Z855" s="198"/>
    </row>
    <row r="856">
      <c r="A856" s="403"/>
      <c r="B856" s="198"/>
      <c r="C856" s="403"/>
      <c r="D856" s="142"/>
      <c r="E856" s="403"/>
      <c r="F856" s="198"/>
      <c r="G856" s="403"/>
      <c r="H856" s="198"/>
      <c r="I856" s="411"/>
      <c r="J856" s="142"/>
      <c r="K856" s="411"/>
      <c r="L856" s="142"/>
      <c r="M856" s="411"/>
      <c r="N856" s="142"/>
      <c r="O856" s="403"/>
      <c r="P856" s="198"/>
      <c r="Q856" s="412"/>
      <c r="R856" s="76"/>
      <c r="S856" s="197"/>
      <c r="T856" s="198"/>
      <c r="U856" s="197"/>
      <c r="V856" s="198"/>
      <c r="W856" s="198"/>
      <c r="X856" s="198"/>
      <c r="Y856" s="198"/>
      <c r="Z856" s="198"/>
    </row>
    <row r="857">
      <c r="A857" s="403"/>
      <c r="B857" s="198"/>
      <c r="C857" s="403"/>
      <c r="D857" s="142"/>
      <c r="E857" s="403"/>
      <c r="F857" s="198"/>
      <c r="G857" s="403"/>
      <c r="H857" s="198"/>
      <c r="I857" s="411"/>
      <c r="J857" s="142"/>
      <c r="K857" s="411"/>
      <c r="L857" s="142"/>
      <c r="M857" s="411"/>
      <c r="N857" s="142"/>
      <c r="O857" s="403"/>
      <c r="P857" s="198"/>
      <c r="Q857" s="412"/>
      <c r="R857" s="76"/>
      <c r="S857" s="197"/>
      <c r="T857" s="198"/>
      <c r="U857" s="197"/>
      <c r="V857" s="198"/>
      <c r="W857" s="198"/>
      <c r="X857" s="198"/>
      <c r="Y857" s="198"/>
      <c r="Z857" s="198"/>
    </row>
    <row r="858">
      <c r="A858" s="403"/>
      <c r="B858" s="198"/>
      <c r="C858" s="403"/>
      <c r="D858" s="142"/>
      <c r="E858" s="403"/>
      <c r="F858" s="198"/>
      <c r="G858" s="403"/>
      <c r="H858" s="198"/>
      <c r="I858" s="411"/>
      <c r="J858" s="142"/>
      <c r="K858" s="411"/>
      <c r="L858" s="142"/>
      <c r="M858" s="411"/>
      <c r="N858" s="142"/>
      <c r="O858" s="403"/>
      <c r="P858" s="198"/>
      <c r="Q858" s="412"/>
      <c r="R858" s="76"/>
      <c r="S858" s="197"/>
      <c r="T858" s="198"/>
      <c r="U858" s="197"/>
      <c r="V858" s="198"/>
      <c r="W858" s="198"/>
      <c r="X858" s="198"/>
      <c r="Y858" s="198"/>
      <c r="Z858" s="198"/>
    </row>
    <row r="859">
      <c r="A859" s="403"/>
      <c r="B859" s="198"/>
      <c r="C859" s="403"/>
      <c r="D859" s="142"/>
      <c r="E859" s="403"/>
      <c r="F859" s="198"/>
      <c r="G859" s="403"/>
      <c r="H859" s="198"/>
      <c r="I859" s="411"/>
      <c r="J859" s="142"/>
      <c r="K859" s="411"/>
      <c r="L859" s="142"/>
      <c r="M859" s="411"/>
      <c r="N859" s="142"/>
      <c r="O859" s="403"/>
      <c r="P859" s="198"/>
      <c r="Q859" s="412"/>
      <c r="R859" s="76"/>
      <c r="S859" s="197"/>
      <c r="T859" s="198"/>
      <c r="U859" s="197"/>
      <c r="V859" s="198"/>
      <c r="W859" s="198"/>
      <c r="X859" s="198"/>
      <c r="Y859" s="198"/>
      <c r="Z859" s="198"/>
    </row>
    <row r="860">
      <c r="A860" s="403"/>
      <c r="B860" s="198"/>
      <c r="C860" s="403"/>
      <c r="D860" s="142"/>
      <c r="E860" s="403"/>
      <c r="F860" s="198"/>
      <c r="G860" s="403"/>
      <c r="H860" s="198"/>
      <c r="I860" s="411"/>
      <c r="J860" s="142"/>
      <c r="K860" s="411"/>
      <c r="L860" s="142"/>
      <c r="M860" s="411"/>
      <c r="N860" s="142"/>
      <c r="O860" s="403"/>
      <c r="P860" s="198"/>
      <c r="Q860" s="412"/>
      <c r="R860" s="76"/>
      <c r="S860" s="197"/>
      <c r="T860" s="198"/>
      <c r="U860" s="197"/>
      <c r="V860" s="198"/>
      <c r="W860" s="198"/>
      <c r="X860" s="198"/>
      <c r="Y860" s="198"/>
      <c r="Z860" s="198"/>
    </row>
    <row r="861">
      <c r="A861" s="403"/>
      <c r="B861" s="198"/>
      <c r="C861" s="403"/>
      <c r="D861" s="142"/>
      <c r="E861" s="403"/>
      <c r="F861" s="198"/>
      <c r="G861" s="403"/>
      <c r="H861" s="198"/>
      <c r="I861" s="411"/>
      <c r="J861" s="142"/>
      <c r="K861" s="411"/>
      <c r="L861" s="142"/>
      <c r="M861" s="411"/>
      <c r="N861" s="142"/>
      <c r="O861" s="403"/>
      <c r="P861" s="198"/>
      <c r="Q861" s="412"/>
      <c r="R861" s="76"/>
      <c r="S861" s="197"/>
      <c r="T861" s="198"/>
      <c r="U861" s="197"/>
      <c r="V861" s="198"/>
      <c r="W861" s="198"/>
      <c r="X861" s="198"/>
      <c r="Y861" s="198"/>
      <c r="Z861" s="198"/>
    </row>
    <row r="862">
      <c r="A862" s="403"/>
      <c r="B862" s="198"/>
      <c r="C862" s="403"/>
      <c r="D862" s="142"/>
      <c r="E862" s="403"/>
      <c r="F862" s="198"/>
      <c r="G862" s="403"/>
      <c r="H862" s="198"/>
      <c r="I862" s="411"/>
      <c r="J862" s="142"/>
      <c r="K862" s="411"/>
      <c r="L862" s="142"/>
      <c r="M862" s="411"/>
      <c r="N862" s="142"/>
      <c r="O862" s="403"/>
      <c r="P862" s="198"/>
      <c r="Q862" s="412"/>
      <c r="R862" s="76"/>
      <c r="S862" s="197"/>
      <c r="T862" s="198"/>
      <c r="U862" s="197"/>
      <c r="V862" s="198"/>
      <c r="W862" s="198"/>
      <c r="X862" s="198"/>
      <c r="Y862" s="198"/>
      <c r="Z862" s="198"/>
    </row>
    <row r="863">
      <c r="A863" s="403"/>
      <c r="B863" s="198"/>
      <c r="C863" s="403"/>
      <c r="D863" s="142"/>
      <c r="E863" s="403"/>
      <c r="F863" s="198"/>
      <c r="G863" s="403"/>
      <c r="H863" s="198"/>
      <c r="I863" s="411"/>
      <c r="J863" s="142"/>
      <c r="K863" s="411"/>
      <c r="L863" s="142"/>
      <c r="M863" s="411"/>
      <c r="N863" s="142"/>
      <c r="O863" s="403"/>
      <c r="P863" s="198"/>
      <c r="Q863" s="412"/>
      <c r="R863" s="76"/>
      <c r="S863" s="197"/>
      <c r="T863" s="198"/>
      <c r="U863" s="197"/>
      <c r="V863" s="198"/>
      <c r="W863" s="198"/>
      <c r="X863" s="198"/>
      <c r="Y863" s="198"/>
      <c r="Z863" s="198"/>
    </row>
    <row r="864">
      <c r="A864" s="403"/>
      <c r="B864" s="198"/>
      <c r="C864" s="403"/>
      <c r="D864" s="142"/>
      <c r="E864" s="403"/>
      <c r="F864" s="198"/>
      <c r="G864" s="403"/>
      <c r="H864" s="198"/>
      <c r="I864" s="411"/>
      <c r="J864" s="142"/>
      <c r="K864" s="411"/>
      <c r="L864" s="142"/>
      <c r="M864" s="411"/>
      <c r="N864" s="142"/>
      <c r="O864" s="403"/>
      <c r="P864" s="198"/>
      <c r="Q864" s="412"/>
      <c r="R864" s="76"/>
      <c r="S864" s="197"/>
      <c r="T864" s="198"/>
      <c r="U864" s="197"/>
      <c r="V864" s="198"/>
      <c r="W864" s="198"/>
      <c r="X864" s="198"/>
      <c r="Y864" s="198"/>
      <c r="Z864" s="198"/>
    </row>
    <row r="865">
      <c r="A865" s="403"/>
      <c r="B865" s="198"/>
      <c r="C865" s="403"/>
      <c r="D865" s="142"/>
      <c r="E865" s="403"/>
      <c r="F865" s="198"/>
      <c r="G865" s="403"/>
      <c r="H865" s="198"/>
      <c r="I865" s="411"/>
      <c r="J865" s="142"/>
      <c r="K865" s="411"/>
      <c r="L865" s="142"/>
      <c r="M865" s="411"/>
      <c r="N865" s="142"/>
      <c r="O865" s="403"/>
      <c r="P865" s="198"/>
      <c r="Q865" s="412"/>
      <c r="R865" s="76"/>
      <c r="S865" s="197"/>
      <c r="T865" s="198"/>
      <c r="U865" s="197"/>
      <c r="V865" s="198"/>
      <c r="W865" s="198"/>
      <c r="X865" s="198"/>
      <c r="Y865" s="198"/>
      <c r="Z865" s="198"/>
    </row>
    <row r="866">
      <c r="A866" s="403"/>
      <c r="B866" s="198"/>
      <c r="C866" s="403"/>
      <c r="D866" s="142"/>
      <c r="E866" s="403"/>
      <c r="F866" s="198"/>
      <c r="G866" s="403"/>
      <c r="H866" s="198"/>
      <c r="I866" s="411"/>
      <c r="J866" s="142"/>
      <c r="K866" s="411"/>
      <c r="L866" s="142"/>
      <c r="M866" s="411"/>
      <c r="N866" s="142"/>
      <c r="O866" s="403"/>
      <c r="P866" s="198"/>
      <c r="Q866" s="412"/>
      <c r="R866" s="76"/>
      <c r="S866" s="197"/>
      <c r="T866" s="198"/>
      <c r="U866" s="197"/>
      <c r="V866" s="198"/>
      <c r="W866" s="198"/>
      <c r="X866" s="198"/>
      <c r="Y866" s="198"/>
      <c r="Z866" s="198"/>
    </row>
    <row r="867">
      <c r="A867" s="403"/>
      <c r="B867" s="198"/>
      <c r="C867" s="403"/>
      <c r="D867" s="142"/>
      <c r="E867" s="403"/>
      <c r="F867" s="198"/>
      <c r="G867" s="403"/>
      <c r="H867" s="198"/>
      <c r="I867" s="411"/>
      <c r="J867" s="142"/>
      <c r="K867" s="411"/>
      <c r="L867" s="142"/>
      <c r="M867" s="411"/>
      <c r="N867" s="142"/>
      <c r="O867" s="403"/>
      <c r="P867" s="198"/>
      <c r="Q867" s="412"/>
      <c r="R867" s="76"/>
      <c r="S867" s="197"/>
      <c r="T867" s="198"/>
      <c r="U867" s="197"/>
      <c r="V867" s="198"/>
      <c r="W867" s="198"/>
      <c r="X867" s="198"/>
      <c r="Y867" s="198"/>
      <c r="Z867" s="198"/>
    </row>
    <row r="868">
      <c r="A868" s="403"/>
      <c r="B868" s="198"/>
      <c r="C868" s="403"/>
      <c r="D868" s="142"/>
      <c r="E868" s="403"/>
      <c r="F868" s="198"/>
      <c r="G868" s="403"/>
      <c r="H868" s="198"/>
      <c r="I868" s="411"/>
      <c r="J868" s="142"/>
      <c r="K868" s="411"/>
      <c r="L868" s="142"/>
      <c r="M868" s="411"/>
      <c r="N868" s="142"/>
      <c r="O868" s="403"/>
      <c r="P868" s="198"/>
      <c r="Q868" s="412"/>
      <c r="R868" s="76"/>
      <c r="S868" s="197"/>
      <c r="T868" s="198"/>
      <c r="U868" s="197"/>
      <c r="V868" s="198"/>
      <c r="W868" s="198"/>
      <c r="X868" s="198"/>
      <c r="Y868" s="198"/>
      <c r="Z868" s="198"/>
    </row>
    <row r="869">
      <c r="A869" s="403"/>
      <c r="B869" s="198"/>
      <c r="C869" s="403"/>
      <c r="D869" s="142"/>
      <c r="E869" s="403"/>
      <c r="F869" s="198"/>
      <c r="G869" s="403"/>
      <c r="H869" s="198"/>
      <c r="I869" s="411"/>
      <c r="J869" s="142"/>
      <c r="K869" s="411"/>
      <c r="L869" s="142"/>
      <c r="M869" s="411"/>
      <c r="N869" s="142"/>
      <c r="O869" s="403"/>
      <c r="P869" s="198"/>
      <c r="Q869" s="412"/>
      <c r="R869" s="76"/>
      <c r="S869" s="197"/>
      <c r="T869" s="198"/>
      <c r="U869" s="197"/>
      <c r="V869" s="198"/>
      <c r="W869" s="198"/>
      <c r="X869" s="198"/>
      <c r="Y869" s="198"/>
      <c r="Z869" s="198"/>
    </row>
    <row r="870">
      <c r="A870" s="403"/>
      <c r="B870" s="198"/>
      <c r="C870" s="403"/>
      <c r="D870" s="142"/>
      <c r="E870" s="403"/>
      <c r="F870" s="198"/>
      <c r="G870" s="403"/>
      <c r="H870" s="198"/>
      <c r="I870" s="411"/>
      <c r="J870" s="142"/>
      <c r="K870" s="411"/>
      <c r="L870" s="142"/>
      <c r="M870" s="411"/>
      <c r="N870" s="142"/>
      <c r="O870" s="403"/>
      <c r="P870" s="198"/>
      <c r="Q870" s="412"/>
      <c r="R870" s="76"/>
      <c r="S870" s="197"/>
      <c r="T870" s="198"/>
      <c r="U870" s="197"/>
      <c r="V870" s="198"/>
      <c r="W870" s="198"/>
      <c r="X870" s="198"/>
      <c r="Y870" s="198"/>
      <c r="Z870" s="198"/>
    </row>
    <row r="871">
      <c r="A871" s="403"/>
      <c r="B871" s="198"/>
      <c r="C871" s="403"/>
      <c r="D871" s="142"/>
      <c r="E871" s="403"/>
      <c r="F871" s="198"/>
      <c r="G871" s="403"/>
      <c r="H871" s="198"/>
      <c r="I871" s="411"/>
      <c r="J871" s="142"/>
      <c r="K871" s="411"/>
      <c r="L871" s="142"/>
      <c r="M871" s="411"/>
      <c r="N871" s="142"/>
      <c r="O871" s="403"/>
      <c r="P871" s="198"/>
      <c r="Q871" s="412"/>
      <c r="R871" s="76"/>
      <c r="S871" s="197"/>
      <c r="T871" s="198"/>
      <c r="U871" s="197"/>
      <c r="V871" s="198"/>
      <c r="W871" s="198"/>
      <c r="X871" s="198"/>
      <c r="Y871" s="198"/>
      <c r="Z871" s="198"/>
    </row>
    <row r="872">
      <c r="A872" s="403"/>
      <c r="B872" s="198"/>
      <c r="C872" s="403"/>
      <c r="D872" s="142"/>
      <c r="E872" s="403"/>
      <c r="F872" s="198"/>
      <c r="G872" s="403"/>
      <c r="H872" s="198"/>
      <c r="I872" s="411"/>
      <c r="J872" s="142"/>
      <c r="K872" s="411"/>
      <c r="L872" s="142"/>
      <c r="M872" s="411"/>
      <c r="N872" s="142"/>
      <c r="O872" s="403"/>
      <c r="P872" s="198"/>
      <c r="Q872" s="412"/>
      <c r="R872" s="76"/>
      <c r="S872" s="197"/>
      <c r="T872" s="198"/>
      <c r="U872" s="197"/>
      <c r="V872" s="198"/>
      <c r="W872" s="198"/>
      <c r="X872" s="198"/>
      <c r="Y872" s="198"/>
      <c r="Z872" s="198"/>
    </row>
    <row r="873">
      <c r="A873" s="403"/>
      <c r="B873" s="198"/>
      <c r="C873" s="403"/>
      <c r="D873" s="142"/>
      <c r="E873" s="403"/>
      <c r="F873" s="198"/>
      <c r="G873" s="403"/>
      <c r="H873" s="198"/>
      <c r="I873" s="411"/>
      <c r="J873" s="142"/>
      <c r="K873" s="411"/>
      <c r="L873" s="142"/>
      <c r="M873" s="411"/>
      <c r="N873" s="142"/>
      <c r="O873" s="403"/>
      <c r="P873" s="198"/>
      <c r="Q873" s="412"/>
      <c r="R873" s="76"/>
      <c r="S873" s="197"/>
      <c r="T873" s="198"/>
      <c r="U873" s="197"/>
      <c r="V873" s="198"/>
      <c r="W873" s="198"/>
      <c r="X873" s="198"/>
      <c r="Y873" s="198"/>
      <c r="Z873" s="198"/>
    </row>
    <row r="874">
      <c r="A874" s="403"/>
      <c r="B874" s="198"/>
      <c r="C874" s="403"/>
      <c r="D874" s="142"/>
      <c r="E874" s="403"/>
      <c r="F874" s="198"/>
      <c r="G874" s="403"/>
      <c r="H874" s="198"/>
      <c r="I874" s="411"/>
      <c r="J874" s="142"/>
      <c r="K874" s="411"/>
      <c r="L874" s="142"/>
      <c r="M874" s="411"/>
      <c r="N874" s="142"/>
      <c r="O874" s="403"/>
      <c r="P874" s="198"/>
      <c r="Q874" s="412"/>
      <c r="R874" s="76"/>
      <c r="S874" s="197"/>
      <c r="T874" s="198"/>
      <c r="U874" s="197"/>
      <c r="V874" s="198"/>
      <c r="W874" s="198"/>
      <c r="X874" s="198"/>
      <c r="Y874" s="198"/>
      <c r="Z874" s="198"/>
    </row>
    <row r="875">
      <c r="A875" s="403"/>
      <c r="B875" s="198"/>
      <c r="C875" s="403"/>
      <c r="D875" s="142"/>
      <c r="E875" s="403"/>
      <c r="F875" s="198"/>
      <c r="G875" s="403"/>
      <c r="H875" s="198"/>
      <c r="I875" s="411"/>
      <c r="J875" s="142"/>
      <c r="K875" s="411"/>
      <c r="L875" s="142"/>
      <c r="M875" s="411"/>
      <c r="N875" s="142"/>
      <c r="O875" s="403"/>
      <c r="P875" s="198"/>
      <c r="Q875" s="412"/>
      <c r="R875" s="76"/>
      <c r="S875" s="197"/>
      <c r="T875" s="198"/>
      <c r="U875" s="197"/>
      <c r="V875" s="198"/>
      <c r="W875" s="198"/>
      <c r="X875" s="198"/>
      <c r="Y875" s="198"/>
      <c r="Z875" s="198"/>
    </row>
    <row r="876">
      <c r="A876" s="403"/>
      <c r="B876" s="198"/>
      <c r="C876" s="403"/>
      <c r="D876" s="142"/>
      <c r="E876" s="403"/>
      <c r="F876" s="198"/>
      <c r="G876" s="403"/>
      <c r="H876" s="198"/>
      <c r="I876" s="411"/>
      <c r="J876" s="142"/>
      <c r="K876" s="411"/>
      <c r="L876" s="142"/>
      <c r="M876" s="411"/>
      <c r="N876" s="142"/>
      <c r="O876" s="403"/>
      <c r="P876" s="198"/>
      <c r="Q876" s="412"/>
      <c r="R876" s="76"/>
      <c r="S876" s="197"/>
      <c r="T876" s="198"/>
      <c r="U876" s="197"/>
      <c r="V876" s="198"/>
      <c r="W876" s="198"/>
      <c r="X876" s="198"/>
      <c r="Y876" s="198"/>
      <c r="Z876" s="198"/>
    </row>
    <row r="877">
      <c r="A877" s="403"/>
      <c r="B877" s="198"/>
      <c r="C877" s="403"/>
      <c r="D877" s="142"/>
      <c r="E877" s="403"/>
      <c r="F877" s="198"/>
      <c r="G877" s="403"/>
      <c r="H877" s="198"/>
      <c r="I877" s="411"/>
      <c r="J877" s="142"/>
      <c r="K877" s="411"/>
      <c r="L877" s="142"/>
      <c r="M877" s="411"/>
      <c r="N877" s="142"/>
      <c r="O877" s="403"/>
      <c r="P877" s="198"/>
      <c r="Q877" s="412"/>
      <c r="R877" s="76"/>
      <c r="S877" s="197"/>
      <c r="T877" s="198"/>
      <c r="U877" s="197"/>
      <c r="V877" s="198"/>
      <c r="W877" s="198"/>
      <c r="X877" s="198"/>
      <c r="Y877" s="198"/>
      <c r="Z877" s="198"/>
    </row>
    <row r="878">
      <c r="A878" s="403"/>
      <c r="B878" s="198"/>
      <c r="C878" s="403"/>
      <c r="D878" s="142"/>
      <c r="E878" s="403"/>
      <c r="F878" s="198"/>
      <c r="G878" s="403"/>
      <c r="H878" s="198"/>
      <c r="I878" s="411"/>
      <c r="J878" s="142"/>
      <c r="K878" s="411"/>
      <c r="L878" s="142"/>
      <c r="M878" s="411"/>
      <c r="N878" s="142"/>
      <c r="O878" s="403"/>
      <c r="P878" s="198"/>
      <c r="Q878" s="412"/>
      <c r="R878" s="76"/>
      <c r="S878" s="197"/>
      <c r="T878" s="198"/>
      <c r="U878" s="197"/>
      <c r="V878" s="198"/>
      <c r="W878" s="198"/>
      <c r="X878" s="198"/>
      <c r="Y878" s="198"/>
      <c r="Z878" s="198"/>
    </row>
    <row r="879">
      <c r="A879" s="403"/>
      <c r="B879" s="198"/>
      <c r="C879" s="403"/>
      <c r="D879" s="142"/>
      <c r="E879" s="403"/>
      <c r="F879" s="198"/>
      <c r="G879" s="403"/>
      <c r="H879" s="198"/>
      <c r="I879" s="411"/>
      <c r="J879" s="142"/>
      <c r="K879" s="411"/>
      <c r="L879" s="142"/>
      <c r="M879" s="411"/>
      <c r="N879" s="142"/>
      <c r="O879" s="403"/>
      <c r="P879" s="198"/>
      <c r="Q879" s="412"/>
      <c r="R879" s="76"/>
      <c r="S879" s="197"/>
      <c r="T879" s="198"/>
      <c r="U879" s="197"/>
      <c r="V879" s="198"/>
      <c r="W879" s="198"/>
      <c r="X879" s="198"/>
      <c r="Y879" s="198"/>
      <c r="Z879" s="198"/>
    </row>
    <row r="880">
      <c r="A880" s="403"/>
      <c r="B880" s="198"/>
      <c r="C880" s="403"/>
      <c r="D880" s="142"/>
      <c r="E880" s="403"/>
      <c r="F880" s="198"/>
      <c r="G880" s="403"/>
      <c r="H880" s="198"/>
      <c r="I880" s="411"/>
      <c r="J880" s="142"/>
      <c r="K880" s="411"/>
      <c r="L880" s="142"/>
      <c r="M880" s="411"/>
      <c r="N880" s="142"/>
      <c r="O880" s="403"/>
      <c r="P880" s="198"/>
      <c r="Q880" s="412"/>
      <c r="R880" s="76"/>
      <c r="S880" s="197"/>
      <c r="T880" s="198"/>
      <c r="U880" s="197"/>
      <c r="V880" s="198"/>
      <c r="W880" s="198"/>
      <c r="X880" s="198"/>
      <c r="Y880" s="198"/>
      <c r="Z880" s="198"/>
    </row>
    <row r="881">
      <c r="A881" s="403"/>
      <c r="B881" s="198"/>
      <c r="C881" s="403"/>
      <c r="D881" s="142"/>
      <c r="E881" s="403"/>
      <c r="F881" s="198"/>
      <c r="G881" s="403"/>
      <c r="H881" s="198"/>
      <c r="I881" s="411"/>
      <c r="J881" s="142"/>
      <c r="K881" s="411"/>
      <c r="L881" s="142"/>
      <c r="M881" s="411"/>
      <c r="N881" s="142"/>
      <c r="O881" s="403"/>
      <c r="P881" s="198"/>
      <c r="Q881" s="412"/>
      <c r="R881" s="76"/>
      <c r="S881" s="197"/>
      <c r="T881" s="198"/>
      <c r="U881" s="197"/>
      <c r="V881" s="198"/>
      <c r="W881" s="198"/>
      <c r="X881" s="198"/>
      <c r="Y881" s="198"/>
      <c r="Z881" s="198"/>
    </row>
    <row r="882">
      <c r="A882" s="403"/>
      <c r="B882" s="198"/>
      <c r="C882" s="403"/>
      <c r="D882" s="142"/>
      <c r="E882" s="403"/>
      <c r="F882" s="198"/>
      <c r="G882" s="403"/>
      <c r="H882" s="198"/>
      <c r="I882" s="411"/>
      <c r="J882" s="142"/>
      <c r="K882" s="411"/>
      <c r="L882" s="142"/>
      <c r="M882" s="411"/>
      <c r="N882" s="142"/>
      <c r="O882" s="403"/>
      <c r="P882" s="198"/>
      <c r="Q882" s="412"/>
      <c r="R882" s="76"/>
      <c r="S882" s="197"/>
      <c r="T882" s="198"/>
      <c r="U882" s="197"/>
      <c r="V882" s="198"/>
      <c r="W882" s="198"/>
      <c r="X882" s="198"/>
      <c r="Y882" s="198"/>
      <c r="Z882" s="198"/>
    </row>
    <row r="883">
      <c r="A883" s="403"/>
      <c r="B883" s="198"/>
      <c r="C883" s="403"/>
      <c r="D883" s="142"/>
      <c r="E883" s="403"/>
      <c r="F883" s="198"/>
      <c r="G883" s="403"/>
      <c r="H883" s="198"/>
      <c r="I883" s="411"/>
      <c r="J883" s="142"/>
      <c r="K883" s="411"/>
      <c r="L883" s="142"/>
      <c r="M883" s="411"/>
      <c r="N883" s="142"/>
      <c r="O883" s="403"/>
      <c r="P883" s="198"/>
      <c r="Q883" s="412"/>
      <c r="R883" s="76"/>
      <c r="S883" s="197"/>
      <c r="T883" s="198"/>
      <c r="U883" s="197"/>
      <c r="V883" s="198"/>
      <c r="W883" s="198"/>
      <c r="X883" s="198"/>
      <c r="Y883" s="198"/>
      <c r="Z883" s="198"/>
    </row>
    <row r="884">
      <c r="A884" s="403"/>
      <c r="B884" s="198"/>
      <c r="C884" s="403"/>
      <c r="D884" s="142"/>
      <c r="E884" s="403"/>
      <c r="F884" s="198"/>
      <c r="G884" s="403"/>
      <c r="H884" s="198"/>
      <c r="I884" s="411"/>
      <c r="J884" s="142"/>
      <c r="K884" s="411"/>
      <c r="L884" s="142"/>
      <c r="M884" s="411"/>
      <c r="N884" s="142"/>
      <c r="O884" s="403"/>
      <c r="P884" s="198"/>
      <c r="Q884" s="412"/>
      <c r="R884" s="76"/>
      <c r="S884" s="197"/>
      <c r="T884" s="198"/>
      <c r="U884" s="197"/>
      <c r="V884" s="198"/>
      <c r="W884" s="198"/>
      <c r="X884" s="198"/>
      <c r="Y884" s="198"/>
      <c r="Z884" s="198"/>
    </row>
    <row r="885">
      <c r="A885" s="403"/>
      <c r="B885" s="198"/>
      <c r="C885" s="403"/>
      <c r="D885" s="142"/>
      <c r="E885" s="403"/>
      <c r="F885" s="198"/>
      <c r="G885" s="403"/>
      <c r="H885" s="198"/>
      <c r="I885" s="411"/>
      <c r="J885" s="142"/>
      <c r="K885" s="411"/>
      <c r="L885" s="142"/>
      <c r="M885" s="411"/>
      <c r="N885" s="142"/>
      <c r="O885" s="403"/>
      <c r="P885" s="198"/>
      <c r="Q885" s="412"/>
      <c r="R885" s="76"/>
      <c r="S885" s="197"/>
      <c r="T885" s="198"/>
      <c r="U885" s="197"/>
      <c r="V885" s="198"/>
      <c r="W885" s="198"/>
      <c r="X885" s="198"/>
      <c r="Y885" s="198"/>
      <c r="Z885" s="198"/>
    </row>
    <row r="886">
      <c r="A886" s="403"/>
      <c r="B886" s="198"/>
      <c r="C886" s="403"/>
      <c r="D886" s="142"/>
      <c r="E886" s="403"/>
      <c r="F886" s="198"/>
      <c r="G886" s="403"/>
      <c r="H886" s="198"/>
      <c r="I886" s="411"/>
      <c r="J886" s="142"/>
      <c r="K886" s="411"/>
      <c r="L886" s="142"/>
      <c r="M886" s="411"/>
      <c r="N886" s="142"/>
      <c r="O886" s="403"/>
      <c r="P886" s="198"/>
      <c r="Q886" s="412"/>
      <c r="R886" s="76"/>
      <c r="S886" s="197"/>
      <c r="T886" s="198"/>
      <c r="U886" s="197"/>
      <c r="V886" s="198"/>
      <c r="W886" s="198"/>
      <c r="X886" s="198"/>
      <c r="Y886" s="198"/>
      <c r="Z886" s="198"/>
    </row>
    <row r="887">
      <c r="A887" s="403"/>
      <c r="B887" s="198"/>
      <c r="C887" s="403"/>
      <c r="D887" s="142"/>
      <c r="E887" s="403"/>
      <c r="F887" s="198"/>
      <c r="G887" s="403"/>
      <c r="H887" s="198"/>
      <c r="I887" s="411"/>
      <c r="J887" s="142"/>
      <c r="K887" s="411"/>
      <c r="L887" s="142"/>
      <c r="M887" s="411"/>
      <c r="N887" s="142"/>
      <c r="O887" s="403"/>
      <c r="P887" s="198"/>
      <c r="Q887" s="412"/>
      <c r="R887" s="76"/>
      <c r="S887" s="197"/>
      <c r="T887" s="198"/>
      <c r="U887" s="197"/>
      <c r="V887" s="198"/>
      <c r="W887" s="198"/>
      <c r="X887" s="198"/>
      <c r="Y887" s="198"/>
      <c r="Z887" s="198"/>
    </row>
    <row r="888">
      <c r="A888" s="403"/>
      <c r="B888" s="198"/>
      <c r="C888" s="403"/>
      <c r="D888" s="142"/>
      <c r="E888" s="403"/>
      <c r="F888" s="198"/>
      <c r="G888" s="403"/>
      <c r="H888" s="198"/>
      <c r="I888" s="411"/>
      <c r="J888" s="142"/>
      <c r="K888" s="411"/>
      <c r="L888" s="142"/>
      <c r="M888" s="411"/>
      <c r="N888" s="142"/>
      <c r="O888" s="403"/>
      <c r="P888" s="198"/>
      <c r="Q888" s="412"/>
      <c r="R888" s="76"/>
      <c r="S888" s="197"/>
      <c r="T888" s="198"/>
      <c r="U888" s="197"/>
      <c r="V888" s="198"/>
      <c r="W888" s="198"/>
      <c r="X888" s="198"/>
      <c r="Y888" s="198"/>
      <c r="Z888" s="198"/>
    </row>
    <row r="889">
      <c r="A889" s="403"/>
      <c r="B889" s="198"/>
      <c r="C889" s="403"/>
      <c r="D889" s="142"/>
      <c r="E889" s="403"/>
      <c r="F889" s="198"/>
      <c r="G889" s="403"/>
      <c r="H889" s="198"/>
      <c r="I889" s="411"/>
      <c r="J889" s="142"/>
      <c r="K889" s="411"/>
      <c r="L889" s="142"/>
      <c r="M889" s="411"/>
      <c r="N889" s="142"/>
      <c r="O889" s="403"/>
      <c r="P889" s="198"/>
      <c r="Q889" s="412"/>
      <c r="R889" s="76"/>
      <c r="S889" s="197"/>
      <c r="T889" s="198"/>
      <c r="U889" s="197"/>
      <c r="V889" s="198"/>
      <c r="W889" s="198"/>
      <c r="X889" s="198"/>
      <c r="Y889" s="198"/>
      <c r="Z889" s="198"/>
    </row>
    <row r="890">
      <c r="A890" s="403"/>
      <c r="B890" s="198"/>
      <c r="C890" s="403"/>
      <c r="D890" s="142"/>
      <c r="E890" s="403"/>
      <c r="F890" s="198"/>
      <c r="G890" s="403"/>
      <c r="H890" s="198"/>
      <c r="I890" s="411"/>
      <c r="J890" s="142"/>
      <c r="K890" s="411"/>
      <c r="L890" s="142"/>
      <c r="M890" s="411"/>
      <c r="N890" s="142"/>
      <c r="O890" s="403"/>
      <c r="P890" s="198"/>
      <c r="Q890" s="412"/>
      <c r="R890" s="76"/>
      <c r="S890" s="197"/>
      <c r="T890" s="198"/>
      <c r="U890" s="197"/>
      <c r="V890" s="198"/>
      <c r="W890" s="198"/>
      <c r="X890" s="198"/>
      <c r="Y890" s="198"/>
      <c r="Z890" s="198"/>
    </row>
    <row r="891">
      <c r="A891" s="403"/>
      <c r="B891" s="198"/>
      <c r="C891" s="403"/>
      <c r="D891" s="142"/>
      <c r="E891" s="403"/>
      <c r="F891" s="198"/>
      <c r="G891" s="403"/>
      <c r="H891" s="198"/>
      <c r="I891" s="411"/>
      <c r="J891" s="142"/>
      <c r="K891" s="411"/>
      <c r="L891" s="142"/>
      <c r="M891" s="411"/>
      <c r="N891" s="142"/>
      <c r="O891" s="403"/>
      <c r="P891" s="198"/>
      <c r="Q891" s="412"/>
      <c r="R891" s="76"/>
      <c r="S891" s="197"/>
      <c r="T891" s="198"/>
      <c r="U891" s="197"/>
      <c r="V891" s="198"/>
      <c r="W891" s="198"/>
      <c r="X891" s="198"/>
      <c r="Y891" s="198"/>
      <c r="Z891" s="198"/>
    </row>
    <row r="892">
      <c r="A892" s="403"/>
      <c r="B892" s="198"/>
      <c r="C892" s="403"/>
      <c r="D892" s="142"/>
      <c r="E892" s="403"/>
      <c r="F892" s="198"/>
      <c r="G892" s="403"/>
      <c r="H892" s="198"/>
      <c r="I892" s="411"/>
      <c r="J892" s="142"/>
      <c r="K892" s="411"/>
      <c r="L892" s="142"/>
      <c r="M892" s="411"/>
      <c r="N892" s="142"/>
      <c r="O892" s="403"/>
      <c r="P892" s="198"/>
      <c r="Q892" s="412"/>
      <c r="R892" s="76"/>
      <c r="S892" s="197"/>
      <c r="T892" s="198"/>
      <c r="U892" s="197"/>
      <c r="V892" s="198"/>
      <c r="W892" s="198"/>
      <c r="X892" s="198"/>
      <c r="Y892" s="198"/>
      <c r="Z892" s="198"/>
    </row>
    <row r="893">
      <c r="A893" s="403"/>
      <c r="B893" s="198"/>
      <c r="C893" s="403"/>
      <c r="D893" s="142"/>
      <c r="E893" s="403"/>
      <c r="F893" s="198"/>
      <c r="G893" s="403"/>
      <c r="H893" s="198"/>
      <c r="I893" s="411"/>
      <c r="J893" s="142"/>
      <c r="K893" s="411"/>
      <c r="L893" s="142"/>
      <c r="M893" s="411"/>
      <c r="N893" s="142"/>
      <c r="O893" s="403"/>
      <c r="P893" s="198"/>
      <c r="Q893" s="412"/>
      <c r="R893" s="76"/>
      <c r="S893" s="197"/>
      <c r="T893" s="198"/>
      <c r="U893" s="197"/>
      <c r="V893" s="198"/>
      <c r="W893" s="198"/>
      <c r="X893" s="198"/>
      <c r="Y893" s="198"/>
      <c r="Z893" s="198"/>
    </row>
    <row r="894">
      <c r="A894" s="403"/>
      <c r="B894" s="198"/>
      <c r="C894" s="403"/>
      <c r="D894" s="142"/>
      <c r="E894" s="403"/>
      <c r="F894" s="198"/>
      <c r="G894" s="403"/>
      <c r="H894" s="198"/>
      <c r="I894" s="411"/>
      <c r="J894" s="142"/>
      <c r="K894" s="411"/>
      <c r="L894" s="142"/>
      <c r="M894" s="411"/>
      <c r="N894" s="142"/>
      <c r="O894" s="403"/>
      <c r="P894" s="198"/>
      <c r="Q894" s="412"/>
      <c r="R894" s="76"/>
      <c r="S894" s="197"/>
      <c r="T894" s="198"/>
      <c r="U894" s="197"/>
      <c r="V894" s="198"/>
      <c r="W894" s="198"/>
      <c r="X894" s="198"/>
      <c r="Y894" s="198"/>
      <c r="Z894" s="198"/>
    </row>
    <row r="895">
      <c r="A895" s="403"/>
      <c r="B895" s="198"/>
      <c r="C895" s="403"/>
      <c r="D895" s="142"/>
      <c r="E895" s="403"/>
      <c r="F895" s="198"/>
      <c r="G895" s="403"/>
      <c r="H895" s="198"/>
      <c r="I895" s="411"/>
      <c r="J895" s="142"/>
      <c r="K895" s="411"/>
      <c r="L895" s="142"/>
      <c r="M895" s="411"/>
      <c r="N895" s="142"/>
      <c r="O895" s="403"/>
      <c r="P895" s="198"/>
      <c r="Q895" s="412"/>
      <c r="R895" s="76"/>
      <c r="S895" s="197"/>
      <c r="T895" s="198"/>
      <c r="U895" s="197"/>
      <c r="V895" s="198"/>
      <c r="W895" s="198"/>
      <c r="X895" s="198"/>
      <c r="Y895" s="198"/>
      <c r="Z895" s="198"/>
    </row>
    <row r="896">
      <c r="A896" s="403"/>
      <c r="B896" s="198"/>
      <c r="C896" s="403"/>
      <c r="D896" s="142"/>
      <c r="E896" s="403"/>
      <c r="F896" s="198"/>
      <c r="G896" s="403"/>
      <c r="H896" s="198"/>
      <c r="I896" s="411"/>
      <c r="J896" s="142"/>
      <c r="K896" s="411"/>
      <c r="L896" s="142"/>
      <c r="M896" s="411"/>
      <c r="N896" s="142"/>
      <c r="O896" s="403"/>
      <c r="P896" s="198"/>
      <c r="Q896" s="412"/>
      <c r="R896" s="76"/>
      <c r="S896" s="197"/>
      <c r="T896" s="198"/>
      <c r="U896" s="197"/>
      <c r="V896" s="198"/>
      <c r="W896" s="198"/>
      <c r="X896" s="198"/>
      <c r="Y896" s="198"/>
      <c r="Z896" s="198"/>
    </row>
    <row r="897">
      <c r="A897" s="403"/>
      <c r="B897" s="198"/>
      <c r="C897" s="403"/>
      <c r="D897" s="142"/>
      <c r="E897" s="403"/>
      <c r="F897" s="198"/>
      <c r="G897" s="403"/>
      <c r="H897" s="198"/>
      <c r="I897" s="411"/>
      <c r="J897" s="142"/>
      <c r="K897" s="411"/>
      <c r="L897" s="142"/>
      <c r="M897" s="411"/>
      <c r="N897" s="142"/>
      <c r="O897" s="403"/>
      <c r="P897" s="198"/>
      <c r="Q897" s="412"/>
      <c r="R897" s="76"/>
      <c r="S897" s="197"/>
      <c r="T897" s="198"/>
      <c r="U897" s="197"/>
      <c r="V897" s="198"/>
      <c r="W897" s="198"/>
      <c r="X897" s="198"/>
      <c r="Y897" s="198"/>
      <c r="Z897" s="198"/>
    </row>
    <row r="898">
      <c r="A898" s="403"/>
      <c r="B898" s="198"/>
      <c r="C898" s="403"/>
      <c r="D898" s="142"/>
      <c r="E898" s="403"/>
      <c r="F898" s="198"/>
      <c r="G898" s="403"/>
      <c r="H898" s="198"/>
      <c r="I898" s="411"/>
      <c r="J898" s="142"/>
      <c r="K898" s="411"/>
      <c r="L898" s="142"/>
      <c r="M898" s="411"/>
      <c r="N898" s="142"/>
      <c r="O898" s="403"/>
      <c r="P898" s="198"/>
      <c r="Q898" s="412"/>
      <c r="R898" s="76"/>
      <c r="S898" s="197"/>
      <c r="T898" s="198"/>
      <c r="U898" s="197"/>
      <c r="V898" s="198"/>
      <c r="W898" s="198"/>
      <c r="X898" s="198"/>
      <c r="Y898" s="198"/>
      <c r="Z898" s="198"/>
    </row>
    <row r="899">
      <c r="A899" s="403"/>
      <c r="B899" s="198"/>
      <c r="C899" s="403"/>
      <c r="D899" s="142"/>
      <c r="E899" s="403"/>
      <c r="F899" s="198"/>
      <c r="G899" s="403"/>
      <c r="H899" s="198"/>
      <c r="I899" s="411"/>
      <c r="J899" s="142"/>
      <c r="K899" s="411"/>
      <c r="L899" s="142"/>
      <c r="M899" s="411"/>
      <c r="N899" s="142"/>
      <c r="O899" s="403"/>
      <c r="P899" s="198"/>
      <c r="Q899" s="412"/>
      <c r="R899" s="76"/>
      <c r="S899" s="197"/>
      <c r="T899" s="198"/>
      <c r="U899" s="197"/>
      <c r="V899" s="198"/>
      <c r="W899" s="198"/>
      <c r="X899" s="198"/>
      <c r="Y899" s="198"/>
      <c r="Z899" s="198"/>
    </row>
    <row r="900">
      <c r="A900" s="403"/>
      <c r="B900" s="198"/>
      <c r="C900" s="403"/>
      <c r="D900" s="142"/>
      <c r="E900" s="403"/>
      <c r="F900" s="198"/>
      <c r="G900" s="403"/>
      <c r="H900" s="198"/>
      <c r="I900" s="411"/>
      <c r="J900" s="142"/>
      <c r="K900" s="411"/>
      <c r="L900" s="142"/>
      <c r="M900" s="411"/>
      <c r="N900" s="142"/>
      <c r="O900" s="403"/>
      <c r="P900" s="198"/>
      <c r="Q900" s="412"/>
      <c r="R900" s="76"/>
      <c r="S900" s="197"/>
      <c r="T900" s="198"/>
      <c r="U900" s="197"/>
      <c r="V900" s="198"/>
      <c r="W900" s="198"/>
      <c r="X900" s="198"/>
      <c r="Y900" s="198"/>
      <c r="Z900" s="198"/>
    </row>
    <row r="901">
      <c r="A901" s="403"/>
      <c r="B901" s="198"/>
      <c r="C901" s="403"/>
      <c r="D901" s="142"/>
      <c r="E901" s="403"/>
      <c r="F901" s="198"/>
      <c r="G901" s="403"/>
      <c r="H901" s="198"/>
      <c r="I901" s="411"/>
      <c r="J901" s="142"/>
      <c r="K901" s="411"/>
      <c r="L901" s="142"/>
      <c r="M901" s="411"/>
      <c r="N901" s="142"/>
      <c r="O901" s="403"/>
      <c r="P901" s="198"/>
      <c r="Q901" s="412"/>
      <c r="R901" s="76"/>
      <c r="S901" s="197"/>
      <c r="T901" s="198"/>
      <c r="U901" s="197"/>
      <c r="V901" s="198"/>
      <c r="W901" s="198"/>
      <c r="X901" s="198"/>
      <c r="Y901" s="198"/>
      <c r="Z901" s="198"/>
    </row>
    <row r="902">
      <c r="A902" s="403"/>
      <c r="B902" s="198"/>
      <c r="C902" s="403"/>
      <c r="D902" s="142"/>
      <c r="E902" s="403"/>
      <c r="F902" s="198"/>
      <c r="G902" s="403"/>
      <c r="H902" s="198"/>
      <c r="I902" s="411"/>
      <c r="J902" s="142"/>
      <c r="K902" s="411"/>
      <c r="L902" s="142"/>
      <c r="M902" s="411"/>
      <c r="N902" s="142"/>
      <c r="O902" s="403"/>
      <c r="P902" s="198"/>
      <c r="Q902" s="412"/>
      <c r="R902" s="76"/>
      <c r="S902" s="197"/>
      <c r="T902" s="198"/>
      <c r="U902" s="197"/>
      <c r="V902" s="198"/>
      <c r="W902" s="198"/>
      <c r="X902" s="198"/>
      <c r="Y902" s="198"/>
      <c r="Z902" s="198"/>
    </row>
    <row r="903">
      <c r="A903" s="403"/>
      <c r="B903" s="198"/>
      <c r="C903" s="403"/>
      <c r="D903" s="142"/>
      <c r="E903" s="403"/>
      <c r="F903" s="198"/>
      <c r="G903" s="403"/>
      <c r="H903" s="198"/>
      <c r="I903" s="411"/>
      <c r="J903" s="142"/>
      <c r="K903" s="411"/>
      <c r="L903" s="142"/>
      <c r="M903" s="411"/>
      <c r="N903" s="142"/>
      <c r="O903" s="403"/>
      <c r="P903" s="198"/>
      <c r="Q903" s="412"/>
      <c r="R903" s="76"/>
      <c r="S903" s="197"/>
      <c r="T903" s="198"/>
      <c r="U903" s="197"/>
      <c r="V903" s="198"/>
      <c r="W903" s="198"/>
      <c r="X903" s="198"/>
      <c r="Y903" s="198"/>
      <c r="Z903" s="198"/>
    </row>
    <row r="904">
      <c r="A904" s="403"/>
      <c r="B904" s="198"/>
      <c r="C904" s="403"/>
      <c r="D904" s="142"/>
      <c r="E904" s="403"/>
      <c r="F904" s="198"/>
      <c r="G904" s="403"/>
      <c r="H904" s="198"/>
      <c r="I904" s="411"/>
      <c r="J904" s="142"/>
      <c r="K904" s="411"/>
      <c r="L904" s="142"/>
      <c r="M904" s="411"/>
      <c r="N904" s="142"/>
      <c r="O904" s="403"/>
      <c r="P904" s="198"/>
      <c r="Q904" s="412"/>
      <c r="R904" s="76"/>
      <c r="S904" s="197"/>
      <c r="T904" s="198"/>
      <c r="U904" s="197"/>
      <c r="V904" s="198"/>
      <c r="W904" s="198"/>
      <c r="X904" s="198"/>
      <c r="Y904" s="198"/>
      <c r="Z904" s="198"/>
    </row>
    <row r="905">
      <c r="A905" s="403"/>
      <c r="B905" s="198"/>
      <c r="C905" s="403"/>
      <c r="D905" s="142"/>
      <c r="E905" s="403"/>
      <c r="F905" s="198"/>
      <c r="G905" s="403"/>
      <c r="H905" s="198"/>
      <c r="I905" s="411"/>
      <c r="J905" s="142"/>
      <c r="K905" s="411"/>
      <c r="L905" s="142"/>
      <c r="M905" s="411"/>
      <c r="N905" s="142"/>
      <c r="O905" s="403"/>
      <c r="P905" s="198"/>
      <c r="Q905" s="412"/>
      <c r="R905" s="76"/>
      <c r="S905" s="197"/>
      <c r="T905" s="198"/>
      <c r="U905" s="197"/>
      <c r="V905" s="198"/>
      <c r="W905" s="198"/>
      <c r="X905" s="198"/>
      <c r="Y905" s="198"/>
      <c r="Z905" s="198"/>
    </row>
    <row r="906">
      <c r="A906" s="403"/>
      <c r="B906" s="198"/>
      <c r="C906" s="403"/>
      <c r="D906" s="142"/>
      <c r="E906" s="403"/>
      <c r="F906" s="198"/>
      <c r="G906" s="403"/>
      <c r="H906" s="198"/>
      <c r="I906" s="411"/>
      <c r="J906" s="142"/>
      <c r="K906" s="411"/>
      <c r="L906" s="142"/>
      <c r="M906" s="411"/>
      <c r="N906" s="142"/>
      <c r="O906" s="403"/>
      <c r="P906" s="198"/>
      <c r="Q906" s="412"/>
      <c r="R906" s="76"/>
      <c r="S906" s="197"/>
      <c r="T906" s="198"/>
      <c r="U906" s="197"/>
      <c r="V906" s="198"/>
      <c r="W906" s="198"/>
      <c r="X906" s="198"/>
      <c r="Y906" s="198"/>
      <c r="Z906" s="198"/>
    </row>
    <row r="907">
      <c r="A907" s="403"/>
      <c r="B907" s="198"/>
      <c r="C907" s="403"/>
      <c r="D907" s="142"/>
      <c r="E907" s="403"/>
      <c r="F907" s="198"/>
      <c r="G907" s="403"/>
      <c r="H907" s="198"/>
      <c r="I907" s="411"/>
      <c r="J907" s="142"/>
      <c r="K907" s="411"/>
      <c r="L907" s="142"/>
      <c r="M907" s="411"/>
      <c r="N907" s="142"/>
      <c r="O907" s="403"/>
      <c r="P907" s="198"/>
      <c r="Q907" s="412"/>
      <c r="R907" s="76"/>
      <c r="S907" s="197"/>
      <c r="T907" s="198"/>
      <c r="U907" s="197"/>
      <c r="V907" s="198"/>
      <c r="W907" s="198"/>
      <c r="X907" s="198"/>
      <c r="Y907" s="198"/>
      <c r="Z907" s="198"/>
    </row>
    <row r="908">
      <c r="A908" s="403"/>
      <c r="B908" s="198"/>
      <c r="C908" s="403"/>
      <c r="D908" s="142"/>
      <c r="E908" s="403"/>
      <c r="F908" s="198"/>
      <c r="G908" s="403"/>
      <c r="H908" s="198"/>
      <c r="I908" s="411"/>
      <c r="J908" s="142"/>
      <c r="K908" s="411"/>
      <c r="L908" s="142"/>
      <c r="M908" s="411"/>
      <c r="N908" s="142"/>
      <c r="O908" s="403"/>
      <c r="P908" s="198"/>
      <c r="Q908" s="412"/>
      <c r="R908" s="76"/>
      <c r="S908" s="197"/>
      <c r="T908" s="198"/>
      <c r="U908" s="197"/>
      <c r="V908" s="198"/>
      <c r="W908" s="198"/>
      <c r="X908" s="198"/>
      <c r="Y908" s="198"/>
      <c r="Z908" s="198"/>
    </row>
    <row r="909">
      <c r="A909" s="403"/>
      <c r="B909" s="198"/>
      <c r="C909" s="403"/>
      <c r="D909" s="142"/>
      <c r="E909" s="403"/>
      <c r="F909" s="198"/>
      <c r="G909" s="403"/>
      <c r="H909" s="198"/>
      <c r="I909" s="411"/>
      <c r="J909" s="142"/>
      <c r="K909" s="411"/>
      <c r="L909" s="142"/>
      <c r="M909" s="411"/>
      <c r="N909" s="142"/>
      <c r="O909" s="403"/>
      <c r="P909" s="198"/>
      <c r="Q909" s="412"/>
      <c r="R909" s="76"/>
      <c r="S909" s="197"/>
      <c r="T909" s="198"/>
      <c r="U909" s="197"/>
      <c r="V909" s="198"/>
      <c r="W909" s="198"/>
      <c r="X909" s="198"/>
      <c r="Y909" s="198"/>
      <c r="Z909" s="198"/>
    </row>
    <row r="910">
      <c r="A910" s="403"/>
      <c r="B910" s="198"/>
      <c r="C910" s="403"/>
      <c r="D910" s="142"/>
      <c r="E910" s="403"/>
      <c r="F910" s="198"/>
      <c r="G910" s="403"/>
      <c r="H910" s="198"/>
      <c r="I910" s="411"/>
      <c r="J910" s="142"/>
      <c r="K910" s="411"/>
      <c r="L910" s="142"/>
      <c r="M910" s="411"/>
      <c r="N910" s="142"/>
      <c r="O910" s="403"/>
      <c r="P910" s="198"/>
      <c r="Q910" s="412"/>
      <c r="R910" s="76"/>
      <c r="S910" s="197"/>
      <c r="T910" s="198"/>
      <c r="U910" s="197"/>
      <c r="V910" s="198"/>
      <c r="W910" s="198"/>
      <c r="X910" s="198"/>
      <c r="Y910" s="198"/>
      <c r="Z910" s="198"/>
    </row>
    <row r="911">
      <c r="A911" s="403"/>
      <c r="B911" s="198"/>
      <c r="C911" s="403"/>
      <c r="D911" s="142"/>
      <c r="E911" s="403"/>
      <c r="F911" s="198"/>
      <c r="G911" s="403"/>
      <c r="H911" s="198"/>
      <c r="I911" s="411"/>
      <c r="J911" s="142"/>
      <c r="K911" s="411"/>
      <c r="L911" s="142"/>
      <c r="M911" s="411"/>
      <c r="N911" s="142"/>
      <c r="O911" s="403"/>
      <c r="P911" s="198"/>
      <c r="Q911" s="412"/>
      <c r="R911" s="76"/>
      <c r="S911" s="197"/>
      <c r="T911" s="198"/>
      <c r="U911" s="197"/>
      <c r="V911" s="198"/>
      <c r="W911" s="198"/>
      <c r="X911" s="198"/>
      <c r="Y911" s="198"/>
      <c r="Z911" s="198"/>
    </row>
    <row r="912">
      <c r="A912" s="403"/>
      <c r="B912" s="198"/>
      <c r="C912" s="403"/>
      <c r="D912" s="142"/>
      <c r="E912" s="403"/>
      <c r="F912" s="198"/>
      <c r="G912" s="403"/>
      <c r="H912" s="198"/>
      <c r="I912" s="411"/>
      <c r="J912" s="142"/>
      <c r="K912" s="411"/>
      <c r="L912" s="142"/>
      <c r="M912" s="411"/>
      <c r="N912" s="142"/>
      <c r="O912" s="403"/>
      <c r="P912" s="198"/>
      <c r="Q912" s="412"/>
      <c r="R912" s="76"/>
      <c r="S912" s="197"/>
      <c r="T912" s="198"/>
      <c r="U912" s="197"/>
      <c r="V912" s="198"/>
      <c r="W912" s="198"/>
      <c r="X912" s="198"/>
      <c r="Y912" s="198"/>
      <c r="Z912" s="198"/>
    </row>
    <row r="913">
      <c r="A913" s="403"/>
      <c r="B913" s="198"/>
      <c r="C913" s="403"/>
      <c r="D913" s="142"/>
      <c r="E913" s="403"/>
      <c r="F913" s="198"/>
      <c r="G913" s="403"/>
      <c r="H913" s="198"/>
      <c r="I913" s="411"/>
      <c r="J913" s="142"/>
      <c r="K913" s="411"/>
      <c r="L913" s="142"/>
      <c r="M913" s="411"/>
      <c r="N913" s="142"/>
      <c r="O913" s="403"/>
      <c r="P913" s="198"/>
      <c r="Q913" s="412"/>
      <c r="R913" s="76"/>
      <c r="S913" s="197"/>
      <c r="T913" s="198"/>
      <c r="U913" s="197"/>
      <c r="V913" s="198"/>
      <c r="W913" s="198"/>
      <c r="X913" s="198"/>
      <c r="Y913" s="198"/>
      <c r="Z913" s="198"/>
    </row>
    <row r="914">
      <c r="A914" s="403"/>
      <c r="B914" s="198"/>
      <c r="C914" s="403"/>
      <c r="D914" s="142"/>
      <c r="E914" s="403"/>
      <c r="F914" s="198"/>
      <c r="G914" s="403"/>
      <c r="H914" s="198"/>
      <c r="I914" s="411"/>
      <c r="J914" s="142"/>
      <c r="K914" s="411"/>
      <c r="L914" s="142"/>
      <c r="M914" s="411"/>
      <c r="N914" s="142"/>
      <c r="O914" s="403"/>
      <c r="P914" s="198"/>
      <c r="Q914" s="412"/>
      <c r="R914" s="76"/>
      <c r="S914" s="197"/>
      <c r="T914" s="198"/>
      <c r="U914" s="197"/>
      <c r="V914" s="198"/>
      <c r="W914" s="198"/>
      <c r="X914" s="198"/>
      <c r="Y914" s="198"/>
      <c r="Z914" s="198"/>
    </row>
    <row r="915">
      <c r="A915" s="403"/>
      <c r="B915" s="198"/>
      <c r="C915" s="403"/>
      <c r="D915" s="142"/>
      <c r="E915" s="403"/>
      <c r="F915" s="198"/>
      <c r="G915" s="403"/>
      <c r="H915" s="198"/>
      <c r="I915" s="411"/>
      <c r="J915" s="142"/>
      <c r="K915" s="411"/>
      <c r="L915" s="142"/>
      <c r="M915" s="411"/>
      <c r="N915" s="142"/>
      <c r="O915" s="403"/>
      <c r="P915" s="198"/>
      <c r="Q915" s="412"/>
      <c r="R915" s="76"/>
      <c r="S915" s="197"/>
      <c r="T915" s="198"/>
      <c r="U915" s="197"/>
      <c r="V915" s="198"/>
      <c r="W915" s="198"/>
      <c r="X915" s="198"/>
      <c r="Y915" s="198"/>
      <c r="Z915" s="198"/>
    </row>
    <row r="916">
      <c r="A916" s="403"/>
      <c r="B916" s="198"/>
      <c r="C916" s="403"/>
      <c r="D916" s="142"/>
      <c r="E916" s="403"/>
      <c r="F916" s="198"/>
      <c r="G916" s="403"/>
      <c r="H916" s="198"/>
      <c r="I916" s="411"/>
      <c r="J916" s="142"/>
      <c r="K916" s="411"/>
      <c r="L916" s="142"/>
      <c r="M916" s="411"/>
      <c r="N916" s="142"/>
      <c r="O916" s="403"/>
      <c r="P916" s="198"/>
      <c r="Q916" s="412"/>
      <c r="R916" s="76"/>
      <c r="S916" s="197"/>
      <c r="T916" s="198"/>
      <c r="U916" s="197"/>
      <c r="V916" s="198"/>
      <c r="W916" s="198"/>
      <c r="X916" s="198"/>
      <c r="Y916" s="198"/>
      <c r="Z916" s="198"/>
    </row>
    <row r="917">
      <c r="A917" s="403"/>
      <c r="B917" s="198"/>
      <c r="C917" s="403"/>
      <c r="D917" s="142"/>
      <c r="E917" s="403"/>
      <c r="F917" s="198"/>
      <c r="G917" s="403"/>
      <c r="H917" s="198"/>
      <c r="I917" s="411"/>
      <c r="J917" s="142"/>
      <c r="K917" s="411"/>
      <c r="L917" s="142"/>
      <c r="M917" s="411"/>
      <c r="N917" s="142"/>
      <c r="O917" s="403"/>
      <c r="P917" s="198"/>
      <c r="Q917" s="412"/>
      <c r="R917" s="76"/>
      <c r="S917" s="197"/>
      <c r="T917" s="198"/>
      <c r="U917" s="197"/>
      <c r="V917" s="198"/>
      <c r="W917" s="198"/>
      <c r="X917" s="198"/>
      <c r="Y917" s="198"/>
      <c r="Z917" s="198"/>
    </row>
    <row r="918">
      <c r="A918" s="403"/>
      <c r="B918" s="198"/>
      <c r="C918" s="403"/>
      <c r="D918" s="142"/>
      <c r="E918" s="403"/>
      <c r="F918" s="198"/>
      <c r="G918" s="403"/>
      <c r="H918" s="198"/>
      <c r="I918" s="411"/>
      <c r="J918" s="142"/>
      <c r="K918" s="411"/>
      <c r="L918" s="142"/>
      <c r="M918" s="411"/>
      <c r="N918" s="142"/>
      <c r="O918" s="403"/>
      <c r="P918" s="198"/>
      <c r="Q918" s="412"/>
      <c r="R918" s="76"/>
      <c r="S918" s="197"/>
      <c r="T918" s="198"/>
      <c r="U918" s="197"/>
      <c r="V918" s="198"/>
      <c r="W918" s="198"/>
      <c r="X918" s="198"/>
      <c r="Y918" s="198"/>
      <c r="Z918" s="198"/>
    </row>
    <row r="919">
      <c r="A919" s="403"/>
      <c r="B919" s="198"/>
      <c r="C919" s="403"/>
      <c r="D919" s="142"/>
      <c r="E919" s="403"/>
      <c r="F919" s="198"/>
      <c r="G919" s="403"/>
      <c r="H919" s="198"/>
      <c r="I919" s="411"/>
      <c r="J919" s="142"/>
      <c r="K919" s="411"/>
      <c r="L919" s="142"/>
      <c r="M919" s="411"/>
      <c r="N919" s="142"/>
      <c r="O919" s="403"/>
      <c r="P919" s="198"/>
      <c r="Q919" s="412"/>
      <c r="R919" s="76"/>
      <c r="S919" s="197"/>
      <c r="T919" s="198"/>
      <c r="U919" s="197"/>
      <c r="V919" s="198"/>
      <c r="W919" s="198"/>
      <c r="X919" s="198"/>
      <c r="Y919" s="198"/>
      <c r="Z919" s="198"/>
    </row>
    <row r="920">
      <c r="A920" s="403"/>
      <c r="B920" s="198"/>
      <c r="C920" s="403"/>
      <c r="D920" s="142"/>
      <c r="E920" s="403"/>
      <c r="F920" s="198"/>
      <c r="G920" s="403"/>
      <c r="H920" s="198"/>
      <c r="I920" s="411"/>
      <c r="J920" s="142"/>
      <c r="K920" s="411"/>
      <c r="L920" s="142"/>
      <c r="M920" s="411"/>
      <c r="N920" s="142"/>
      <c r="O920" s="403"/>
      <c r="P920" s="198"/>
      <c r="Q920" s="412"/>
      <c r="R920" s="76"/>
      <c r="S920" s="197"/>
      <c r="T920" s="198"/>
      <c r="U920" s="197"/>
      <c r="V920" s="198"/>
      <c r="W920" s="198"/>
      <c r="X920" s="198"/>
      <c r="Y920" s="198"/>
      <c r="Z920" s="198"/>
    </row>
    <row r="921">
      <c r="A921" s="403"/>
      <c r="B921" s="198"/>
      <c r="C921" s="403"/>
      <c r="D921" s="142"/>
      <c r="E921" s="403"/>
      <c r="F921" s="198"/>
      <c r="G921" s="403"/>
      <c r="H921" s="198"/>
      <c r="I921" s="411"/>
      <c r="J921" s="142"/>
      <c r="K921" s="411"/>
      <c r="L921" s="142"/>
      <c r="M921" s="411"/>
      <c r="N921" s="142"/>
      <c r="O921" s="403"/>
      <c r="P921" s="198"/>
      <c r="Q921" s="412"/>
      <c r="R921" s="76"/>
      <c r="S921" s="197"/>
      <c r="T921" s="198"/>
      <c r="U921" s="197"/>
      <c r="V921" s="198"/>
      <c r="W921" s="198"/>
      <c r="X921" s="198"/>
      <c r="Y921" s="198"/>
      <c r="Z921" s="198"/>
    </row>
    <row r="922">
      <c r="A922" s="403"/>
      <c r="B922" s="198"/>
      <c r="C922" s="403"/>
      <c r="D922" s="142"/>
      <c r="E922" s="403"/>
      <c r="F922" s="198"/>
      <c r="G922" s="403"/>
      <c r="H922" s="198"/>
      <c r="I922" s="411"/>
      <c r="J922" s="142"/>
      <c r="K922" s="411"/>
      <c r="L922" s="142"/>
      <c r="M922" s="411"/>
      <c r="N922" s="142"/>
      <c r="O922" s="403"/>
      <c r="P922" s="198"/>
      <c r="Q922" s="412"/>
      <c r="R922" s="76"/>
      <c r="S922" s="197"/>
      <c r="T922" s="198"/>
      <c r="U922" s="197"/>
      <c r="V922" s="198"/>
      <c r="W922" s="198"/>
      <c r="X922" s="198"/>
      <c r="Y922" s="198"/>
      <c r="Z922" s="198"/>
    </row>
    <row r="923">
      <c r="A923" s="403"/>
      <c r="B923" s="198"/>
      <c r="C923" s="403"/>
      <c r="D923" s="142"/>
      <c r="E923" s="403"/>
      <c r="F923" s="198"/>
      <c r="G923" s="403"/>
      <c r="H923" s="198"/>
      <c r="I923" s="411"/>
      <c r="J923" s="142"/>
      <c r="K923" s="411"/>
      <c r="L923" s="142"/>
      <c r="M923" s="411"/>
      <c r="N923" s="142"/>
      <c r="O923" s="403"/>
      <c r="P923" s="198"/>
      <c r="Q923" s="412"/>
      <c r="R923" s="76"/>
      <c r="S923" s="197"/>
      <c r="T923" s="198"/>
      <c r="U923" s="197"/>
      <c r="V923" s="198"/>
      <c r="W923" s="198"/>
      <c r="X923" s="198"/>
      <c r="Y923" s="198"/>
      <c r="Z923" s="198"/>
    </row>
    <row r="924">
      <c r="A924" s="403"/>
      <c r="B924" s="198"/>
      <c r="C924" s="403"/>
      <c r="D924" s="142"/>
      <c r="E924" s="403"/>
      <c r="F924" s="198"/>
      <c r="G924" s="403"/>
      <c r="H924" s="198"/>
      <c r="I924" s="411"/>
      <c r="J924" s="142"/>
      <c r="K924" s="411"/>
      <c r="L924" s="142"/>
      <c r="M924" s="411"/>
      <c r="N924" s="142"/>
      <c r="O924" s="403"/>
      <c r="P924" s="198"/>
      <c r="Q924" s="412"/>
      <c r="R924" s="76"/>
      <c r="S924" s="197"/>
      <c r="T924" s="198"/>
      <c r="U924" s="197"/>
      <c r="V924" s="198"/>
      <c r="W924" s="198"/>
      <c r="X924" s="198"/>
      <c r="Y924" s="198"/>
      <c r="Z924" s="198"/>
    </row>
    <row r="925">
      <c r="A925" s="403"/>
      <c r="B925" s="198"/>
      <c r="C925" s="403"/>
      <c r="D925" s="142"/>
      <c r="E925" s="403"/>
      <c r="F925" s="198"/>
      <c r="G925" s="403"/>
      <c r="H925" s="198"/>
      <c r="I925" s="411"/>
      <c r="J925" s="142"/>
      <c r="K925" s="411"/>
      <c r="L925" s="142"/>
      <c r="M925" s="411"/>
      <c r="N925" s="142"/>
      <c r="O925" s="403"/>
      <c r="P925" s="198"/>
      <c r="Q925" s="412"/>
      <c r="R925" s="76"/>
      <c r="S925" s="197"/>
      <c r="T925" s="198"/>
      <c r="U925" s="197"/>
      <c r="V925" s="198"/>
      <c r="W925" s="198"/>
      <c r="X925" s="198"/>
      <c r="Y925" s="198"/>
      <c r="Z925" s="198"/>
    </row>
    <row r="926">
      <c r="A926" s="403"/>
      <c r="B926" s="198"/>
      <c r="C926" s="403"/>
      <c r="D926" s="142"/>
      <c r="E926" s="403"/>
      <c r="F926" s="198"/>
      <c r="G926" s="403"/>
      <c r="H926" s="198"/>
      <c r="I926" s="411"/>
      <c r="J926" s="142"/>
      <c r="K926" s="411"/>
      <c r="L926" s="142"/>
      <c r="M926" s="411"/>
      <c r="N926" s="142"/>
      <c r="O926" s="403"/>
      <c r="P926" s="198"/>
      <c r="Q926" s="412"/>
      <c r="R926" s="76"/>
      <c r="S926" s="197"/>
      <c r="T926" s="198"/>
      <c r="U926" s="197"/>
      <c r="V926" s="198"/>
      <c r="W926" s="198"/>
      <c r="X926" s="198"/>
      <c r="Y926" s="198"/>
      <c r="Z926" s="198"/>
    </row>
    <row r="927">
      <c r="A927" s="403"/>
      <c r="B927" s="198"/>
      <c r="C927" s="403"/>
      <c r="D927" s="142"/>
      <c r="E927" s="403"/>
      <c r="F927" s="198"/>
      <c r="G927" s="403"/>
      <c r="H927" s="198"/>
      <c r="I927" s="411"/>
      <c r="J927" s="142"/>
      <c r="K927" s="411"/>
      <c r="L927" s="142"/>
      <c r="M927" s="411"/>
      <c r="N927" s="142"/>
      <c r="O927" s="403"/>
      <c r="P927" s="198"/>
      <c r="Q927" s="412"/>
      <c r="R927" s="76"/>
      <c r="S927" s="197"/>
      <c r="T927" s="198"/>
      <c r="U927" s="197"/>
      <c r="V927" s="198"/>
      <c r="W927" s="198"/>
      <c r="X927" s="198"/>
      <c r="Y927" s="198"/>
      <c r="Z927" s="198"/>
    </row>
    <row r="928">
      <c r="A928" s="403"/>
      <c r="B928" s="198"/>
      <c r="C928" s="403"/>
      <c r="D928" s="142"/>
      <c r="E928" s="403"/>
      <c r="F928" s="198"/>
      <c r="G928" s="403"/>
      <c r="H928" s="198"/>
      <c r="I928" s="411"/>
      <c r="J928" s="142"/>
      <c r="K928" s="411"/>
      <c r="L928" s="142"/>
      <c r="M928" s="411"/>
      <c r="N928" s="142"/>
      <c r="O928" s="403"/>
      <c r="P928" s="198"/>
      <c r="Q928" s="412"/>
      <c r="R928" s="76"/>
      <c r="S928" s="197"/>
      <c r="T928" s="198"/>
      <c r="U928" s="197"/>
      <c r="V928" s="198"/>
      <c r="W928" s="198"/>
      <c r="X928" s="198"/>
      <c r="Y928" s="198"/>
      <c r="Z928" s="198"/>
    </row>
    <row r="929">
      <c r="A929" s="403"/>
      <c r="B929" s="198"/>
      <c r="C929" s="403"/>
      <c r="D929" s="142"/>
      <c r="E929" s="403"/>
      <c r="F929" s="198"/>
      <c r="G929" s="403"/>
      <c r="H929" s="198"/>
      <c r="I929" s="411"/>
      <c r="J929" s="142"/>
      <c r="K929" s="411"/>
      <c r="L929" s="142"/>
      <c r="M929" s="411"/>
      <c r="N929" s="142"/>
      <c r="O929" s="403"/>
      <c r="P929" s="198"/>
      <c r="Q929" s="412"/>
      <c r="R929" s="76"/>
      <c r="S929" s="197"/>
      <c r="T929" s="198"/>
      <c r="U929" s="197"/>
      <c r="V929" s="198"/>
      <c r="W929" s="198"/>
      <c r="X929" s="198"/>
      <c r="Y929" s="198"/>
      <c r="Z929" s="198"/>
    </row>
    <row r="930">
      <c r="A930" s="403"/>
      <c r="B930" s="198"/>
      <c r="C930" s="403"/>
      <c r="D930" s="142"/>
      <c r="E930" s="403"/>
      <c r="F930" s="198"/>
      <c r="G930" s="403"/>
      <c r="H930" s="198"/>
      <c r="I930" s="411"/>
      <c r="J930" s="142"/>
      <c r="K930" s="411"/>
      <c r="L930" s="142"/>
      <c r="M930" s="411"/>
      <c r="N930" s="142"/>
      <c r="O930" s="403"/>
      <c r="P930" s="198"/>
      <c r="Q930" s="412"/>
      <c r="R930" s="76"/>
      <c r="S930" s="197"/>
      <c r="T930" s="198"/>
      <c r="U930" s="197"/>
      <c r="V930" s="198"/>
      <c r="W930" s="198"/>
      <c r="X930" s="198"/>
      <c r="Y930" s="198"/>
      <c r="Z930" s="198"/>
    </row>
    <row r="931">
      <c r="A931" s="403"/>
      <c r="B931" s="198"/>
      <c r="C931" s="403"/>
      <c r="D931" s="142"/>
      <c r="E931" s="403"/>
      <c r="F931" s="198"/>
      <c r="G931" s="403"/>
      <c r="H931" s="198"/>
      <c r="I931" s="411"/>
      <c r="J931" s="142"/>
      <c r="K931" s="411"/>
      <c r="L931" s="142"/>
      <c r="M931" s="411"/>
      <c r="N931" s="142"/>
      <c r="O931" s="403"/>
      <c r="P931" s="198"/>
      <c r="Q931" s="412"/>
      <c r="R931" s="76"/>
      <c r="S931" s="197"/>
      <c r="T931" s="198"/>
      <c r="U931" s="197"/>
      <c r="V931" s="198"/>
      <c r="W931" s="198"/>
      <c r="X931" s="198"/>
      <c r="Y931" s="198"/>
      <c r="Z931" s="198"/>
    </row>
    <row r="932">
      <c r="A932" s="403"/>
      <c r="B932" s="198"/>
      <c r="C932" s="403"/>
      <c r="D932" s="142"/>
      <c r="E932" s="403"/>
      <c r="F932" s="198"/>
      <c r="G932" s="403"/>
      <c r="H932" s="198"/>
      <c r="I932" s="411"/>
      <c r="J932" s="142"/>
      <c r="K932" s="411"/>
      <c r="L932" s="142"/>
      <c r="M932" s="411"/>
      <c r="N932" s="142"/>
      <c r="O932" s="403"/>
      <c r="P932" s="198"/>
      <c r="Q932" s="412"/>
      <c r="R932" s="76"/>
      <c r="S932" s="197"/>
      <c r="T932" s="198"/>
      <c r="U932" s="197"/>
      <c r="V932" s="198"/>
      <c r="W932" s="198"/>
      <c r="X932" s="198"/>
      <c r="Y932" s="198"/>
      <c r="Z932" s="198"/>
    </row>
    <row r="933">
      <c r="A933" s="403"/>
      <c r="B933" s="198"/>
      <c r="C933" s="403"/>
      <c r="D933" s="142"/>
      <c r="E933" s="403"/>
      <c r="F933" s="198"/>
      <c r="G933" s="403"/>
      <c r="H933" s="198"/>
      <c r="I933" s="411"/>
      <c r="J933" s="142"/>
      <c r="K933" s="411"/>
      <c r="L933" s="142"/>
      <c r="M933" s="411"/>
      <c r="N933" s="142"/>
      <c r="O933" s="403"/>
      <c r="P933" s="198"/>
      <c r="Q933" s="412"/>
      <c r="R933" s="76"/>
      <c r="S933" s="197"/>
      <c r="T933" s="198"/>
      <c r="U933" s="197"/>
      <c r="V933" s="198"/>
      <c r="W933" s="198"/>
      <c r="X933" s="198"/>
      <c r="Y933" s="198"/>
      <c r="Z933" s="198"/>
    </row>
    <row r="934">
      <c r="A934" s="403"/>
      <c r="B934" s="198"/>
      <c r="C934" s="403"/>
      <c r="D934" s="142"/>
      <c r="E934" s="403"/>
      <c r="F934" s="198"/>
      <c r="G934" s="403"/>
      <c r="H934" s="198"/>
      <c r="I934" s="411"/>
      <c r="J934" s="142"/>
      <c r="K934" s="411"/>
      <c r="L934" s="142"/>
      <c r="M934" s="411"/>
      <c r="N934" s="142"/>
      <c r="O934" s="403"/>
      <c r="P934" s="198"/>
      <c r="Q934" s="412"/>
      <c r="R934" s="76"/>
      <c r="S934" s="197"/>
      <c r="T934" s="198"/>
      <c r="U934" s="197"/>
      <c r="V934" s="198"/>
      <c r="W934" s="198"/>
      <c r="X934" s="198"/>
      <c r="Y934" s="198"/>
      <c r="Z934" s="198"/>
    </row>
    <row r="935">
      <c r="A935" s="403"/>
      <c r="B935" s="198"/>
      <c r="C935" s="403"/>
      <c r="D935" s="142"/>
      <c r="E935" s="403"/>
      <c r="F935" s="198"/>
      <c r="G935" s="403"/>
      <c r="H935" s="198"/>
      <c r="I935" s="411"/>
      <c r="J935" s="142"/>
      <c r="K935" s="411"/>
      <c r="L935" s="142"/>
      <c r="M935" s="411"/>
      <c r="N935" s="142"/>
      <c r="O935" s="403"/>
      <c r="P935" s="198"/>
      <c r="Q935" s="412"/>
      <c r="R935" s="76"/>
      <c r="S935" s="197"/>
      <c r="T935" s="198"/>
      <c r="U935" s="197"/>
      <c r="V935" s="198"/>
      <c r="W935" s="198"/>
      <c r="X935" s="198"/>
      <c r="Y935" s="198"/>
      <c r="Z935" s="198"/>
    </row>
    <row r="936">
      <c r="A936" s="403"/>
      <c r="B936" s="198"/>
      <c r="C936" s="403"/>
      <c r="D936" s="142"/>
      <c r="E936" s="403"/>
      <c r="F936" s="198"/>
      <c r="G936" s="403"/>
      <c r="H936" s="198"/>
      <c r="I936" s="411"/>
      <c r="J936" s="142"/>
      <c r="K936" s="411"/>
      <c r="L936" s="142"/>
      <c r="M936" s="411"/>
      <c r="N936" s="142"/>
      <c r="O936" s="403"/>
      <c r="P936" s="198"/>
      <c r="Q936" s="412"/>
      <c r="R936" s="76"/>
      <c r="S936" s="197"/>
      <c r="T936" s="198"/>
      <c r="U936" s="197"/>
      <c r="V936" s="198"/>
      <c r="W936" s="198"/>
      <c r="X936" s="198"/>
      <c r="Y936" s="198"/>
      <c r="Z936" s="198"/>
    </row>
    <row r="937">
      <c r="A937" s="403"/>
      <c r="B937" s="198"/>
      <c r="C937" s="403"/>
      <c r="D937" s="142"/>
      <c r="E937" s="403"/>
      <c r="F937" s="198"/>
      <c r="G937" s="403"/>
      <c r="H937" s="198"/>
      <c r="I937" s="411"/>
      <c r="J937" s="142"/>
      <c r="K937" s="411"/>
      <c r="L937" s="142"/>
      <c r="M937" s="411"/>
      <c r="N937" s="142"/>
      <c r="O937" s="403"/>
      <c r="P937" s="198"/>
      <c r="Q937" s="412"/>
      <c r="R937" s="76"/>
      <c r="S937" s="197"/>
      <c r="T937" s="198"/>
      <c r="U937" s="197"/>
      <c r="V937" s="198"/>
      <c r="W937" s="198"/>
      <c r="X937" s="198"/>
      <c r="Y937" s="198"/>
      <c r="Z937" s="198"/>
    </row>
    <row r="938">
      <c r="A938" s="403"/>
      <c r="B938" s="198"/>
      <c r="C938" s="403"/>
      <c r="D938" s="142"/>
      <c r="E938" s="403"/>
      <c r="F938" s="198"/>
      <c r="G938" s="403"/>
      <c r="H938" s="198"/>
      <c r="I938" s="411"/>
      <c r="J938" s="142"/>
      <c r="K938" s="411"/>
      <c r="L938" s="142"/>
      <c r="M938" s="411"/>
      <c r="N938" s="142"/>
      <c r="O938" s="403"/>
      <c r="P938" s="198"/>
      <c r="Q938" s="412"/>
      <c r="R938" s="76"/>
      <c r="S938" s="197"/>
      <c r="T938" s="198"/>
      <c r="U938" s="197"/>
      <c r="V938" s="198"/>
      <c r="W938" s="198"/>
      <c r="X938" s="198"/>
      <c r="Y938" s="198"/>
      <c r="Z938" s="198"/>
    </row>
    <row r="939">
      <c r="A939" s="403"/>
      <c r="B939" s="198"/>
      <c r="C939" s="403"/>
      <c r="D939" s="142"/>
      <c r="E939" s="403"/>
      <c r="F939" s="198"/>
      <c r="G939" s="403"/>
      <c r="H939" s="198"/>
      <c r="I939" s="411"/>
      <c r="J939" s="142"/>
      <c r="K939" s="411"/>
      <c r="L939" s="142"/>
      <c r="M939" s="411"/>
      <c r="N939" s="142"/>
      <c r="O939" s="403"/>
      <c r="P939" s="198"/>
      <c r="Q939" s="412"/>
      <c r="R939" s="76"/>
      <c r="S939" s="197"/>
      <c r="T939" s="198"/>
      <c r="U939" s="197"/>
      <c r="V939" s="198"/>
      <c r="W939" s="198"/>
      <c r="X939" s="198"/>
      <c r="Y939" s="198"/>
      <c r="Z939" s="198"/>
    </row>
    <row r="940">
      <c r="A940" s="403"/>
      <c r="B940" s="198"/>
      <c r="C940" s="403"/>
      <c r="D940" s="142"/>
      <c r="E940" s="403"/>
      <c r="F940" s="198"/>
      <c r="G940" s="403"/>
      <c r="H940" s="198"/>
      <c r="I940" s="411"/>
      <c r="J940" s="142"/>
      <c r="K940" s="411"/>
      <c r="L940" s="142"/>
      <c r="M940" s="411"/>
      <c r="N940" s="142"/>
      <c r="O940" s="403"/>
      <c r="P940" s="198"/>
      <c r="Q940" s="412"/>
      <c r="R940" s="76"/>
      <c r="S940" s="197"/>
      <c r="T940" s="198"/>
      <c r="U940" s="197"/>
      <c r="V940" s="198"/>
      <c r="W940" s="198"/>
      <c r="X940" s="198"/>
      <c r="Y940" s="198"/>
      <c r="Z940" s="198"/>
    </row>
    <row r="941">
      <c r="A941" s="403"/>
      <c r="B941" s="198"/>
      <c r="C941" s="403"/>
      <c r="D941" s="142"/>
      <c r="E941" s="403"/>
      <c r="F941" s="198"/>
      <c r="G941" s="403"/>
      <c r="H941" s="198"/>
      <c r="I941" s="411"/>
      <c r="J941" s="142"/>
      <c r="K941" s="411"/>
      <c r="L941" s="142"/>
      <c r="M941" s="411"/>
      <c r="N941" s="142"/>
      <c r="O941" s="403"/>
      <c r="P941" s="198"/>
      <c r="Q941" s="412"/>
      <c r="R941" s="76"/>
      <c r="S941" s="197"/>
      <c r="T941" s="198"/>
      <c r="U941" s="197"/>
      <c r="V941" s="198"/>
      <c r="W941" s="198"/>
      <c r="X941" s="198"/>
      <c r="Y941" s="198"/>
      <c r="Z941" s="198"/>
    </row>
    <row r="942">
      <c r="A942" s="403"/>
      <c r="B942" s="198"/>
      <c r="C942" s="403"/>
      <c r="D942" s="142"/>
      <c r="E942" s="403"/>
      <c r="F942" s="198"/>
      <c r="G942" s="403"/>
      <c r="H942" s="198"/>
      <c r="I942" s="411"/>
      <c r="J942" s="142"/>
      <c r="K942" s="411"/>
      <c r="L942" s="142"/>
      <c r="M942" s="411"/>
      <c r="N942" s="142"/>
      <c r="O942" s="403"/>
      <c r="P942" s="198"/>
      <c r="Q942" s="412"/>
      <c r="R942" s="76"/>
      <c r="S942" s="197"/>
      <c r="T942" s="198"/>
      <c r="U942" s="197"/>
      <c r="V942" s="198"/>
      <c r="W942" s="198"/>
      <c r="X942" s="198"/>
      <c r="Y942" s="198"/>
      <c r="Z942" s="198"/>
    </row>
    <row r="943">
      <c r="A943" s="403"/>
      <c r="B943" s="198"/>
      <c r="C943" s="403"/>
      <c r="D943" s="142"/>
      <c r="E943" s="403"/>
      <c r="F943" s="198"/>
      <c r="G943" s="403"/>
      <c r="H943" s="198"/>
      <c r="I943" s="411"/>
      <c r="J943" s="142"/>
      <c r="K943" s="411"/>
      <c r="L943" s="142"/>
      <c r="M943" s="411"/>
      <c r="N943" s="142"/>
      <c r="O943" s="403"/>
      <c r="P943" s="198"/>
      <c r="Q943" s="412"/>
      <c r="R943" s="76"/>
      <c r="S943" s="197"/>
      <c r="T943" s="198"/>
      <c r="U943" s="197"/>
      <c r="V943" s="198"/>
      <c r="W943" s="198"/>
      <c r="X943" s="198"/>
      <c r="Y943" s="198"/>
      <c r="Z943" s="198"/>
    </row>
    <row r="944">
      <c r="A944" s="403"/>
      <c r="B944" s="198"/>
      <c r="C944" s="403"/>
      <c r="D944" s="142"/>
      <c r="E944" s="403"/>
      <c r="F944" s="198"/>
      <c r="G944" s="403"/>
      <c r="H944" s="198"/>
      <c r="I944" s="411"/>
      <c r="J944" s="142"/>
      <c r="K944" s="411"/>
      <c r="L944" s="142"/>
      <c r="M944" s="411"/>
      <c r="N944" s="142"/>
      <c r="O944" s="403"/>
      <c r="P944" s="198"/>
      <c r="Q944" s="412"/>
      <c r="R944" s="76"/>
      <c r="S944" s="197"/>
      <c r="T944" s="198"/>
      <c r="U944" s="197"/>
      <c r="V944" s="198"/>
      <c r="W944" s="198"/>
      <c r="X944" s="198"/>
      <c r="Y944" s="198"/>
      <c r="Z944" s="198"/>
    </row>
    <row r="945">
      <c r="A945" s="403"/>
      <c r="B945" s="198"/>
      <c r="C945" s="403"/>
      <c r="D945" s="142"/>
      <c r="E945" s="403"/>
      <c r="F945" s="198"/>
      <c r="G945" s="403"/>
      <c r="H945" s="198"/>
      <c r="I945" s="411"/>
      <c r="J945" s="142"/>
      <c r="K945" s="411"/>
      <c r="L945" s="142"/>
      <c r="M945" s="411"/>
      <c r="N945" s="142"/>
      <c r="O945" s="403"/>
      <c r="P945" s="198"/>
      <c r="Q945" s="412"/>
      <c r="R945" s="76"/>
      <c r="S945" s="197"/>
      <c r="T945" s="198"/>
      <c r="U945" s="197"/>
      <c r="V945" s="198"/>
      <c r="W945" s="198"/>
      <c r="X945" s="198"/>
      <c r="Y945" s="198"/>
      <c r="Z945" s="198"/>
    </row>
    <row r="946">
      <c r="A946" s="403"/>
      <c r="B946" s="198"/>
      <c r="C946" s="403"/>
      <c r="D946" s="142"/>
      <c r="E946" s="403"/>
      <c r="F946" s="198"/>
      <c r="G946" s="403"/>
      <c r="H946" s="198"/>
      <c r="I946" s="411"/>
      <c r="J946" s="142"/>
      <c r="K946" s="411"/>
      <c r="L946" s="142"/>
      <c r="M946" s="411"/>
      <c r="N946" s="142"/>
      <c r="O946" s="403"/>
      <c r="P946" s="198"/>
      <c r="Q946" s="412"/>
      <c r="R946" s="76"/>
      <c r="S946" s="197"/>
      <c r="T946" s="198"/>
      <c r="U946" s="197"/>
      <c r="V946" s="198"/>
      <c r="W946" s="198"/>
      <c r="X946" s="198"/>
      <c r="Y946" s="198"/>
      <c r="Z946" s="198"/>
    </row>
    <row r="947">
      <c r="A947" s="403"/>
      <c r="B947" s="198"/>
      <c r="C947" s="403"/>
      <c r="D947" s="142"/>
      <c r="E947" s="403"/>
      <c r="F947" s="198"/>
      <c r="G947" s="403"/>
      <c r="H947" s="198"/>
      <c r="I947" s="411"/>
      <c r="J947" s="142"/>
      <c r="K947" s="411"/>
      <c r="L947" s="142"/>
      <c r="M947" s="411"/>
      <c r="N947" s="142"/>
      <c r="O947" s="403"/>
      <c r="P947" s="198"/>
      <c r="Q947" s="412"/>
      <c r="R947" s="76"/>
      <c r="S947" s="197"/>
      <c r="T947" s="198"/>
      <c r="U947" s="197"/>
      <c r="V947" s="198"/>
      <c r="W947" s="198"/>
      <c r="X947" s="198"/>
      <c r="Y947" s="198"/>
      <c r="Z947" s="198"/>
    </row>
    <row r="948">
      <c r="A948" s="403"/>
      <c r="B948" s="198"/>
      <c r="C948" s="403"/>
      <c r="D948" s="142"/>
      <c r="E948" s="403"/>
      <c r="F948" s="198"/>
      <c r="G948" s="403"/>
      <c r="H948" s="198"/>
      <c r="I948" s="411"/>
      <c r="J948" s="142"/>
      <c r="K948" s="411"/>
      <c r="L948" s="142"/>
      <c r="M948" s="411"/>
      <c r="N948" s="142"/>
      <c r="O948" s="403"/>
      <c r="P948" s="198"/>
      <c r="Q948" s="412"/>
      <c r="R948" s="76"/>
      <c r="S948" s="197"/>
      <c r="T948" s="198"/>
      <c r="U948" s="197"/>
      <c r="V948" s="198"/>
      <c r="W948" s="198"/>
      <c r="X948" s="198"/>
      <c r="Y948" s="198"/>
      <c r="Z948" s="198"/>
    </row>
    <row r="949">
      <c r="A949" s="403"/>
      <c r="B949" s="198"/>
      <c r="C949" s="403"/>
      <c r="D949" s="142"/>
      <c r="E949" s="403"/>
      <c r="F949" s="198"/>
      <c r="G949" s="403"/>
      <c r="H949" s="198"/>
      <c r="I949" s="411"/>
      <c r="J949" s="142"/>
      <c r="K949" s="411"/>
      <c r="L949" s="142"/>
      <c r="M949" s="411"/>
      <c r="N949" s="142"/>
      <c r="O949" s="403"/>
      <c r="P949" s="198"/>
      <c r="Q949" s="412"/>
      <c r="R949" s="76"/>
      <c r="S949" s="197"/>
      <c r="T949" s="198"/>
      <c r="U949" s="197"/>
      <c r="V949" s="198"/>
      <c r="W949" s="198"/>
      <c r="X949" s="198"/>
      <c r="Y949" s="198"/>
      <c r="Z949" s="198"/>
    </row>
    <row r="950">
      <c r="A950" s="403"/>
      <c r="B950" s="198"/>
      <c r="C950" s="403"/>
      <c r="D950" s="142"/>
      <c r="E950" s="403"/>
      <c r="F950" s="198"/>
      <c r="G950" s="403"/>
      <c r="H950" s="198"/>
      <c r="I950" s="411"/>
      <c r="J950" s="142"/>
      <c r="K950" s="411"/>
      <c r="L950" s="142"/>
      <c r="M950" s="411"/>
      <c r="N950" s="142"/>
      <c r="O950" s="403"/>
      <c r="P950" s="198"/>
      <c r="Q950" s="412"/>
      <c r="R950" s="76"/>
      <c r="S950" s="197"/>
      <c r="T950" s="198"/>
      <c r="U950" s="197"/>
      <c r="V950" s="198"/>
      <c r="W950" s="198"/>
      <c r="X950" s="198"/>
      <c r="Y950" s="198"/>
      <c r="Z950" s="198"/>
    </row>
    <row r="951">
      <c r="A951" s="403"/>
      <c r="B951" s="198"/>
      <c r="C951" s="403"/>
      <c r="D951" s="142"/>
      <c r="E951" s="403"/>
      <c r="F951" s="198"/>
      <c r="G951" s="403"/>
      <c r="H951" s="198"/>
      <c r="I951" s="411"/>
      <c r="J951" s="142"/>
      <c r="K951" s="411"/>
      <c r="L951" s="142"/>
      <c r="M951" s="411"/>
      <c r="N951" s="142"/>
      <c r="O951" s="403"/>
      <c r="P951" s="198"/>
      <c r="Q951" s="412"/>
      <c r="R951" s="76"/>
      <c r="S951" s="197"/>
      <c r="T951" s="198"/>
      <c r="U951" s="197"/>
      <c r="V951" s="198"/>
      <c r="W951" s="198"/>
      <c r="X951" s="198"/>
      <c r="Y951" s="198"/>
      <c r="Z951" s="198"/>
    </row>
    <row r="952">
      <c r="A952" s="403"/>
      <c r="B952" s="198"/>
      <c r="C952" s="403"/>
      <c r="D952" s="142"/>
      <c r="E952" s="403"/>
      <c r="F952" s="198"/>
      <c r="G952" s="403"/>
      <c r="H952" s="198"/>
      <c r="I952" s="411"/>
      <c r="J952" s="142"/>
      <c r="K952" s="411"/>
      <c r="L952" s="142"/>
      <c r="M952" s="411"/>
      <c r="N952" s="142"/>
      <c r="O952" s="403"/>
      <c r="P952" s="198"/>
      <c r="Q952" s="412"/>
      <c r="R952" s="76"/>
      <c r="S952" s="197"/>
      <c r="T952" s="198"/>
      <c r="U952" s="197"/>
      <c r="V952" s="198"/>
      <c r="W952" s="198"/>
      <c r="X952" s="198"/>
      <c r="Y952" s="198"/>
      <c r="Z952" s="198"/>
    </row>
    <row r="953">
      <c r="A953" s="403"/>
      <c r="B953" s="198"/>
      <c r="C953" s="403"/>
      <c r="D953" s="142"/>
      <c r="E953" s="403"/>
      <c r="F953" s="198"/>
      <c r="G953" s="403"/>
      <c r="H953" s="198"/>
      <c r="I953" s="411"/>
      <c r="J953" s="142"/>
      <c r="K953" s="411"/>
      <c r="L953" s="142"/>
      <c r="M953" s="411"/>
      <c r="N953" s="142"/>
      <c r="O953" s="403"/>
      <c r="P953" s="198"/>
      <c r="Q953" s="412"/>
      <c r="R953" s="76"/>
      <c r="S953" s="197"/>
      <c r="T953" s="198"/>
      <c r="U953" s="197"/>
      <c r="V953" s="198"/>
      <c r="W953" s="198"/>
      <c r="X953" s="198"/>
      <c r="Y953" s="198"/>
      <c r="Z953" s="198"/>
    </row>
    <row r="954">
      <c r="A954" s="403"/>
      <c r="B954" s="198"/>
      <c r="C954" s="403"/>
      <c r="D954" s="142"/>
      <c r="E954" s="403"/>
      <c r="F954" s="198"/>
      <c r="G954" s="403"/>
      <c r="H954" s="198"/>
      <c r="I954" s="411"/>
      <c r="J954" s="142"/>
      <c r="K954" s="411"/>
      <c r="L954" s="142"/>
      <c r="M954" s="411"/>
      <c r="N954" s="142"/>
      <c r="O954" s="403"/>
      <c r="P954" s="198"/>
      <c r="Q954" s="412"/>
      <c r="R954" s="76"/>
      <c r="S954" s="197"/>
      <c r="T954" s="198"/>
      <c r="U954" s="197"/>
      <c r="V954" s="198"/>
      <c r="W954" s="198"/>
      <c r="X954" s="198"/>
      <c r="Y954" s="198"/>
      <c r="Z954" s="198"/>
    </row>
    <row r="955">
      <c r="A955" s="403"/>
      <c r="B955" s="198"/>
      <c r="C955" s="403"/>
      <c r="D955" s="142"/>
      <c r="E955" s="403"/>
      <c r="F955" s="198"/>
      <c r="G955" s="403"/>
      <c r="H955" s="198"/>
      <c r="I955" s="411"/>
      <c r="J955" s="142"/>
      <c r="K955" s="411"/>
      <c r="L955" s="142"/>
      <c r="M955" s="411"/>
      <c r="N955" s="142"/>
      <c r="O955" s="403"/>
      <c r="P955" s="198"/>
      <c r="Q955" s="412"/>
      <c r="R955" s="76"/>
      <c r="S955" s="197"/>
      <c r="T955" s="198"/>
      <c r="U955" s="197"/>
      <c r="V955" s="198"/>
      <c r="W955" s="198"/>
      <c r="X955" s="198"/>
      <c r="Y955" s="198"/>
      <c r="Z955" s="198"/>
    </row>
    <row r="956">
      <c r="A956" s="403"/>
      <c r="B956" s="198"/>
      <c r="C956" s="403"/>
      <c r="D956" s="142"/>
      <c r="E956" s="403"/>
      <c r="F956" s="198"/>
      <c r="G956" s="403"/>
      <c r="H956" s="198"/>
      <c r="I956" s="411"/>
      <c r="J956" s="142"/>
      <c r="K956" s="411"/>
      <c r="L956" s="142"/>
      <c r="M956" s="411"/>
      <c r="N956" s="142"/>
      <c r="O956" s="403"/>
      <c r="P956" s="198"/>
      <c r="Q956" s="412"/>
      <c r="R956" s="76"/>
      <c r="S956" s="197"/>
      <c r="T956" s="198"/>
      <c r="U956" s="197"/>
      <c r="V956" s="198"/>
      <c r="W956" s="198"/>
      <c r="X956" s="198"/>
      <c r="Y956" s="198"/>
      <c r="Z956" s="198"/>
    </row>
    <row r="957">
      <c r="A957" s="403"/>
      <c r="B957" s="198"/>
      <c r="C957" s="403"/>
      <c r="D957" s="142"/>
      <c r="E957" s="403"/>
      <c r="F957" s="198"/>
      <c r="G957" s="403"/>
      <c r="H957" s="198"/>
      <c r="I957" s="411"/>
      <c r="J957" s="142"/>
      <c r="K957" s="411"/>
      <c r="L957" s="142"/>
      <c r="M957" s="411"/>
      <c r="N957" s="142"/>
      <c r="O957" s="403"/>
      <c r="P957" s="198"/>
      <c r="Q957" s="412"/>
      <c r="R957" s="76"/>
      <c r="S957" s="197"/>
      <c r="T957" s="198"/>
      <c r="U957" s="197"/>
      <c r="V957" s="198"/>
      <c r="W957" s="198"/>
      <c r="X957" s="198"/>
      <c r="Y957" s="198"/>
      <c r="Z957" s="198"/>
    </row>
    <row r="958">
      <c r="A958" s="403"/>
      <c r="B958" s="198"/>
      <c r="C958" s="403"/>
      <c r="D958" s="142"/>
      <c r="E958" s="403"/>
      <c r="F958" s="198"/>
      <c r="G958" s="403"/>
      <c r="H958" s="198"/>
      <c r="I958" s="411"/>
      <c r="J958" s="142"/>
      <c r="K958" s="411"/>
      <c r="L958" s="142"/>
      <c r="M958" s="411"/>
      <c r="N958" s="142"/>
      <c r="O958" s="403"/>
      <c r="P958" s="198"/>
      <c r="Q958" s="412"/>
      <c r="R958" s="76"/>
      <c r="S958" s="197"/>
      <c r="T958" s="198"/>
      <c r="U958" s="197"/>
      <c r="V958" s="198"/>
      <c r="W958" s="198"/>
      <c r="X958" s="198"/>
      <c r="Y958" s="198"/>
      <c r="Z958" s="198"/>
    </row>
    <row r="959">
      <c r="A959" s="403"/>
      <c r="B959" s="198"/>
      <c r="C959" s="403"/>
      <c r="D959" s="142"/>
      <c r="E959" s="403"/>
      <c r="F959" s="198"/>
      <c r="G959" s="403"/>
      <c r="H959" s="198"/>
      <c r="I959" s="411"/>
      <c r="J959" s="142"/>
      <c r="K959" s="411"/>
      <c r="L959" s="142"/>
      <c r="M959" s="411"/>
      <c r="N959" s="142"/>
      <c r="O959" s="403"/>
      <c r="P959" s="198"/>
      <c r="Q959" s="412"/>
      <c r="R959" s="76"/>
      <c r="S959" s="197"/>
      <c r="T959" s="198"/>
      <c r="U959" s="197"/>
      <c r="V959" s="198"/>
      <c r="W959" s="198"/>
      <c r="X959" s="198"/>
      <c r="Y959" s="198"/>
      <c r="Z959" s="198"/>
    </row>
    <row r="960">
      <c r="A960" s="403"/>
      <c r="B960" s="198"/>
      <c r="C960" s="403"/>
      <c r="D960" s="142"/>
      <c r="E960" s="403"/>
      <c r="F960" s="198"/>
      <c r="G960" s="403"/>
      <c r="H960" s="198"/>
      <c r="I960" s="411"/>
      <c r="J960" s="142"/>
      <c r="K960" s="411"/>
      <c r="L960" s="142"/>
      <c r="M960" s="411"/>
      <c r="N960" s="142"/>
      <c r="O960" s="403"/>
      <c r="P960" s="198"/>
      <c r="Q960" s="412"/>
      <c r="R960" s="76"/>
      <c r="S960" s="197"/>
      <c r="T960" s="198"/>
      <c r="U960" s="197"/>
      <c r="V960" s="198"/>
      <c r="W960" s="198"/>
      <c r="X960" s="198"/>
      <c r="Y960" s="198"/>
      <c r="Z960" s="198"/>
    </row>
    <row r="961">
      <c r="A961" s="403"/>
      <c r="B961" s="198"/>
      <c r="C961" s="403"/>
      <c r="D961" s="142"/>
      <c r="E961" s="403"/>
      <c r="F961" s="198"/>
      <c r="G961" s="403"/>
      <c r="H961" s="198"/>
      <c r="I961" s="411"/>
      <c r="J961" s="142"/>
      <c r="K961" s="411"/>
      <c r="L961" s="142"/>
      <c r="M961" s="411"/>
      <c r="N961" s="142"/>
      <c r="O961" s="403"/>
      <c r="P961" s="198"/>
      <c r="Q961" s="412"/>
      <c r="R961" s="76"/>
      <c r="S961" s="197"/>
      <c r="T961" s="198"/>
      <c r="U961" s="197"/>
      <c r="V961" s="198"/>
      <c r="W961" s="198"/>
      <c r="X961" s="198"/>
      <c r="Y961" s="198"/>
      <c r="Z961" s="198"/>
    </row>
    <row r="962">
      <c r="A962" s="403"/>
      <c r="B962" s="198"/>
      <c r="C962" s="403"/>
      <c r="D962" s="142"/>
      <c r="E962" s="403"/>
      <c r="F962" s="198"/>
      <c r="G962" s="403"/>
      <c r="H962" s="198"/>
      <c r="I962" s="411"/>
      <c r="J962" s="142"/>
      <c r="K962" s="411"/>
      <c r="L962" s="142"/>
      <c r="M962" s="411"/>
      <c r="N962" s="142"/>
      <c r="O962" s="403"/>
      <c r="P962" s="198"/>
      <c r="Q962" s="412"/>
      <c r="R962" s="76"/>
      <c r="S962" s="197"/>
      <c r="T962" s="198"/>
      <c r="U962" s="197"/>
      <c r="V962" s="198"/>
      <c r="W962" s="198"/>
      <c r="X962" s="198"/>
      <c r="Y962" s="198"/>
      <c r="Z962" s="198"/>
    </row>
    <row r="963">
      <c r="A963" s="403"/>
      <c r="B963" s="198"/>
      <c r="C963" s="403"/>
      <c r="D963" s="142"/>
      <c r="E963" s="403"/>
      <c r="F963" s="198"/>
      <c r="G963" s="403"/>
      <c r="H963" s="198"/>
      <c r="I963" s="411"/>
      <c r="J963" s="142"/>
      <c r="K963" s="411"/>
      <c r="L963" s="142"/>
      <c r="M963" s="411"/>
      <c r="N963" s="142"/>
      <c r="O963" s="403"/>
      <c r="P963" s="198"/>
      <c r="Q963" s="412"/>
      <c r="R963" s="76"/>
      <c r="S963" s="197"/>
      <c r="T963" s="198"/>
      <c r="U963" s="197"/>
      <c r="V963" s="198"/>
      <c r="W963" s="198"/>
      <c r="X963" s="198"/>
      <c r="Y963" s="198"/>
      <c r="Z963" s="198"/>
    </row>
    <row r="964">
      <c r="A964" s="403"/>
      <c r="B964" s="198"/>
      <c r="C964" s="403"/>
      <c r="D964" s="142"/>
      <c r="E964" s="403"/>
      <c r="F964" s="198"/>
      <c r="G964" s="403"/>
      <c r="H964" s="198"/>
      <c r="I964" s="411"/>
      <c r="J964" s="142"/>
      <c r="K964" s="411"/>
      <c r="L964" s="142"/>
      <c r="M964" s="411"/>
      <c r="N964" s="142"/>
      <c r="O964" s="403"/>
      <c r="P964" s="198"/>
      <c r="Q964" s="412"/>
      <c r="R964" s="76"/>
      <c r="S964" s="197"/>
      <c r="T964" s="198"/>
      <c r="U964" s="197"/>
      <c r="V964" s="198"/>
      <c r="W964" s="198"/>
      <c r="X964" s="198"/>
      <c r="Y964" s="198"/>
      <c r="Z964" s="198"/>
    </row>
    <row r="965">
      <c r="A965" s="403"/>
      <c r="B965" s="198"/>
      <c r="C965" s="403"/>
      <c r="D965" s="142"/>
      <c r="E965" s="403"/>
      <c r="F965" s="198"/>
      <c r="G965" s="403"/>
      <c r="H965" s="198"/>
      <c r="I965" s="411"/>
      <c r="J965" s="142"/>
      <c r="K965" s="411"/>
      <c r="L965" s="142"/>
      <c r="M965" s="411"/>
      <c r="N965" s="142"/>
      <c r="O965" s="403"/>
      <c r="P965" s="198"/>
      <c r="Q965" s="412"/>
      <c r="R965" s="76"/>
      <c r="S965" s="197"/>
      <c r="T965" s="198"/>
      <c r="U965" s="197"/>
      <c r="V965" s="198"/>
      <c r="W965" s="198"/>
      <c r="X965" s="198"/>
      <c r="Y965" s="198"/>
      <c r="Z965" s="198"/>
    </row>
    <row r="966">
      <c r="A966" s="403"/>
      <c r="B966" s="198"/>
      <c r="C966" s="403"/>
      <c r="D966" s="142"/>
      <c r="E966" s="403"/>
      <c r="F966" s="198"/>
      <c r="G966" s="403"/>
      <c r="H966" s="198"/>
      <c r="I966" s="411"/>
      <c r="J966" s="142"/>
      <c r="K966" s="411"/>
      <c r="L966" s="142"/>
      <c r="M966" s="411"/>
      <c r="N966" s="142"/>
      <c r="O966" s="403"/>
      <c r="P966" s="198"/>
      <c r="Q966" s="412"/>
      <c r="R966" s="76"/>
      <c r="S966" s="197"/>
      <c r="T966" s="198"/>
      <c r="U966" s="197"/>
      <c r="V966" s="198"/>
      <c r="W966" s="198"/>
      <c r="X966" s="198"/>
      <c r="Y966" s="198"/>
      <c r="Z966" s="198"/>
    </row>
    <row r="967">
      <c r="A967" s="403"/>
      <c r="B967" s="198"/>
      <c r="C967" s="403"/>
      <c r="D967" s="142"/>
      <c r="E967" s="403"/>
      <c r="F967" s="198"/>
      <c r="G967" s="403"/>
      <c r="H967" s="198"/>
      <c r="I967" s="411"/>
      <c r="J967" s="142"/>
      <c r="K967" s="411"/>
      <c r="L967" s="142"/>
      <c r="M967" s="411"/>
      <c r="N967" s="142"/>
      <c r="O967" s="403"/>
      <c r="P967" s="198"/>
      <c r="Q967" s="412"/>
      <c r="R967" s="76"/>
      <c r="S967" s="197"/>
      <c r="T967" s="198"/>
      <c r="U967" s="197"/>
      <c r="V967" s="198"/>
      <c r="W967" s="198"/>
      <c r="X967" s="198"/>
      <c r="Y967" s="198"/>
      <c r="Z967" s="198"/>
    </row>
    <row r="968">
      <c r="A968" s="403"/>
      <c r="B968" s="198"/>
      <c r="C968" s="403"/>
      <c r="D968" s="142"/>
      <c r="E968" s="403"/>
      <c r="F968" s="198"/>
      <c r="G968" s="403"/>
      <c r="H968" s="198"/>
      <c r="I968" s="411"/>
      <c r="J968" s="142"/>
      <c r="K968" s="411"/>
      <c r="L968" s="142"/>
      <c r="M968" s="411"/>
      <c r="N968" s="142"/>
      <c r="O968" s="403"/>
      <c r="P968" s="198"/>
      <c r="Q968" s="412"/>
      <c r="R968" s="76"/>
      <c r="S968" s="197"/>
      <c r="T968" s="198"/>
      <c r="U968" s="197"/>
      <c r="V968" s="198"/>
      <c r="W968" s="198"/>
      <c r="X968" s="198"/>
      <c r="Y968" s="198"/>
      <c r="Z968" s="198"/>
    </row>
    <row r="969">
      <c r="A969" s="403"/>
      <c r="B969" s="198"/>
      <c r="C969" s="403"/>
      <c r="D969" s="142"/>
      <c r="E969" s="403"/>
      <c r="F969" s="198"/>
      <c r="G969" s="403"/>
      <c r="H969" s="198"/>
      <c r="I969" s="411"/>
      <c r="J969" s="142"/>
      <c r="K969" s="411"/>
      <c r="L969" s="142"/>
      <c r="M969" s="411"/>
      <c r="N969" s="142"/>
      <c r="O969" s="403"/>
      <c r="P969" s="198"/>
      <c r="Q969" s="412"/>
      <c r="R969" s="76"/>
      <c r="S969" s="197"/>
      <c r="T969" s="198"/>
      <c r="U969" s="197"/>
      <c r="V969" s="198"/>
      <c r="W969" s="198"/>
      <c r="X969" s="198"/>
      <c r="Y969" s="198"/>
      <c r="Z969" s="198"/>
    </row>
    <row r="970">
      <c r="A970" s="403"/>
      <c r="B970" s="198"/>
      <c r="C970" s="403"/>
      <c r="D970" s="142"/>
      <c r="E970" s="403"/>
      <c r="F970" s="198"/>
      <c r="G970" s="403"/>
      <c r="H970" s="198"/>
      <c r="I970" s="411"/>
      <c r="J970" s="142"/>
      <c r="K970" s="411"/>
      <c r="L970" s="142"/>
      <c r="M970" s="411"/>
      <c r="N970" s="142"/>
      <c r="O970" s="403"/>
      <c r="P970" s="198"/>
      <c r="Q970" s="412"/>
      <c r="R970" s="76"/>
      <c r="S970" s="197"/>
      <c r="T970" s="198"/>
      <c r="U970" s="197"/>
      <c r="V970" s="198"/>
      <c r="W970" s="198"/>
      <c r="X970" s="198"/>
      <c r="Y970" s="198"/>
      <c r="Z970" s="198"/>
    </row>
    <row r="971">
      <c r="A971" s="403"/>
      <c r="B971" s="198"/>
      <c r="C971" s="403"/>
      <c r="D971" s="142"/>
      <c r="E971" s="403"/>
      <c r="F971" s="198"/>
      <c r="G971" s="403"/>
      <c r="H971" s="198"/>
      <c r="I971" s="411"/>
      <c r="J971" s="142"/>
      <c r="K971" s="411"/>
      <c r="L971" s="142"/>
      <c r="M971" s="411"/>
      <c r="N971" s="142"/>
      <c r="O971" s="403"/>
      <c r="P971" s="198"/>
      <c r="Q971" s="412"/>
      <c r="R971" s="76"/>
      <c r="S971" s="197"/>
      <c r="T971" s="198"/>
      <c r="U971" s="197"/>
      <c r="V971" s="198"/>
      <c r="W971" s="198"/>
      <c r="X971" s="198"/>
      <c r="Y971" s="198"/>
      <c r="Z971" s="198"/>
    </row>
    <row r="972">
      <c r="A972" s="403"/>
      <c r="B972" s="198"/>
      <c r="C972" s="403"/>
      <c r="D972" s="142"/>
      <c r="E972" s="403"/>
      <c r="F972" s="198"/>
      <c r="G972" s="403"/>
      <c r="H972" s="198"/>
      <c r="I972" s="411"/>
      <c r="J972" s="142"/>
      <c r="K972" s="411"/>
      <c r="L972" s="142"/>
      <c r="M972" s="411"/>
      <c r="N972" s="142"/>
      <c r="O972" s="403"/>
      <c r="P972" s="198"/>
      <c r="Q972" s="412"/>
      <c r="R972" s="76"/>
      <c r="S972" s="197"/>
      <c r="T972" s="198"/>
      <c r="U972" s="197"/>
      <c r="V972" s="198"/>
      <c r="W972" s="198"/>
      <c r="X972" s="198"/>
      <c r="Y972" s="198"/>
      <c r="Z972" s="198"/>
    </row>
    <row r="973">
      <c r="A973" s="403"/>
      <c r="B973" s="198"/>
      <c r="C973" s="403"/>
      <c r="D973" s="142"/>
      <c r="E973" s="403"/>
      <c r="F973" s="198"/>
      <c r="G973" s="403"/>
      <c r="H973" s="198"/>
      <c r="I973" s="411"/>
      <c r="J973" s="142"/>
      <c r="K973" s="411"/>
      <c r="L973" s="142"/>
      <c r="M973" s="411"/>
      <c r="N973" s="142"/>
      <c r="O973" s="403"/>
      <c r="P973" s="198"/>
      <c r="Q973" s="412"/>
      <c r="R973" s="76"/>
      <c r="S973" s="197"/>
      <c r="T973" s="198"/>
      <c r="U973" s="197"/>
      <c r="V973" s="198"/>
      <c r="W973" s="198"/>
      <c r="X973" s="198"/>
      <c r="Y973" s="198"/>
      <c r="Z973" s="198"/>
    </row>
    <row r="974">
      <c r="A974" s="403"/>
      <c r="B974" s="198"/>
      <c r="C974" s="403"/>
      <c r="D974" s="142"/>
      <c r="E974" s="403"/>
      <c r="F974" s="198"/>
      <c r="G974" s="403"/>
      <c r="H974" s="198"/>
      <c r="I974" s="411"/>
      <c r="J974" s="142"/>
      <c r="K974" s="411"/>
      <c r="L974" s="142"/>
      <c r="M974" s="411"/>
      <c r="N974" s="142"/>
      <c r="O974" s="403"/>
      <c r="P974" s="198"/>
      <c r="Q974" s="412"/>
      <c r="R974" s="76"/>
      <c r="S974" s="197"/>
      <c r="T974" s="198"/>
      <c r="U974" s="197"/>
      <c r="V974" s="198"/>
      <c r="W974" s="198"/>
      <c r="X974" s="198"/>
      <c r="Y974" s="198"/>
      <c r="Z974" s="198"/>
    </row>
    <row r="975">
      <c r="A975" s="403"/>
      <c r="B975" s="198"/>
      <c r="C975" s="403"/>
      <c r="D975" s="142"/>
      <c r="E975" s="403"/>
      <c r="F975" s="198"/>
      <c r="G975" s="403"/>
      <c r="H975" s="198"/>
      <c r="I975" s="411"/>
      <c r="J975" s="142"/>
      <c r="K975" s="411"/>
      <c r="L975" s="142"/>
      <c r="M975" s="411"/>
      <c r="N975" s="142"/>
      <c r="O975" s="403"/>
      <c r="P975" s="198"/>
      <c r="Q975" s="412"/>
      <c r="R975" s="76"/>
      <c r="S975" s="197"/>
      <c r="T975" s="198"/>
      <c r="U975" s="197"/>
      <c r="V975" s="198"/>
      <c r="W975" s="198"/>
      <c r="X975" s="198"/>
      <c r="Y975" s="198"/>
      <c r="Z975" s="198"/>
    </row>
    <row r="976">
      <c r="A976" s="403"/>
      <c r="B976" s="198"/>
      <c r="C976" s="403"/>
      <c r="D976" s="142"/>
      <c r="E976" s="403"/>
      <c r="F976" s="198"/>
      <c r="G976" s="403"/>
      <c r="H976" s="198"/>
      <c r="I976" s="411"/>
      <c r="J976" s="142"/>
      <c r="K976" s="411"/>
      <c r="L976" s="142"/>
      <c r="M976" s="411"/>
      <c r="N976" s="142"/>
      <c r="O976" s="403"/>
      <c r="P976" s="198"/>
      <c r="Q976" s="412"/>
      <c r="R976" s="76"/>
      <c r="S976" s="197"/>
      <c r="T976" s="198"/>
      <c r="U976" s="197"/>
      <c r="V976" s="198"/>
      <c r="W976" s="198"/>
      <c r="X976" s="198"/>
      <c r="Y976" s="198"/>
      <c r="Z976" s="198"/>
    </row>
    <row r="977">
      <c r="A977" s="403"/>
      <c r="B977" s="198"/>
      <c r="C977" s="403"/>
      <c r="D977" s="142"/>
      <c r="E977" s="403"/>
      <c r="F977" s="198"/>
      <c r="G977" s="403"/>
      <c r="H977" s="198"/>
      <c r="I977" s="411"/>
      <c r="J977" s="142"/>
      <c r="K977" s="411"/>
      <c r="L977" s="142"/>
      <c r="M977" s="411"/>
      <c r="N977" s="142"/>
      <c r="O977" s="403"/>
      <c r="P977" s="198"/>
      <c r="Q977" s="412"/>
      <c r="R977" s="76"/>
      <c r="S977" s="197"/>
      <c r="T977" s="198"/>
      <c r="U977" s="197"/>
      <c r="V977" s="198"/>
      <c r="W977" s="198"/>
      <c r="X977" s="198"/>
      <c r="Y977" s="198"/>
      <c r="Z977" s="198"/>
    </row>
    <row r="978">
      <c r="A978" s="403"/>
      <c r="B978" s="198"/>
      <c r="C978" s="403"/>
      <c r="D978" s="142"/>
      <c r="E978" s="403"/>
      <c r="F978" s="198"/>
      <c r="G978" s="403"/>
      <c r="H978" s="198"/>
      <c r="I978" s="411"/>
      <c r="J978" s="142"/>
      <c r="K978" s="411"/>
      <c r="L978" s="142"/>
      <c r="M978" s="411"/>
      <c r="N978" s="142"/>
      <c r="O978" s="403"/>
      <c r="P978" s="198"/>
      <c r="Q978" s="412"/>
      <c r="R978" s="76"/>
      <c r="S978" s="197"/>
      <c r="T978" s="198"/>
      <c r="U978" s="197"/>
      <c r="V978" s="198"/>
      <c r="W978" s="198"/>
      <c r="X978" s="198"/>
      <c r="Y978" s="198"/>
      <c r="Z978" s="198"/>
    </row>
    <row r="979">
      <c r="A979" s="403"/>
      <c r="B979" s="198"/>
      <c r="C979" s="403"/>
      <c r="D979" s="142"/>
      <c r="E979" s="403"/>
      <c r="F979" s="198"/>
      <c r="G979" s="403"/>
      <c r="H979" s="198"/>
      <c r="I979" s="411"/>
      <c r="J979" s="142"/>
      <c r="K979" s="411"/>
      <c r="L979" s="142"/>
      <c r="M979" s="411"/>
      <c r="N979" s="142"/>
      <c r="O979" s="403"/>
      <c r="P979" s="198"/>
      <c r="Q979" s="412"/>
      <c r="R979" s="76"/>
      <c r="S979" s="197"/>
      <c r="T979" s="198"/>
      <c r="U979" s="197"/>
      <c r="V979" s="198"/>
      <c r="W979" s="198"/>
      <c r="X979" s="198"/>
      <c r="Y979" s="198"/>
      <c r="Z979" s="198"/>
    </row>
    <row r="980">
      <c r="A980" s="403"/>
      <c r="B980" s="198"/>
      <c r="C980" s="403"/>
      <c r="D980" s="142"/>
      <c r="E980" s="403"/>
      <c r="F980" s="198"/>
      <c r="G980" s="403"/>
      <c r="H980" s="198"/>
      <c r="I980" s="411"/>
      <c r="J980" s="142"/>
      <c r="K980" s="411"/>
      <c r="L980" s="142"/>
      <c r="M980" s="411"/>
      <c r="N980" s="142"/>
      <c r="O980" s="403"/>
      <c r="P980" s="198"/>
      <c r="Q980" s="412"/>
      <c r="R980" s="76"/>
      <c r="S980" s="197"/>
      <c r="T980" s="198"/>
      <c r="U980" s="197"/>
      <c r="V980" s="198"/>
      <c r="W980" s="198"/>
      <c r="X980" s="198"/>
      <c r="Y980" s="198"/>
      <c r="Z980" s="198"/>
    </row>
    <row r="981">
      <c r="A981" s="403"/>
      <c r="B981" s="198"/>
      <c r="C981" s="403"/>
      <c r="D981" s="142"/>
      <c r="E981" s="403"/>
      <c r="F981" s="198"/>
      <c r="G981" s="403"/>
      <c r="H981" s="198"/>
      <c r="I981" s="411"/>
      <c r="J981" s="142"/>
      <c r="K981" s="411"/>
      <c r="L981" s="142"/>
      <c r="M981" s="411"/>
      <c r="N981" s="142"/>
      <c r="O981" s="403"/>
      <c r="P981" s="198"/>
      <c r="Q981" s="412"/>
      <c r="R981" s="76"/>
      <c r="S981" s="197"/>
      <c r="T981" s="198"/>
      <c r="U981" s="197"/>
      <c r="V981" s="198"/>
      <c r="W981" s="198"/>
      <c r="X981" s="198"/>
      <c r="Y981" s="198"/>
      <c r="Z981" s="198"/>
    </row>
    <row r="982">
      <c r="A982" s="403"/>
      <c r="B982" s="198"/>
      <c r="C982" s="403"/>
      <c r="D982" s="142"/>
      <c r="E982" s="403"/>
      <c r="F982" s="198"/>
      <c r="G982" s="403"/>
      <c r="H982" s="198"/>
      <c r="I982" s="411"/>
      <c r="J982" s="142"/>
      <c r="K982" s="411"/>
      <c r="L982" s="142"/>
      <c r="M982" s="411"/>
      <c r="N982" s="142"/>
      <c r="O982" s="403"/>
      <c r="P982" s="198"/>
      <c r="Q982" s="412"/>
      <c r="R982" s="76"/>
      <c r="S982" s="197"/>
      <c r="T982" s="198"/>
      <c r="U982" s="197"/>
      <c r="V982" s="198"/>
      <c r="W982" s="198"/>
      <c r="X982" s="198"/>
      <c r="Y982" s="198"/>
      <c r="Z982" s="198"/>
    </row>
    <row r="983">
      <c r="A983" s="403"/>
      <c r="B983" s="198"/>
      <c r="C983" s="403"/>
      <c r="D983" s="142"/>
      <c r="E983" s="403"/>
      <c r="F983" s="198"/>
      <c r="G983" s="403"/>
      <c r="H983" s="198"/>
      <c r="I983" s="411"/>
      <c r="J983" s="142"/>
      <c r="K983" s="411"/>
      <c r="L983" s="142"/>
      <c r="M983" s="411"/>
      <c r="N983" s="142"/>
      <c r="O983" s="403"/>
      <c r="P983" s="198"/>
      <c r="Q983" s="412"/>
      <c r="R983" s="76"/>
      <c r="S983" s="197"/>
      <c r="T983" s="198"/>
      <c r="U983" s="197"/>
      <c r="V983" s="198"/>
      <c r="W983" s="198"/>
      <c r="X983" s="198"/>
      <c r="Y983" s="198"/>
      <c r="Z983" s="198"/>
    </row>
    <row r="984">
      <c r="A984" s="403"/>
      <c r="B984" s="198"/>
      <c r="C984" s="403"/>
      <c r="D984" s="142"/>
      <c r="E984" s="403"/>
      <c r="F984" s="198"/>
      <c r="G984" s="403"/>
      <c r="H984" s="198"/>
      <c r="I984" s="411"/>
      <c r="J984" s="142"/>
      <c r="K984" s="411"/>
      <c r="L984" s="142"/>
      <c r="M984" s="411"/>
      <c r="N984" s="142"/>
      <c r="O984" s="403"/>
      <c r="P984" s="198"/>
      <c r="Q984" s="412"/>
      <c r="R984" s="76"/>
      <c r="S984" s="197"/>
      <c r="T984" s="198"/>
      <c r="U984" s="197"/>
      <c r="V984" s="198"/>
      <c r="W984" s="198"/>
      <c r="X984" s="198"/>
      <c r="Y984" s="198"/>
      <c r="Z984" s="198"/>
    </row>
    <row r="985">
      <c r="A985" s="403"/>
      <c r="B985" s="198"/>
      <c r="C985" s="403"/>
      <c r="D985" s="142"/>
      <c r="E985" s="403"/>
      <c r="F985" s="198"/>
      <c r="G985" s="403"/>
      <c r="H985" s="198"/>
      <c r="I985" s="411"/>
      <c r="J985" s="142"/>
      <c r="K985" s="411"/>
      <c r="L985" s="142"/>
      <c r="M985" s="411"/>
      <c r="N985" s="142"/>
      <c r="O985" s="403"/>
      <c r="P985" s="198"/>
      <c r="Q985" s="412"/>
      <c r="R985" s="76"/>
      <c r="S985" s="197"/>
      <c r="T985" s="198"/>
      <c r="U985" s="197"/>
      <c r="V985" s="198"/>
      <c r="W985" s="198"/>
      <c r="X985" s="198"/>
      <c r="Y985" s="198"/>
      <c r="Z985" s="198"/>
    </row>
    <row r="986">
      <c r="A986" s="403"/>
      <c r="B986" s="198"/>
      <c r="C986" s="403"/>
      <c r="D986" s="142"/>
      <c r="E986" s="403"/>
      <c r="F986" s="198"/>
      <c r="G986" s="403"/>
      <c r="H986" s="198"/>
      <c r="I986" s="411"/>
      <c r="J986" s="142"/>
      <c r="K986" s="411"/>
      <c r="L986" s="142"/>
      <c r="M986" s="411"/>
      <c r="N986" s="142"/>
      <c r="O986" s="403"/>
      <c r="P986" s="198"/>
      <c r="Q986" s="412"/>
      <c r="R986" s="76"/>
      <c r="S986" s="197"/>
      <c r="T986" s="198"/>
      <c r="U986" s="197"/>
      <c r="V986" s="198"/>
      <c r="W986" s="198"/>
      <c r="X986" s="198"/>
      <c r="Y986" s="198"/>
      <c r="Z986" s="198"/>
    </row>
    <row r="987">
      <c r="A987" s="403"/>
      <c r="B987" s="198"/>
      <c r="C987" s="403"/>
      <c r="D987" s="142"/>
      <c r="E987" s="403"/>
      <c r="F987" s="198"/>
      <c r="G987" s="403"/>
      <c r="H987" s="198"/>
      <c r="I987" s="411"/>
      <c r="J987" s="142"/>
      <c r="K987" s="411"/>
      <c r="L987" s="142"/>
      <c r="M987" s="411"/>
      <c r="N987" s="142"/>
      <c r="O987" s="403"/>
      <c r="P987" s="198"/>
      <c r="Q987" s="412"/>
      <c r="R987" s="76"/>
      <c r="S987" s="197"/>
      <c r="T987" s="198"/>
      <c r="U987" s="197"/>
      <c r="V987" s="198"/>
      <c r="W987" s="198"/>
      <c r="X987" s="198"/>
      <c r="Y987" s="198"/>
      <c r="Z987" s="198"/>
    </row>
    <row r="988">
      <c r="A988" s="403"/>
      <c r="B988" s="198"/>
      <c r="C988" s="403"/>
      <c r="D988" s="142"/>
      <c r="E988" s="403"/>
      <c r="F988" s="198"/>
      <c r="G988" s="403"/>
      <c r="H988" s="198"/>
      <c r="I988" s="411"/>
      <c r="J988" s="142"/>
      <c r="K988" s="411"/>
      <c r="L988" s="142"/>
      <c r="M988" s="411"/>
      <c r="N988" s="142"/>
      <c r="O988" s="403"/>
      <c r="P988" s="198"/>
      <c r="Q988" s="412"/>
      <c r="R988" s="76"/>
      <c r="S988" s="197"/>
      <c r="T988" s="198"/>
      <c r="U988" s="197"/>
      <c r="V988" s="198"/>
      <c r="W988" s="198"/>
      <c r="X988" s="198"/>
      <c r="Y988" s="198"/>
      <c r="Z988" s="198"/>
    </row>
    <row r="989">
      <c r="A989" s="403"/>
      <c r="B989" s="198"/>
      <c r="C989" s="403"/>
      <c r="D989" s="142"/>
      <c r="E989" s="403"/>
      <c r="F989" s="198"/>
      <c r="G989" s="403"/>
      <c r="H989" s="198"/>
      <c r="I989" s="411"/>
      <c r="J989" s="142"/>
      <c r="K989" s="411"/>
      <c r="L989" s="142"/>
      <c r="M989" s="411"/>
      <c r="N989" s="142"/>
      <c r="O989" s="403"/>
      <c r="P989" s="198"/>
      <c r="Q989" s="412"/>
      <c r="R989" s="76"/>
      <c r="S989" s="197"/>
      <c r="T989" s="198"/>
      <c r="U989" s="197"/>
      <c r="V989" s="198"/>
      <c r="W989" s="198"/>
      <c r="X989" s="198"/>
      <c r="Y989" s="198"/>
      <c r="Z989" s="198"/>
    </row>
    <row r="990">
      <c r="A990" s="403"/>
      <c r="B990" s="198"/>
      <c r="C990" s="403"/>
      <c r="D990" s="142"/>
      <c r="E990" s="403"/>
      <c r="F990" s="198"/>
      <c r="G990" s="403"/>
      <c r="H990" s="198"/>
      <c r="I990" s="411"/>
      <c r="J990" s="142"/>
      <c r="K990" s="411"/>
      <c r="L990" s="142"/>
      <c r="M990" s="411"/>
      <c r="N990" s="142"/>
      <c r="O990" s="403"/>
      <c r="P990" s="198"/>
      <c r="Q990" s="412"/>
      <c r="R990" s="76"/>
      <c r="S990" s="197"/>
      <c r="T990" s="198"/>
      <c r="U990" s="197"/>
      <c r="V990" s="198"/>
      <c r="W990" s="198"/>
      <c r="X990" s="198"/>
      <c r="Y990" s="198"/>
      <c r="Z990" s="198"/>
    </row>
    <row r="991">
      <c r="A991" s="403"/>
      <c r="B991" s="198"/>
      <c r="C991" s="403"/>
      <c r="D991" s="142"/>
      <c r="E991" s="403"/>
      <c r="F991" s="198"/>
      <c r="G991" s="403"/>
      <c r="H991" s="198"/>
      <c r="I991" s="411"/>
      <c r="J991" s="142"/>
      <c r="K991" s="411"/>
      <c r="L991" s="142"/>
      <c r="M991" s="411"/>
      <c r="N991" s="142"/>
      <c r="O991" s="403"/>
      <c r="P991" s="198"/>
      <c r="Q991" s="412"/>
      <c r="R991" s="76"/>
      <c r="S991" s="197"/>
      <c r="T991" s="198"/>
      <c r="U991" s="197"/>
      <c r="V991" s="198"/>
      <c r="W991" s="198"/>
      <c r="X991" s="198"/>
      <c r="Y991" s="198"/>
      <c r="Z991" s="198"/>
    </row>
    <row r="992">
      <c r="A992" s="403"/>
      <c r="B992" s="198"/>
      <c r="C992" s="403"/>
      <c r="D992" s="142"/>
      <c r="E992" s="403"/>
      <c r="F992" s="198"/>
      <c r="G992" s="403"/>
      <c r="H992" s="198"/>
      <c r="I992" s="411"/>
      <c r="J992" s="142"/>
      <c r="K992" s="411"/>
      <c r="L992" s="142"/>
      <c r="M992" s="411"/>
      <c r="N992" s="142"/>
      <c r="O992" s="403"/>
      <c r="P992" s="198"/>
      <c r="Q992" s="412"/>
      <c r="R992" s="76"/>
      <c r="S992" s="197"/>
      <c r="T992" s="198"/>
      <c r="U992" s="197"/>
      <c r="V992" s="198"/>
      <c r="W992" s="198"/>
      <c r="X992" s="198"/>
      <c r="Y992" s="198"/>
      <c r="Z992" s="198"/>
    </row>
    <row r="993">
      <c r="A993" s="403"/>
      <c r="B993" s="198"/>
      <c r="C993" s="403"/>
      <c r="D993" s="142"/>
      <c r="E993" s="403"/>
      <c r="F993" s="198"/>
      <c r="G993" s="403"/>
      <c r="H993" s="198"/>
      <c r="I993" s="411"/>
      <c r="J993" s="142"/>
      <c r="K993" s="411"/>
      <c r="L993" s="142"/>
      <c r="M993" s="411"/>
      <c r="N993" s="142"/>
      <c r="O993" s="403"/>
      <c r="P993" s="198"/>
      <c r="Q993" s="412"/>
      <c r="R993" s="76"/>
      <c r="S993" s="197"/>
      <c r="T993" s="198"/>
      <c r="U993" s="197"/>
      <c r="V993" s="198"/>
      <c r="W993" s="198"/>
      <c r="X993" s="198"/>
      <c r="Y993" s="198"/>
      <c r="Z993" s="198"/>
    </row>
    <row r="994">
      <c r="A994" s="403"/>
      <c r="B994" s="198"/>
      <c r="C994" s="403"/>
      <c r="D994" s="142"/>
      <c r="E994" s="403"/>
      <c r="F994" s="198"/>
      <c r="G994" s="403"/>
      <c r="H994" s="198"/>
      <c r="I994" s="411"/>
      <c r="J994" s="142"/>
      <c r="K994" s="411"/>
      <c r="L994" s="142"/>
      <c r="M994" s="411"/>
      <c r="N994" s="142"/>
      <c r="O994" s="403"/>
      <c r="P994" s="198"/>
      <c r="Q994" s="412"/>
      <c r="R994" s="76"/>
      <c r="S994" s="197"/>
      <c r="T994" s="198"/>
      <c r="U994" s="197"/>
      <c r="V994" s="198"/>
      <c r="W994" s="198"/>
      <c r="X994" s="198"/>
      <c r="Y994" s="198"/>
      <c r="Z994" s="198"/>
    </row>
    <row r="995">
      <c r="A995" s="403"/>
      <c r="B995" s="198"/>
      <c r="C995" s="403"/>
      <c r="D995" s="142"/>
      <c r="E995" s="403"/>
      <c r="F995" s="198"/>
      <c r="G995" s="403"/>
      <c r="H995" s="198"/>
      <c r="I995" s="411"/>
      <c r="J995" s="142"/>
      <c r="K995" s="411"/>
      <c r="L995" s="142"/>
      <c r="M995" s="411"/>
      <c r="N995" s="142"/>
      <c r="O995" s="403"/>
      <c r="P995" s="198"/>
      <c r="Q995" s="412"/>
      <c r="R995" s="76"/>
      <c r="S995" s="197"/>
      <c r="T995" s="198"/>
      <c r="U995" s="197"/>
      <c r="V995" s="198"/>
      <c r="W995" s="198"/>
      <c r="X995" s="198"/>
      <c r="Y995" s="198"/>
      <c r="Z995" s="198"/>
    </row>
    <row r="996">
      <c r="A996" s="403"/>
      <c r="B996" s="198"/>
      <c r="C996" s="403"/>
      <c r="D996" s="142"/>
      <c r="E996" s="403"/>
      <c r="F996" s="198"/>
      <c r="G996" s="403"/>
      <c r="H996" s="198"/>
      <c r="I996" s="411"/>
      <c r="J996" s="142"/>
      <c r="K996" s="411"/>
      <c r="L996" s="142"/>
      <c r="M996" s="411"/>
      <c r="N996" s="142"/>
      <c r="O996" s="403"/>
      <c r="P996" s="198"/>
      <c r="Q996" s="412"/>
      <c r="R996" s="76"/>
      <c r="S996" s="197"/>
      <c r="T996" s="198"/>
      <c r="U996" s="197"/>
      <c r="V996" s="198"/>
      <c r="W996" s="198"/>
      <c r="X996" s="198"/>
      <c r="Y996" s="198"/>
      <c r="Z996" s="198"/>
    </row>
    <row r="997">
      <c r="A997" s="403"/>
      <c r="B997" s="198"/>
      <c r="C997" s="403"/>
      <c r="D997" s="142"/>
      <c r="E997" s="403"/>
      <c r="F997" s="198"/>
      <c r="G997" s="403"/>
      <c r="H997" s="198"/>
      <c r="I997" s="411"/>
      <c r="J997" s="142"/>
      <c r="K997" s="411"/>
      <c r="L997" s="142"/>
      <c r="M997" s="411"/>
      <c r="N997" s="142"/>
      <c r="O997" s="403"/>
      <c r="P997" s="198"/>
      <c r="Q997" s="412"/>
      <c r="R997" s="76"/>
      <c r="S997" s="197"/>
      <c r="T997" s="198"/>
      <c r="U997" s="197"/>
      <c r="V997" s="198"/>
      <c r="W997" s="198"/>
      <c r="X997" s="198"/>
      <c r="Y997" s="198"/>
      <c r="Z997" s="198"/>
    </row>
    <row r="998">
      <c r="A998" s="403"/>
      <c r="B998" s="198"/>
      <c r="C998" s="403"/>
      <c r="D998" s="142"/>
      <c r="E998" s="403"/>
      <c r="F998" s="198"/>
      <c r="G998" s="403"/>
      <c r="H998" s="198"/>
      <c r="I998" s="411"/>
      <c r="J998" s="142"/>
      <c r="K998" s="411"/>
      <c r="L998" s="142"/>
      <c r="M998" s="411"/>
      <c r="N998" s="142"/>
      <c r="O998" s="403"/>
      <c r="P998" s="198"/>
      <c r="Q998" s="412"/>
      <c r="R998" s="76"/>
      <c r="S998" s="197"/>
      <c r="T998" s="198"/>
      <c r="U998" s="197"/>
      <c r="V998" s="198"/>
      <c r="W998" s="198"/>
      <c r="X998" s="198"/>
      <c r="Y998" s="198"/>
      <c r="Z998" s="198"/>
    </row>
    <row r="999">
      <c r="A999" s="403"/>
      <c r="B999" s="198"/>
      <c r="C999" s="403"/>
      <c r="D999" s="142"/>
      <c r="E999" s="403"/>
      <c r="F999" s="198"/>
      <c r="G999" s="403"/>
      <c r="H999" s="198"/>
      <c r="I999" s="411"/>
      <c r="J999" s="142"/>
      <c r="K999" s="411"/>
      <c r="L999" s="142"/>
      <c r="M999" s="411"/>
      <c r="N999" s="142"/>
      <c r="O999" s="403"/>
      <c r="P999" s="198"/>
      <c r="Q999" s="412"/>
      <c r="R999" s="76"/>
      <c r="S999" s="197"/>
      <c r="T999" s="198"/>
      <c r="U999" s="197"/>
      <c r="V999" s="198"/>
      <c r="W999" s="198"/>
      <c r="X999" s="198"/>
      <c r="Y999" s="198"/>
      <c r="Z999" s="198"/>
    </row>
    <row r="1000">
      <c r="A1000" s="403"/>
      <c r="B1000" s="198"/>
      <c r="C1000" s="403"/>
      <c r="D1000" s="142"/>
      <c r="E1000" s="403"/>
      <c r="F1000" s="198"/>
      <c r="G1000" s="403"/>
      <c r="H1000" s="198"/>
      <c r="I1000" s="411"/>
      <c r="J1000" s="142"/>
      <c r="K1000" s="411"/>
      <c r="L1000" s="142"/>
      <c r="M1000" s="411"/>
      <c r="N1000" s="142"/>
      <c r="O1000" s="403"/>
      <c r="P1000" s="198"/>
      <c r="Q1000" s="412"/>
      <c r="R1000" s="76"/>
      <c r="S1000" s="197"/>
      <c r="T1000" s="198"/>
      <c r="U1000" s="197"/>
      <c r="V1000" s="198"/>
      <c r="W1000" s="198"/>
      <c r="X1000" s="198"/>
      <c r="Y1000" s="198"/>
      <c r="Z1000" s="198"/>
    </row>
    <row r="1001">
      <c r="A1001" s="403"/>
      <c r="B1001" s="198"/>
      <c r="C1001" s="403"/>
      <c r="D1001" s="142"/>
      <c r="E1001" s="403"/>
      <c r="F1001" s="198"/>
      <c r="G1001" s="403"/>
      <c r="H1001" s="198"/>
      <c r="I1001" s="411"/>
      <c r="J1001" s="142"/>
      <c r="K1001" s="411"/>
      <c r="L1001" s="142"/>
      <c r="M1001" s="411"/>
      <c r="N1001" s="142"/>
      <c r="O1001" s="403"/>
      <c r="P1001" s="198"/>
      <c r="Q1001" s="412"/>
      <c r="R1001" s="76"/>
      <c r="S1001" s="197"/>
      <c r="T1001" s="198"/>
      <c r="U1001" s="197"/>
      <c r="V1001" s="198"/>
      <c r="W1001" s="198"/>
      <c r="X1001" s="198"/>
      <c r="Y1001" s="198"/>
      <c r="Z1001" s="198"/>
    </row>
    <row r="1002">
      <c r="A1002" s="403"/>
      <c r="B1002" s="198"/>
      <c r="C1002" s="403"/>
      <c r="D1002" s="142"/>
      <c r="E1002" s="403"/>
      <c r="F1002" s="198"/>
      <c r="G1002" s="403"/>
      <c r="H1002" s="198"/>
      <c r="I1002" s="411"/>
      <c r="J1002" s="142"/>
      <c r="K1002" s="411"/>
      <c r="L1002" s="142"/>
      <c r="M1002" s="411"/>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1"/>
      <c r="J1003" s="142"/>
      <c r="K1003" s="411"/>
      <c r="L1003" s="142"/>
      <c r="M1003" s="411"/>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1"/>
      <c r="J1004" s="142"/>
      <c r="K1004" s="411"/>
      <c r="L1004" s="142"/>
      <c r="M1004" s="411"/>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1"/>
      <c r="J1005" s="142"/>
      <c r="K1005" s="411"/>
      <c r="L1005" s="142"/>
      <c r="M1005" s="411"/>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1"/>
      <c r="J1006" s="142"/>
      <c r="K1006" s="411"/>
      <c r="L1006" s="142"/>
      <c r="M1006" s="411"/>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1"/>
      <c r="J1007" s="142"/>
      <c r="K1007" s="411"/>
      <c r="L1007" s="142"/>
      <c r="M1007" s="411"/>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1"/>
      <c r="J1008" s="142"/>
      <c r="K1008" s="411"/>
      <c r="L1008" s="142"/>
      <c r="M1008" s="411"/>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1"/>
      <c r="J1009" s="142"/>
      <c r="K1009" s="411"/>
      <c r="L1009" s="142"/>
      <c r="M1009" s="411"/>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1"/>
      <c r="J1010" s="142"/>
      <c r="K1010" s="411"/>
      <c r="L1010" s="142"/>
      <c r="M1010" s="411"/>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1"/>
      <c r="J1011" s="142"/>
      <c r="K1011" s="411"/>
      <c r="L1011" s="142"/>
      <c r="M1011" s="411"/>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1"/>
      <c r="J1012" s="142"/>
      <c r="K1012" s="411"/>
      <c r="L1012" s="142"/>
      <c r="M1012" s="411"/>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1"/>
      <c r="J1013" s="142"/>
      <c r="K1013" s="411"/>
      <c r="L1013" s="142"/>
      <c r="M1013" s="411"/>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7788</v>
      </c>
      <c r="B1" s="84" t="s">
        <v>7789</v>
      </c>
      <c r="C1" s="395" t="str">
        <f>IFERROR(__xludf.DUMMYFUNCTION("GOOGLETRANSLATE(A1,""zh-tw"",""ja"")"),"設備プロジェクト")</f>
        <v>設備プロジェクト</v>
      </c>
      <c r="D1" s="88" t="str">
        <f>IFERROR(__xludf.DUMMYFUNCTION("GOOGLETRANSLATE(B1,""zh-tw"",""ja"")"),"装備の属性")</f>
        <v>装備の属性</v>
      </c>
      <c r="E1" s="396" t="s">
        <v>7790</v>
      </c>
      <c r="F1" s="27" t="s">
        <v>7029</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7791</v>
      </c>
      <c r="N1" s="88" t="s">
        <v>7031</v>
      </c>
      <c r="O1" s="393" t="s">
        <v>7792</v>
      </c>
      <c r="P1" s="84" t="s">
        <v>7793</v>
      </c>
      <c r="Q1" s="413" t="s">
        <v>7794</v>
      </c>
      <c r="R1" s="398" t="s">
        <v>7035</v>
      </c>
      <c r="S1" s="394" t="s">
        <v>7795</v>
      </c>
      <c r="T1" s="53" t="s">
        <v>7037</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7038</v>
      </c>
      <c r="C2" s="166" t="str">
        <f>IFERROR(__xludf.DUMMYFUNCTION("GOOGLETRANSLATE(A2,""zh-tw"",""ja"")"),"白の品質")</f>
        <v>白の品質</v>
      </c>
      <c r="E2" s="166" t="s">
        <v>7039</v>
      </c>
      <c r="G2" s="166" t="s">
        <v>7040</v>
      </c>
      <c r="I2" s="166"/>
      <c r="K2" s="166"/>
      <c r="M2" s="166" t="s">
        <v>7041</v>
      </c>
      <c r="O2" s="166"/>
      <c r="Q2" s="166"/>
      <c r="S2" s="166" t="s">
        <v>7042</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7796</v>
      </c>
      <c r="B3" s="414" t="s">
        <v>7797</v>
      </c>
      <c r="C3" s="399" t="s">
        <v>7798</v>
      </c>
      <c r="D3" s="167" t="s">
        <v>7799</v>
      </c>
      <c r="E3" s="399" t="s">
        <v>7800</v>
      </c>
      <c r="F3" s="167" t="s">
        <v>7801</v>
      </c>
      <c r="G3" s="403" t="str">
        <f>IFERROR(__xludf.DUMMYFUNCTION("GOOGLETRANSLATE(A3,""zh-tw"",""zh"")"),"雨天娃娃")</f>
        <v>雨天娃娃</v>
      </c>
      <c r="H3" s="198" t="str">
        <f>IFERROR(__xludf.DUMMYFUNCTION("GOOGLETRANSLATE(B3,""zh-tw"",""zh"")"),"魔抗：10
幸运：10
第二天雨天(消耗品)")</f>
        <v>魔抗：10
幸运：10
第二天雨天(消耗品)</v>
      </c>
      <c r="I3" s="399" t="s">
        <v>7800</v>
      </c>
      <c r="J3" s="198" t="str">
        <f>IFERROR(__xludf.DUMMYFUNCTION("GOOGLETRANSLATE(B3,""zh-tw"",""es-MX"")"),"Resistencia Mágica: 10
Suerte: 10
Día 2: Lluvia (Consumible)")</f>
        <v>Resistencia Mágica: 10
Suerte: 10
Día 2: Lluvia (Consumible)</v>
      </c>
      <c r="K3" s="399" t="s">
        <v>7802</v>
      </c>
      <c r="L3" s="167" t="s">
        <v>7803</v>
      </c>
      <c r="M3" s="403" t="s">
        <v>7804</v>
      </c>
      <c r="N3" s="167" t="s">
        <v>7805</v>
      </c>
      <c r="O3" s="400" t="s">
        <v>7806</v>
      </c>
      <c r="P3" s="202" t="s">
        <v>7807</v>
      </c>
      <c r="Q3" s="415" t="s">
        <v>7808</v>
      </c>
      <c r="R3" s="406" t="s">
        <v>7809</v>
      </c>
      <c r="S3" s="403" t="s">
        <v>7810</v>
      </c>
      <c r="T3" s="198" t="s">
        <v>7811</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7812</v>
      </c>
      <c r="B4" s="414" t="s">
        <v>7813</v>
      </c>
      <c r="C4" s="399" t="s">
        <v>7814</v>
      </c>
      <c r="D4" s="167" t="s">
        <v>7815</v>
      </c>
      <c r="E4" s="399" t="s">
        <v>7816</v>
      </c>
      <c r="F4" s="167" t="s">
        <v>7817</v>
      </c>
      <c r="G4" s="403" t="str">
        <f>IFERROR(__xludf.DUMMYFUNCTION("GOOGLETRANSLATE(A4,""zh-tw"",""zh"")"),"炎天娃娃")</f>
        <v>炎天娃娃</v>
      </c>
      <c r="H4" s="198" t="str">
        <f>IFERROR(__xludf.DUMMYFUNCTION("GOOGLETRANSLATE(B4,""zh-tw"",""zh"")"),"魔抗：10
幸运：10
第二天炎热(消耗品)")</f>
        <v>魔抗：10
幸运：10
第二天炎热(消耗品)</v>
      </c>
      <c r="I4" s="399" t="s">
        <v>7816</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7818</v>
      </c>
      <c r="N4" s="167" t="s">
        <v>7819</v>
      </c>
      <c r="O4" s="400" t="s">
        <v>7820</v>
      </c>
      <c r="P4" s="202" t="s">
        <v>7821</v>
      </c>
      <c r="Q4" s="415" t="s">
        <v>7822</v>
      </c>
      <c r="R4" s="402" t="s">
        <v>7823</v>
      </c>
      <c r="S4" s="403" t="s">
        <v>7824</v>
      </c>
      <c r="T4" s="198" t="s">
        <v>7825</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7826</v>
      </c>
      <c r="B5" s="414" t="s">
        <v>7827</v>
      </c>
      <c r="C5" s="399" t="s">
        <v>7828</v>
      </c>
      <c r="D5" s="167" t="s">
        <v>7829</v>
      </c>
      <c r="E5" s="399" t="s">
        <v>7830</v>
      </c>
      <c r="F5" s="167" t="s">
        <v>7831</v>
      </c>
      <c r="G5" s="403" t="str">
        <f>IFERROR(__xludf.DUMMYFUNCTION("GOOGLETRANSLATE(A5,""zh-tw"",""zh"")"),"阴天娃娃")</f>
        <v>阴天娃娃</v>
      </c>
      <c r="H5" s="198" t="str">
        <f>IFERROR(__xludf.DUMMYFUNCTION("GOOGLETRANSLATE(B5,""zh-tw"",""zh"")"),"魔抗：10
幸运：10
第二天阴天(消耗品)")</f>
        <v>魔抗：10
幸运：10
第二天阴天(消耗品)</v>
      </c>
      <c r="I5" s="399" t="s">
        <v>7830</v>
      </c>
      <c r="J5" s="198" t="str">
        <f>IFERROR(__xludf.DUMMYFUNCTION("GOOGLETRANSLATE(B5,""zh-tw"",""es-MX"")"),"Resistencia Mágica: 10
Suerte: 10
Día 2: Nublado (Consumible)")</f>
        <v>Resistencia Mágica: 10
Suerte: 10
Día 2: Nublado (Consumible)</v>
      </c>
      <c r="K5" s="400" t="s">
        <v>7832</v>
      </c>
      <c r="L5" s="167" t="s">
        <v>7833</v>
      </c>
      <c r="M5" s="403" t="s">
        <v>7834</v>
      </c>
      <c r="N5" s="167" t="s">
        <v>7835</v>
      </c>
      <c r="O5" s="400" t="s">
        <v>7836</v>
      </c>
      <c r="P5" s="202" t="s">
        <v>7837</v>
      </c>
      <c r="Q5" s="415" t="s">
        <v>7838</v>
      </c>
      <c r="R5" s="402" t="s">
        <v>7839</v>
      </c>
      <c r="S5" s="403" t="s">
        <v>7840</v>
      </c>
      <c r="T5" s="198" t="s">
        <v>7841</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7842</v>
      </c>
      <c r="B6" s="414" t="s">
        <v>7843</v>
      </c>
      <c r="C6" s="399" t="s">
        <v>7844</v>
      </c>
      <c r="D6" s="167" t="s">
        <v>7845</v>
      </c>
      <c r="E6" s="399" t="s">
        <v>7846</v>
      </c>
      <c r="F6" s="167" t="s">
        <v>7847</v>
      </c>
      <c r="G6" s="403" t="str">
        <f>IFERROR(__xludf.DUMMYFUNCTION("GOOGLETRANSLATE(A6,""zh-tw"",""zh"")"),"晴天娃娃")</f>
        <v>晴天娃娃</v>
      </c>
      <c r="H6" s="198" t="str">
        <f>IFERROR(__xludf.DUMMYFUNCTION("GOOGLETRANSLATE(B6,""zh-tw"",""zh"")"),"魔抗：10
幸运：10
第二天晴天(消耗品)")</f>
        <v>魔抗：10
幸运：10
第二天晴天(消耗品)</v>
      </c>
      <c r="I6" s="399" t="s">
        <v>7846</v>
      </c>
      <c r="J6" s="198" t="str">
        <f>IFERROR(__xludf.DUMMYFUNCTION("GOOGLETRANSLATE(B6,""zh-tw"",""es-MX"")"),"Resistencia Mágica: 10
Suerte: 10
Día Soleado 2 (Consumible)")</f>
        <v>Resistencia Mágica: 10
Suerte: 10
Día Soleado 2 (Consumible)</v>
      </c>
      <c r="K6" s="399" t="s">
        <v>7848</v>
      </c>
      <c r="L6" s="167" t="s">
        <v>7849</v>
      </c>
      <c r="M6" s="403" t="s">
        <v>7850</v>
      </c>
      <c r="N6" s="167" t="s">
        <v>7851</v>
      </c>
      <c r="O6" s="400" t="s">
        <v>7852</v>
      </c>
      <c r="P6" s="202" t="s">
        <v>7853</v>
      </c>
      <c r="Q6" s="415" t="s">
        <v>7854</v>
      </c>
      <c r="R6" s="402" t="s">
        <v>7855</v>
      </c>
      <c r="S6" s="403" t="s">
        <v>7856</v>
      </c>
      <c r="T6" s="198" t="s">
        <v>7857</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7858</v>
      </c>
      <c r="B7" s="202" t="s">
        <v>7859</v>
      </c>
      <c r="C7" s="399" t="s">
        <v>7860</v>
      </c>
      <c r="D7" s="167" t="s">
        <v>7861</v>
      </c>
      <c r="E7" s="399" t="s">
        <v>7862</v>
      </c>
      <c r="F7" s="167" t="s">
        <v>7863</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7864</v>
      </c>
      <c r="M7" s="403" t="s">
        <v>7865</v>
      </c>
      <c r="N7" s="198" t="s">
        <v>7866</v>
      </c>
      <c r="O7" s="400" t="s">
        <v>7867</v>
      </c>
      <c r="P7" s="202" t="s">
        <v>7868</v>
      </c>
      <c r="Q7" s="416" t="s">
        <v>7869</v>
      </c>
      <c r="R7" s="406" t="s">
        <v>7870</v>
      </c>
      <c r="S7" s="403" t="s">
        <v>7871</v>
      </c>
      <c r="T7" s="198" t="s">
        <v>7872</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7873</v>
      </c>
      <c r="B8" s="167" t="s">
        <v>7874</v>
      </c>
      <c r="C8" s="399" t="s">
        <v>7873</v>
      </c>
      <c r="D8" s="167" t="s">
        <v>7875</v>
      </c>
      <c r="E8" s="399" t="s">
        <v>7876</v>
      </c>
      <c r="F8" s="167" t="s">
        <v>7877</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PS máximos")</f>
        <v>Defensa física: 1
Resistencia mágica: 10
Suerte: 5
Aumenta los PS máximos</v>
      </c>
      <c r="K8" s="399" t="s">
        <v>7878</v>
      </c>
      <c r="L8" s="167" t="s">
        <v>7879</v>
      </c>
      <c r="M8" s="403" t="s">
        <v>7880</v>
      </c>
      <c r="N8" s="198" t="s">
        <v>7881</v>
      </c>
      <c r="O8" s="400" t="s">
        <v>7882</v>
      </c>
      <c r="P8" s="202" t="s">
        <v>7883</v>
      </c>
      <c r="Q8" s="416" t="s">
        <v>7884</v>
      </c>
      <c r="R8" s="402" t="s">
        <v>7885</v>
      </c>
      <c r="S8" s="403" t="s">
        <v>7886</v>
      </c>
      <c r="T8" s="198" t="s">
        <v>7887</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7888</v>
      </c>
      <c r="B9" s="167" t="s">
        <v>7889</v>
      </c>
      <c r="C9" s="399" t="s">
        <v>7890</v>
      </c>
      <c r="D9" s="167" t="s">
        <v>7891</v>
      </c>
      <c r="E9" s="399" t="s">
        <v>7892</v>
      </c>
      <c r="F9" s="167" t="s">
        <v>7893</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y reduce la velocidad de movimiento en tierra.")</f>
        <v>Defensa física: 20
Resistencia mágica: 60
Aumenta la velocidad de natación y reduce la velocidad de movimiento en tierra.</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7894</v>
      </c>
      <c r="N9" s="198" t="s">
        <v>7895</v>
      </c>
      <c r="O9" s="417" t="str">
        <f>IFERROR(__xludf.DUMMYFUNCTION("GOOGLETRANSLATE(A9,""zh-tw"",""de"")"),"Grüner Schildkrötenpanzer")</f>
        <v>Grüner Schildkrötenpanzer</v>
      </c>
      <c r="P9" s="418"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6" t="s">
        <v>7896</v>
      </c>
      <c r="R9" s="402" t="s">
        <v>7897</v>
      </c>
      <c r="S9" s="403" t="s">
        <v>7898</v>
      </c>
      <c r="T9" s="198" t="s">
        <v>7899</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7900</v>
      </c>
      <c r="B10" s="167" t="s">
        <v>7901</v>
      </c>
      <c r="C10" s="399" t="s">
        <v>7902</v>
      </c>
      <c r="D10" s="167" t="s">
        <v>7903</v>
      </c>
      <c r="E10" s="399" t="s">
        <v>7904</v>
      </c>
      <c r="F10" s="167" t="s">
        <v>7905</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IFERROR(__xludf.DUMMYFUNCTION("GOOGLETRANSLATE(A10,""zh-tw"",""es-MX"")"),"Traje de cazador")</f>
        <v>Traje de cazador</v>
      </c>
      <c r="J10" s="198" t="str">
        <f>IFERROR(__xludf.DUMMYFUNCTION("GOOGLETRANSLATE(B10,""zh-tw"",""es-MX"")"),"Defensa física: 3
Resistencia mágica: 10
Recupera resistencia al estar sobre la hierba.")</f>
        <v>Defensa física: 3
Resistencia mágica: 10
Recupera resistencia al estar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7906</v>
      </c>
      <c r="N10" s="198" t="s">
        <v>7907</v>
      </c>
      <c r="O10" s="417" t="str">
        <f>IFERROR(__xludf.DUMMYFUNCTION("GOOGLETRANSLATE(A10,""zh-tw"",""de"")"),"Jägers Outfit")</f>
        <v>Jägers Outfit</v>
      </c>
      <c r="P10" s="418" t="str">
        <f>IFERROR(__xludf.DUMMYFUNCTION("GOOGLETRANSLATE(B10,""zh-tw"",""de"")"),"Physische Verteidigung: 3
Magieresistenz: 10
Regeneriert Ausdauer beim Stehen auf Gras")</f>
        <v>Physische Verteidigung: 3
Magieresistenz: 10
Regeneriert Ausdauer beim Stehen auf Gras</v>
      </c>
      <c r="Q10" s="416" t="s">
        <v>7908</v>
      </c>
      <c r="R10" s="402" t="s">
        <v>7909</v>
      </c>
      <c r="S10" s="403" t="s">
        <v>7910</v>
      </c>
      <c r="T10" s="198" t="s">
        <v>7911</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7912</v>
      </c>
      <c r="B11" s="167" t="s">
        <v>7913</v>
      </c>
      <c r="C11" s="399" t="s">
        <v>7914</v>
      </c>
      <c r="D11" s="167" t="s">
        <v>7915</v>
      </c>
      <c r="E11" s="399" t="s">
        <v>7916</v>
      </c>
      <c r="F11" s="167" t="s">
        <v>7917</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Mejoras leves: Resistencia máxima, velocidad de movimiento, capacidad de equipo")</f>
        <v>Defensa física: 1 Mejoras leves: Resistencia máxima, velocidad de movimiento, capacidad de equipo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7918</v>
      </c>
      <c r="N11" s="198" t="s">
        <v>7919</v>
      </c>
      <c r="O11" s="417" t="str">
        <f>IFERROR(__xludf.DUMMYFUNCTION("GOOGLETRANSLATE(A11,""zh-tw"",""de"")"),"Jägergürtel")</f>
        <v>Jägergürtel</v>
      </c>
      <c r="P11" s="418"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6" t="s">
        <v>7920</v>
      </c>
      <c r="R11" s="406" t="s">
        <v>7921</v>
      </c>
      <c r="S11" s="403" t="s">
        <v>7922</v>
      </c>
      <c r="T11" s="198" t="s">
        <v>7923</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7924</v>
      </c>
      <c r="B12" s="167" t="s">
        <v>7925</v>
      </c>
      <c r="C12" s="399" t="s">
        <v>7926</v>
      </c>
      <c r="D12" s="167" t="s">
        <v>7927</v>
      </c>
      <c r="E12" s="399" t="s">
        <v>7928</v>
      </c>
      <c r="F12" s="167" t="s">
        <v>7929</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obtener carne duplicada (incluido el pescado frito)")</f>
        <v>Ataque físico: 6
Suerte: 20
Probabilidad de obtener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7930</v>
      </c>
      <c r="N12" s="198" t="s">
        <v>7931</v>
      </c>
      <c r="O12" s="417" t="str">
        <f>IFERROR(__xludf.DUMMYFUNCTION("GOOGLETRANSLATE(A12,""zh-tw"",""de"")"),"Jägerdolch")</f>
        <v>Jägerdolch</v>
      </c>
      <c r="P12" s="418" t="str">
        <f>IFERROR(__xludf.DUMMYFUNCTION("GOOGLETRANSLATE(B12,""zh-tw"",""de"")"),"Physischer Angriff: 6
Glück: 20
Fleischfundrate verdoppelt (einschließlich gebratenem Fisch)")</f>
        <v>Physischer Angriff: 6
Glück: 20
Fleischfundrate verdoppelt (einschließlich gebratenem Fisch)</v>
      </c>
      <c r="Q12" s="416" t="s">
        <v>7932</v>
      </c>
      <c r="R12" s="402" t="s">
        <v>7933</v>
      </c>
      <c r="S12" s="403" t="s">
        <v>7934</v>
      </c>
      <c r="T12" s="198" t="s">
        <v>7935</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7936</v>
      </c>
      <c r="B13" s="167" t="s">
        <v>7937</v>
      </c>
      <c r="C13" s="399" t="s">
        <v>7938</v>
      </c>
      <c r="D13" s="167" t="s">
        <v>7939</v>
      </c>
      <c r="E13" s="399" t="s">
        <v>7940</v>
      </c>
      <c r="F13" s="167" t="s">
        <v>7941</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relámpago")</f>
        <v>Ataque físico: 1
Defensa física: 2
Resistencia mágica: 45
Defensa relámpago</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7942</v>
      </c>
      <c r="N13" s="198" t="s">
        <v>7943</v>
      </c>
      <c r="O13" s="417" t="str">
        <f>IFERROR(__xludf.DUMMYFUNCTION("GOOGLETRANSLATE(A13,""zh-tw"",""de"")"),"Schutzhandschuhe")</f>
        <v>Schutzhandschuhe</v>
      </c>
      <c r="P13" s="418" t="str">
        <f>IFERROR(__xludf.DUMMYFUNCTION("GOOGLETRANSLATE(B13,""zh-tw"",""de"")"),"Physischer Angriff: 1
Physische Verteidigung: 2
Magieresistenz: 45
Blitzabwehr")</f>
        <v>Physischer Angriff: 1
Physische Verteidigung: 2
Magieresistenz: 45
Blitzabwehr</v>
      </c>
      <c r="Q13" s="416" t="s">
        <v>7944</v>
      </c>
      <c r="R13" s="406" t="s">
        <v>7945</v>
      </c>
      <c r="S13" s="403" t="s">
        <v>7946</v>
      </c>
      <c r="T13" s="198" t="s">
        <v>7947</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7948</v>
      </c>
      <c r="B14" s="167" t="s">
        <v>7949</v>
      </c>
      <c r="C14" s="399" t="s">
        <v>7950</v>
      </c>
      <c r="D14" s="167" t="s">
        <v>7951</v>
      </c>
      <c r="E14" s="399" t="s">
        <v>7952</v>
      </c>
      <c r="F14" s="167" t="s">
        <v>7953</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Encontrar Dinero (Evolucionar con 1 Millón), Frágil")</f>
        <v>Suerte: 40 Encontrar Dinero (Evolucionar con 1 Millón), Frágil</v>
      </c>
      <c r="K14" s="403" t="str">
        <f>IFERROR(__xludf.DUMMYFUNCTION("GOOGLETRANSLATE(A14,""zh-tw"",""KO"")"),"돼지 저금통")</f>
        <v>돼지 저금통</v>
      </c>
      <c r="L14" s="167" t="s">
        <v>7954</v>
      </c>
      <c r="M14" s="403" t="s">
        <v>7955</v>
      </c>
      <c r="N14" s="198" t="s">
        <v>7956</v>
      </c>
      <c r="O14" s="400" t="s">
        <v>7957</v>
      </c>
      <c r="P14" s="202" t="s">
        <v>7958</v>
      </c>
      <c r="Q14" s="416" t="s">
        <v>7959</v>
      </c>
      <c r="R14" s="402" t="s">
        <v>7960</v>
      </c>
      <c r="S14" s="403" t="s">
        <v>7961</v>
      </c>
      <c r="T14" s="198" t="s">
        <v>7962</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7963</v>
      </c>
      <c r="B15" s="202" t="s">
        <v>1240</v>
      </c>
      <c r="C15" s="399" t="s">
        <v>7964</v>
      </c>
      <c r="D15" s="202" t="s">
        <v>1240</v>
      </c>
      <c r="E15" s="399" t="s">
        <v>7965</v>
      </c>
      <c r="F15" s="167" t="s">
        <v>1240</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7966</v>
      </c>
      <c r="N15" s="198" t="s">
        <v>1240</v>
      </c>
      <c r="O15" s="400" t="s">
        <v>7967</v>
      </c>
      <c r="P15" s="202" t="s">
        <v>7968</v>
      </c>
      <c r="Q15" s="416" t="s">
        <v>7969</v>
      </c>
      <c r="R15" s="402" t="s">
        <v>1240</v>
      </c>
      <c r="S15" s="403" t="s">
        <v>7970</v>
      </c>
      <c r="T15" s="198" t="s">
        <v>1240</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7971</v>
      </c>
      <c r="B16" s="198" t="s">
        <v>7972</v>
      </c>
      <c r="C16" s="403" t="s">
        <v>7973</v>
      </c>
      <c r="D16" s="198" t="s">
        <v>7974</v>
      </c>
      <c r="E16" s="403" t="s">
        <v>7975</v>
      </c>
      <c r="F16" s="198" t="s">
        <v>7976</v>
      </c>
      <c r="G16" s="403" t="s">
        <v>7977</v>
      </c>
      <c r="H16" s="198" t="s">
        <v>7978</v>
      </c>
      <c r="I16" s="403" t="str">
        <f>IFERROR(__xludf.DUMMYFUNCTION("GOOGLETRANSLATE(A16,""zh-tw"",""es-MX"")"),"El regalo de los Creepers Oscuros")</f>
        <v>El regalo de los Creepers Oscuros</v>
      </c>
      <c r="J16" s="198" t="str">
        <f>IFERROR(__xludf.DUMMYFUNCTION("GOOGLETRANSLATE(B16,""zh-tw"",""es-MX"")"),"Mayor velocidad de movimiento.
Garantizado para otorgar un efecto de estado especial.")</f>
        <v>Mayor velocidad de movimiento.
Garantizado para otorgar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7979</v>
      </c>
      <c r="N16" s="198" t="s">
        <v>7980</v>
      </c>
      <c r="O16" s="417" t="str">
        <f>IFERROR(__xludf.DUMMYFUNCTION("GOOGLETRANSLATE(A16,""zh-tw"",""de"")"),"Geschenk der dunklen Kriecher")</f>
        <v>Geschenk der dunklen Kriecher</v>
      </c>
      <c r="P16" s="418" t="str">
        <f>IFERROR(__xludf.DUMMYFUNCTION("GOOGLETRANSLATE(B16,""zh-tw"",""de"")"),"Erhöhte Bewegungsgeschwindigkeit. Gewährt garantiert einen besonderen Statuseffekt.")</f>
        <v>Erhöhte Bewegungsgeschwindigkeit. Gewährt garantiert einen besonderen Statuseffekt.</v>
      </c>
      <c r="Q16" s="419"/>
      <c r="R16" s="408" t="s">
        <v>7981</v>
      </c>
      <c r="S16" s="403" t="s">
        <v>7982</v>
      </c>
      <c r="T16" s="198" t="s">
        <v>7983</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7984</v>
      </c>
      <c r="B17" s="167" t="s">
        <v>7985</v>
      </c>
      <c r="C17" s="399" t="s">
        <v>7986</v>
      </c>
      <c r="D17" s="167" t="s">
        <v>7987</v>
      </c>
      <c r="E17" s="399" t="s">
        <v>7988</v>
      </c>
      <c r="F17" s="167" t="s">
        <v>7989</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7990</v>
      </c>
      <c r="N17" s="198" t="s">
        <v>7991</v>
      </c>
      <c r="O17" s="417" t="str">
        <f>IFERROR(__xludf.DUMMYFUNCTION("GOOGLETRANSLATE(A17,""zh-tw"",""de"")"),"Eiserner Adler")</f>
        <v>Eiserner Adler</v>
      </c>
      <c r="P17" s="418" t="str">
        <f>IFERROR(__xludf.DUMMYFUNCTION("GOOGLETRANSLATE(B17,""zh-tw"",""de"")"),"Physische Verteidigung: 15
Magieresistenz: 10
Detaillierte Erklärung in den Tipps")</f>
        <v>Physische Verteidigung: 15
Magieresistenz: 10
Detaillierte Erklärung in den Tipps</v>
      </c>
      <c r="Q17" s="415" t="s">
        <v>7992</v>
      </c>
      <c r="R17" s="402" t="s">
        <v>7993</v>
      </c>
      <c r="S17" s="403" t="s">
        <v>7994</v>
      </c>
      <c r="T17" s="198" t="s">
        <v>7995</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7996</v>
      </c>
      <c r="B18" s="167" t="s">
        <v>7997</v>
      </c>
      <c r="C18" s="399" t="s">
        <v>7998</v>
      </c>
      <c r="D18" s="167" t="s">
        <v>7999</v>
      </c>
      <c r="E18" s="399" t="s">
        <v>8000</v>
      </c>
      <c r="F18" s="167" t="s">
        <v>8001</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8002</v>
      </c>
      <c r="N18" s="198" t="s">
        <v>8003</v>
      </c>
      <c r="O18" s="399" t="s">
        <v>8004</v>
      </c>
      <c r="P18" s="167" t="s">
        <v>8005</v>
      </c>
      <c r="Q18" s="416" t="s">
        <v>8000</v>
      </c>
      <c r="R18" s="406" t="s">
        <v>8006</v>
      </c>
      <c r="S18" s="403" t="s">
        <v>8007</v>
      </c>
      <c r="T18" s="198" t="s">
        <v>8008</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8009</v>
      </c>
      <c r="B19" s="167" t="s">
        <v>8010</v>
      </c>
      <c r="C19" s="399" t="s">
        <v>8011</v>
      </c>
      <c r="D19" s="167" t="s">
        <v>8012</v>
      </c>
      <c r="E19" s="399" t="s">
        <v>8013</v>
      </c>
      <c r="F19" s="167" t="s">
        <v>8014</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IFERROR(__xludf.DUMMYFUNCTION("GOOGLETRANSLATE(A19,""zh-tw"",""es-MX"")"),"¡Recupera las fresas!")</f>
        <v>¡Recupera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8015</v>
      </c>
      <c r="N19" s="198" t="s">
        <v>8016</v>
      </c>
      <c r="O19" s="417" t="str">
        <f>IFERROR(__xludf.DUMMYFUNCTION("GOOGLETRANSLATE(A19,""zh-tw"",""de"")"),"Holt die Erdbeeren zurück!")</f>
        <v>Holt die Erdbeeren zurück!</v>
      </c>
      <c r="P19" s="418" t="str">
        <f>IFERROR(__xludf.DUMMYFUNCTION("GOOGLETRANSLATE(B19,""zh-tw"",""de"")"),"Ausrüstung vom Typ „Befehl“
(Siehe Fertigkeitsplätze)")</f>
        <v>Ausrüstung vom Typ „Befehl“
(Siehe Fertigkeitsplätze)</v>
      </c>
      <c r="Q19" s="416" t="s">
        <v>8017</v>
      </c>
      <c r="R19" s="402" t="s">
        <v>8018</v>
      </c>
      <c r="S19" s="403" t="s">
        <v>8019</v>
      </c>
      <c r="T19" s="198" t="s">
        <v>8020</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7256</v>
      </c>
      <c r="C20" s="166" t="str">
        <f>IFERROR(__xludf.DUMMYFUNCTION("GOOGLETRANSLATE(A20,""zh-tw"",""ja"")"),"ブルークオリティ")</f>
        <v>ブルークオリティ</v>
      </c>
      <c r="E20" s="166" t="s">
        <v>7257</v>
      </c>
      <c r="G20" s="166" t="s">
        <v>7258</v>
      </c>
      <c r="I20" s="166"/>
      <c r="K20" s="166"/>
      <c r="M20" s="166" t="s">
        <v>7259</v>
      </c>
      <c r="O20" s="166"/>
      <c r="Q20" s="166"/>
      <c r="S20" s="166" t="s">
        <v>7260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8021</v>
      </c>
      <c r="B21" s="202" t="s">
        <v>8022</v>
      </c>
      <c r="C21" s="399" t="s">
        <v>8023</v>
      </c>
      <c r="D21" s="167" t="s">
        <v>8024</v>
      </c>
      <c r="E21" s="399" t="s">
        <v>8025</v>
      </c>
      <c r="F21" s="167" t="s">
        <v>8026</v>
      </c>
      <c r="G21" s="403" t="str">
        <f>IFERROR(__xludf.DUMMYFUNCTION("GOOGLETRANSLATE(A21,""zh-tw"",""zh"")"),"苹果头套")</f>
        <v>苹果头套</v>
      </c>
      <c r="H21" s="198" t="str">
        <f>IFERROR(__xludf.DUMMYFUNCTION("GOOGLETRANSLATE(B21,""zh-tw"",""zh"")"),"幸运：10
概率回复")</f>
        <v>幸运：10
概率回复</v>
      </c>
      <c r="I21" s="399" t="s">
        <v>8027</v>
      </c>
      <c r="J21" s="167" t="s">
        <v>8028</v>
      </c>
      <c r="K21" s="399" t="s">
        <v>8029</v>
      </c>
      <c r="L21" s="167" t="s">
        <v>8030</v>
      </c>
      <c r="M21" s="403" t="s">
        <v>8031</v>
      </c>
      <c r="N21" s="198" t="s">
        <v>8032</v>
      </c>
      <c r="O21" s="400" t="s">
        <v>8033</v>
      </c>
      <c r="P21" s="202" t="s">
        <v>8034</v>
      </c>
      <c r="Q21" s="416" t="s">
        <v>8035</v>
      </c>
      <c r="R21" s="402" t="s">
        <v>8036</v>
      </c>
      <c r="S21" s="403" t="s">
        <v>8037</v>
      </c>
      <c r="T21" s="198" t="s">
        <v>8038</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8039</v>
      </c>
      <c r="B22" s="202" t="s">
        <v>8040</v>
      </c>
      <c r="C22" s="399" t="s">
        <v>8041</v>
      </c>
      <c r="D22" s="167" t="s">
        <v>8042</v>
      </c>
      <c r="E22" s="399" t="s">
        <v>8043</v>
      </c>
      <c r="F22" s="167" t="s">
        <v>8044</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3" t="str">
        <f>IFERROR(__xludf.DUMMYFUNCTION("GOOGLETRANSLATE(A22,""zh-tw"",""KO"")"),"저주받은 태아")</f>
        <v>저주받은 태아</v>
      </c>
      <c r="L22" s="167" t="s">
        <v>8045</v>
      </c>
      <c r="M22" s="403" t="s">
        <v>8046</v>
      </c>
      <c r="N22" s="198" t="s">
        <v>8047</v>
      </c>
      <c r="O22" s="400" t="s">
        <v>8048</v>
      </c>
      <c r="P22" s="202" t="s">
        <v>8049</v>
      </c>
      <c r="Q22" s="416" t="s">
        <v>8050</v>
      </c>
      <c r="R22" s="402" t="s">
        <v>8051</v>
      </c>
      <c r="S22" s="403" t="s">
        <v>8052</v>
      </c>
      <c r="T22" s="198" t="s">
        <v>8053</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8054</v>
      </c>
      <c r="B23" s="202" t="s">
        <v>8055</v>
      </c>
      <c r="C23" s="399" t="s">
        <v>8056</v>
      </c>
      <c r="D23" s="167" t="s">
        <v>8057</v>
      </c>
      <c r="E23" s="399" t="s">
        <v>8058</v>
      </c>
      <c r="F23" s="167" t="s">
        <v>8059</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IFERROR(__xludf.DUMMYFUNCTION("GOOGLETRANSLATE(A23,""zh-tw"",""es-MX"")"),"Cúmulo de cristales mágicos")</f>
        <v>Cúmulo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8060</v>
      </c>
      <c r="L23" s="167" t="s">
        <v>8061</v>
      </c>
      <c r="M23" s="403" t="s">
        <v>8062</v>
      </c>
      <c r="N23" s="198" t="s">
        <v>8063</v>
      </c>
      <c r="O23" s="400" t="s">
        <v>8064</v>
      </c>
      <c r="P23" s="202" t="s">
        <v>8065</v>
      </c>
      <c r="Q23" s="416" t="s">
        <v>8066</v>
      </c>
      <c r="R23" s="406" t="s">
        <v>8067</v>
      </c>
      <c r="S23" s="403" t="s">
        <v>8068</v>
      </c>
      <c r="T23" s="198" t="s">
        <v>8069</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8070</v>
      </c>
      <c r="B24" s="202" t="s">
        <v>8071</v>
      </c>
      <c r="C24" s="399" t="s">
        <v>8072</v>
      </c>
      <c r="D24" s="167" t="s">
        <v>8073</v>
      </c>
      <c r="E24" s="399" t="s">
        <v>8074</v>
      </c>
      <c r="F24" s="167" t="s">
        <v>8075</v>
      </c>
      <c r="G24" s="403" t="str">
        <f>IFERROR(__xludf.DUMMYFUNCTION("GOOGLETRANSLATE(A24,""zh-tw"",""zh"")"),"借来的猫爪")</f>
        <v>借来的猫爪</v>
      </c>
      <c r="H24" s="198" t="str">
        <f>IFERROR(__xludf.DUMMYFUNCTION("GOOGLETRANSLATE(B24,""zh-tw"",""zh"")"),"物攻：5
攻击力、攻速上升")</f>
        <v>物攻：5
攻击力、攻速上升</v>
      </c>
      <c r="I24" s="399" t="s">
        <v>8076</v>
      </c>
      <c r="J24" s="198" t="str">
        <f>IFERROR(__xludf.DUMMYFUNCTION("GOOGLETRANSLATE(B24,""zh-tw"",""es-MX"")"),"Ataque físico: 5. Aumenta el poder de ataque y la velocidad de ataque.")</f>
        <v>Ataque físico: 5. Aumenta el poder de ataque y la velocidad de ataque.</v>
      </c>
      <c r="K24" s="399" t="s">
        <v>8077</v>
      </c>
      <c r="L24" s="167" t="s">
        <v>8078</v>
      </c>
      <c r="M24" s="403" t="s">
        <v>8079</v>
      </c>
      <c r="N24" s="198" t="s">
        <v>8080</v>
      </c>
      <c r="O24" s="400" t="s">
        <v>8081</v>
      </c>
      <c r="P24" s="202" t="s">
        <v>8082</v>
      </c>
      <c r="Q24" s="416" t="s">
        <v>8083</v>
      </c>
      <c r="R24" s="402" t="s">
        <v>8084</v>
      </c>
      <c r="S24" s="403" t="s">
        <v>8085</v>
      </c>
      <c r="T24" s="198" t="s">
        <v>8086</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8087</v>
      </c>
      <c r="B25" s="167" t="s">
        <v>8088</v>
      </c>
      <c r="C25" s="399" t="s">
        <v>8089</v>
      </c>
      <c r="D25" s="167" t="s">
        <v>8090</v>
      </c>
      <c r="E25" s="399" t="s">
        <v>8091</v>
      </c>
      <c r="F25" s="167" t="s">
        <v>8092</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8093</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8094</v>
      </c>
      <c r="M25" s="403" t="s">
        <v>8095</v>
      </c>
      <c r="N25" s="198" t="s">
        <v>8096</v>
      </c>
      <c r="O25" s="400" t="s">
        <v>8097</v>
      </c>
      <c r="P25" s="202" t="s">
        <v>8098</v>
      </c>
      <c r="Q25" s="416" t="s">
        <v>8099</v>
      </c>
      <c r="R25" s="406" t="s">
        <v>8100</v>
      </c>
      <c r="S25" s="403" t="s">
        <v>8101</v>
      </c>
      <c r="T25" s="198" t="s">
        <v>8102</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8103</v>
      </c>
      <c r="B26" s="202" t="s">
        <v>8104</v>
      </c>
      <c r="C26" s="399" t="s">
        <v>8105</v>
      </c>
      <c r="D26" s="167" t="s">
        <v>8106</v>
      </c>
      <c r="E26" s="399" t="s">
        <v>8107</v>
      </c>
      <c r="F26" s="167" t="s">
        <v>8108</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IFERROR(__xludf.DUMMYFUNCTION("GOOGLETRANSLATE(A26,""zh-tw"",""es-MX"")"),"patas de gato prestadas")</f>
        <v>patas de gato prestadas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8109</v>
      </c>
      <c r="L26" s="167" t="s">
        <v>8110</v>
      </c>
      <c r="M26" s="403" t="s">
        <v>6623</v>
      </c>
      <c r="N26" s="198" t="s">
        <v>8111</v>
      </c>
      <c r="O26" s="400" t="s">
        <v>8112</v>
      </c>
      <c r="P26" s="202" t="s">
        <v>8113</v>
      </c>
      <c r="Q26" s="416" t="s">
        <v>8114</v>
      </c>
      <c r="R26" s="402" t="s">
        <v>8115</v>
      </c>
      <c r="S26" s="403" t="s">
        <v>8116</v>
      </c>
      <c r="T26" s="198" t="s">
        <v>8117</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8118</v>
      </c>
      <c r="B27" s="167" t="s">
        <v>8119</v>
      </c>
      <c r="C27" s="399" t="s">
        <v>4424</v>
      </c>
      <c r="D27" s="167" t="s">
        <v>8120</v>
      </c>
      <c r="E27" s="399" t="s">
        <v>8121</v>
      </c>
      <c r="F27" s="167" t="s">
        <v>8122</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8123</v>
      </c>
      <c r="N27" s="198" t="s">
        <v>8124</v>
      </c>
      <c r="O27" s="417" t="str">
        <f>IFERROR(__xludf.DUMMYFUNCTION("GOOGLETRANSLATE(A27,""zh-tw"",""de"")"),"Juwelenschwert")</f>
        <v>Juwelenschwert</v>
      </c>
      <c r="P27" s="418" t="str">
        <f>IFERROR(__xludf.DUMMYFUNCTION("GOOGLETRANSLATE(B27,""zh-tw"",""de"")"),"Magischer Angriff: 15
Magieresistenz: 20
Glück: 20
Verbrauche Edelsteine, um den Angriff zu erhöhen")</f>
        <v>Magischer Angriff: 15
Magieresistenz: 20
Glück: 20
Verbrauche Edelsteine, um den Angriff zu erhöhen</v>
      </c>
      <c r="Q27" s="416" t="s">
        <v>8125</v>
      </c>
      <c r="R27" s="49" t="s">
        <v>8126</v>
      </c>
      <c r="S27" s="403" t="s">
        <v>8127</v>
      </c>
      <c r="T27" s="198" t="s">
        <v>8128</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8129</v>
      </c>
      <c r="B28" s="167" t="s">
        <v>8130</v>
      </c>
      <c r="C28" s="399" t="s">
        <v>8131</v>
      </c>
      <c r="D28" s="167" t="s">
        <v>8132</v>
      </c>
      <c r="E28" s="399" t="s">
        <v>8133</v>
      </c>
      <c r="F28" s="167" t="s">
        <v>8134</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8135</v>
      </c>
      <c r="J28" s="167" t="s">
        <v>8136</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8137</v>
      </c>
      <c r="N28" s="198" t="s">
        <v>8138</v>
      </c>
      <c r="O28" s="400" t="s">
        <v>8139</v>
      </c>
      <c r="P28" s="202" t="s">
        <v>8140</v>
      </c>
      <c r="Q28" s="416" t="s">
        <v>8141</v>
      </c>
      <c r="R28" s="406" t="s">
        <v>8142</v>
      </c>
      <c r="S28" s="403" t="s">
        <v>8143</v>
      </c>
      <c r="T28" s="198" t="s">
        <v>8144</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8145</v>
      </c>
      <c r="B29" s="202" t="s">
        <v>8146</v>
      </c>
      <c r="C29" s="399" t="s">
        <v>8147</v>
      </c>
      <c r="D29" s="167" t="s">
        <v>8148</v>
      </c>
      <c r="E29" s="399" t="s">
        <v>8149</v>
      </c>
      <c r="F29" s="167" t="s">
        <v>8150</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conejo")</f>
        <v>Lindas orejas de conejo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8151</v>
      </c>
      <c r="N29" s="198" t="s">
        <v>8152</v>
      </c>
      <c r="O29" s="400" t="s">
        <v>8153</v>
      </c>
      <c r="P29" s="202" t="s">
        <v>8154</v>
      </c>
      <c r="Q29" s="416" t="s">
        <v>8155</v>
      </c>
      <c r="R29" s="406" t="s">
        <v>8156</v>
      </c>
      <c r="S29" s="403" t="s">
        <v>8157</v>
      </c>
      <c r="T29" s="198" t="s">
        <v>8158</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8159</v>
      </c>
      <c r="B30" s="202" t="s">
        <v>8160</v>
      </c>
      <c r="C30" s="399" t="s">
        <v>8161</v>
      </c>
      <c r="D30" s="167" t="s">
        <v>8162</v>
      </c>
      <c r="E30" s="399" t="s">
        <v>8163</v>
      </c>
      <c r="F30" s="167" t="s">
        <v>8164</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8165</v>
      </c>
      <c r="L30" s="167" t="s">
        <v>8166</v>
      </c>
      <c r="M30" s="403" t="s">
        <v>8167</v>
      </c>
      <c r="N30" s="198" t="s">
        <v>8168</v>
      </c>
      <c r="O30" s="400" t="s">
        <v>8169</v>
      </c>
      <c r="P30" s="202" t="s">
        <v>8170</v>
      </c>
      <c r="Q30" s="416" t="s">
        <v>8171</v>
      </c>
      <c r="R30" s="402" t="s">
        <v>8172</v>
      </c>
      <c r="S30" s="403" t="s">
        <v>8173</v>
      </c>
      <c r="T30" s="198" t="s">
        <v>8174</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8175</v>
      </c>
      <c r="B31" s="202" t="s">
        <v>8176</v>
      </c>
      <c r="C31" s="399" t="s">
        <v>8177</v>
      </c>
      <c r="D31" s="167" t="s">
        <v>8178</v>
      </c>
      <c r="E31" s="399" t="s">
        <v>8179</v>
      </c>
      <c r="F31" s="167" t="s">
        <v>8180</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perseverancia")</f>
        <v>Diadema de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8181</v>
      </c>
      <c r="L31" s="167" t="s">
        <v>8182</v>
      </c>
      <c r="M31" s="403" t="s">
        <v>8183</v>
      </c>
      <c r="N31" s="198" t="s">
        <v>8184</v>
      </c>
      <c r="O31" s="400" t="s">
        <v>8185</v>
      </c>
      <c r="P31" s="202" t="s">
        <v>8186</v>
      </c>
      <c r="Q31" s="416" t="s">
        <v>8187</v>
      </c>
      <c r="R31" s="402" t="s">
        <v>8188</v>
      </c>
      <c r="S31" s="403" t="s">
        <v>8189</v>
      </c>
      <c r="T31" s="198" t="s">
        <v>8190</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8191</v>
      </c>
      <c r="B32" s="167" t="s">
        <v>8192</v>
      </c>
      <c r="C32" s="399" t="s">
        <v>8193</v>
      </c>
      <c r="D32" s="167" t="s">
        <v>8194</v>
      </c>
      <c r="E32" s="403" t="str">
        <f>IFERROR(__xludf.DUMMYFUNCTION("GOOGLETRANSLATE(A32,""zh-tw"",""en"")"),"Martial Arts Wristguards")</f>
        <v>Martial Arts Wristguards</v>
      </c>
      <c r="F32" s="167" t="s">
        <v>8195</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IFERROR(__xludf.DUMMYFUNCTION("GOOGLETRANSLATE(A32,""zh-tw"",""es-MX"")"),"Protectores de muñeca para artes marciales")</f>
        <v>Protectores de muñeca para artes marciales</v>
      </c>
      <c r="J32" s="198" t="str">
        <f>IFERROR(__xludf.DUMMYFUNCTION("GOOGLETRANSLATE(B32,""zh-tw"",""es-MX"")"),"Ataque físico: 3. Reduce el consumo de durabilidad de las armas físicas, aumenta la velocidad de ataque y el daño del puñetazo.")</f>
        <v>Ataque físico: 3. Reduce el consumo de durabilidad de las armas físicas, aumenta la velocidad de ataque y el daño del puñetazo.</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8196</v>
      </c>
      <c r="N32" s="198" t="s">
        <v>8197</v>
      </c>
      <c r="O32" s="400" t="s">
        <v>8198</v>
      </c>
      <c r="P32" s="202" t="s">
        <v>8199</v>
      </c>
      <c r="Q32" s="416" t="s">
        <v>8200</v>
      </c>
      <c r="R32" s="406" t="s">
        <v>8201</v>
      </c>
      <c r="S32" s="403" t="s">
        <v>8202</v>
      </c>
      <c r="T32" s="198" t="s">
        <v>8203</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8204</v>
      </c>
      <c r="B33" s="202" t="s">
        <v>8205</v>
      </c>
      <c r="C33" s="399" t="s">
        <v>8206</v>
      </c>
      <c r="D33" s="167" t="s">
        <v>8207</v>
      </c>
      <c r="E33" s="399" t="s">
        <v>8208</v>
      </c>
      <c r="F33" s="167" t="s">
        <v>8209</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8210</v>
      </c>
      <c r="N33" s="198" t="s">
        <v>8211</v>
      </c>
      <c r="O33" s="400" t="s">
        <v>8212</v>
      </c>
      <c r="P33" s="202" t="s">
        <v>8213</v>
      </c>
      <c r="Q33" s="416" t="s">
        <v>8214</v>
      </c>
      <c r="R33" s="406" t="s">
        <v>8215</v>
      </c>
      <c r="S33" s="403" t="s">
        <v>8216</v>
      </c>
      <c r="T33" s="198" t="s">
        <v>8217</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8218</v>
      </c>
      <c r="B34" s="202" t="s">
        <v>8219</v>
      </c>
      <c r="C34" s="399" t="s">
        <v>8220</v>
      </c>
      <c r="D34" s="167" t="s">
        <v>8221</v>
      </c>
      <c r="E34" s="399" t="s">
        <v>8222</v>
      </c>
      <c r="F34" s="167" t="s">
        <v>8223</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perforante")</f>
        <v>Casco perforante</v>
      </c>
      <c r="J34" s="198" t="str">
        <f>IFERROR(__xludf.DUMMYFUNCTION("GOOGLETRANSLATE(B34,""zh-tw"",""es-MX"")"),"Ataque físico: 4
Defensa física: 2
Armadura que inflige daño")</f>
        <v>Ataque físico: 4
Defensa física: 2
Armadura que inflige daño</v>
      </c>
      <c r="K34" s="399" t="s">
        <v>8224</v>
      </c>
      <c r="L34" s="167" t="s">
        <v>8225</v>
      </c>
      <c r="M34" s="403" t="s">
        <v>8226</v>
      </c>
      <c r="N34" s="198" t="s">
        <v>8227</v>
      </c>
      <c r="O34" s="400" t="s">
        <v>8228</v>
      </c>
      <c r="P34" s="202" t="s">
        <v>8229</v>
      </c>
      <c r="Q34" s="416" t="s">
        <v>8230</v>
      </c>
      <c r="R34" s="402" t="s">
        <v>8231</v>
      </c>
      <c r="S34" s="403" t="s">
        <v>8232</v>
      </c>
      <c r="T34" s="198" t="s">
        <v>8233</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8234</v>
      </c>
      <c r="B35" s="202" t="s">
        <v>8235</v>
      </c>
      <c r="C35" s="399" t="s">
        <v>8236</v>
      </c>
      <c r="D35" s="167" t="s">
        <v>8237</v>
      </c>
      <c r="E35" s="399" t="s">
        <v>8238</v>
      </c>
      <c r="F35" s="167" t="s">
        <v>8239</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8240</v>
      </c>
      <c r="L35" s="167" t="s">
        <v>8241</v>
      </c>
      <c r="M35" s="403" t="s">
        <v>8242</v>
      </c>
      <c r="N35" s="198" t="s">
        <v>8243</v>
      </c>
      <c r="O35" s="400" t="s">
        <v>8244</v>
      </c>
      <c r="P35" s="202" t="s">
        <v>8245</v>
      </c>
      <c r="Q35" s="416" t="s">
        <v>8246</v>
      </c>
      <c r="R35" s="402" t="s">
        <v>8247</v>
      </c>
      <c r="S35" s="403" t="s">
        <v>8248</v>
      </c>
      <c r="T35" s="198" t="s">
        <v>8249</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8250</v>
      </c>
      <c r="B36" s="202" t="s">
        <v>8251</v>
      </c>
      <c r="C36" s="399" t="s">
        <v>8252</v>
      </c>
      <c r="D36" s="167" t="s">
        <v>8253</v>
      </c>
      <c r="E36" s="399" t="s">
        <v>8254</v>
      </c>
      <c r="F36" s="167" t="s">
        <v>8255</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8256</v>
      </c>
      <c r="L36" s="167" t="s">
        <v>8257</v>
      </c>
      <c r="M36" s="403" t="s">
        <v>8258</v>
      </c>
      <c r="N36" s="198" t="s">
        <v>8259</v>
      </c>
      <c r="O36" s="400" t="s">
        <v>8260</v>
      </c>
      <c r="P36" s="202" t="s">
        <v>8261</v>
      </c>
      <c r="Q36" s="416" t="s">
        <v>8262</v>
      </c>
      <c r="R36" s="402" t="s">
        <v>8263</v>
      </c>
      <c r="S36" s="403" t="s">
        <v>8264</v>
      </c>
      <c r="T36" s="198" t="s">
        <v>8265</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8266</v>
      </c>
      <c r="B37" s="202" t="s">
        <v>8267</v>
      </c>
      <c r="C37" s="399" t="s">
        <v>8268</v>
      </c>
      <c r="D37" s="167" t="s">
        <v>8269</v>
      </c>
      <c r="E37" s="399" t="s">
        <v>8270</v>
      </c>
      <c r="F37" s="167" t="s">
        <v>8271</v>
      </c>
      <c r="G37" s="403" t="str">
        <f>IFERROR(__xludf.DUMMYFUNCTION("GOOGLETRANSLATE(A37,""zh-tw"",""zh"")"),"穿刺钉鞋")</f>
        <v>穿刺钉鞋</v>
      </c>
      <c r="H37" s="198" t="str">
        <f>IFERROR(__xludf.DUMMYFUNCTION("GOOGLETRANSLATE(B37,""zh-tw"",""zh"")"),"物攻：2
物防：2
伤害型防具")</f>
        <v>物攻：2
物防：2
伤害型防具</v>
      </c>
      <c r="I37" s="399" t="s">
        <v>8272</v>
      </c>
      <c r="J37" s="198" t="str">
        <f>IFERROR(__xludf.DUMMYFUNCTION("GOOGLETRANSLATE(B37,""zh-tw"",""es-MX"")"),"Ataque físico: 2 Defensa física: 2 Armadura que inflige daño")</f>
        <v>Ataque físico: 2 Defensa física: 2 Armadura que inflige daño</v>
      </c>
      <c r="K37" s="399" t="s">
        <v>8273</v>
      </c>
      <c r="L37" s="167" t="s">
        <v>8274</v>
      </c>
      <c r="M37" s="403" t="s">
        <v>8275</v>
      </c>
      <c r="N37" s="198" t="s">
        <v>8276</v>
      </c>
      <c r="O37" s="400" t="s">
        <v>8277</v>
      </c>
      <c r="P37" s="202" t="s">
        <v>8278</v>
      </c>
      <c r="Q37" s="416" t="s">
        <v>8279</v>
      </c>
      <c r="R37" s="402" t="s">
        <v>8280</v>
      </c>
      <c r="S37" s="403" t="s">
        <v>8270</v>
      </c>
      <c r="T37" s="198" t="s">
        <v>8281</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8282</v>
      </c>
      <c r="B38" s="202" t="s">
        <v>8283</v>
      </c>
      <c r="C38" s="399" t="s">
        <v>8284</v>
      </c>
      <c r="D38" s="167" t="s">
        <v>8285</v>
      </c>
      <c r="E38" s="399" t="s">
        <v>8286</v>
      </c>
      <c r="F38" s="167" t="s">
        <v>8287</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8288</v>
      </c>
      <c r="L38" s="167" t="s">
        <v>8289</v>
      </c>
      <c r="M38" s="403" t="s">
        <v>8290</v>
      </c>
      <c r="N38" s="198" t="s">
        <v>8291</v>
      </c>
      <c r="O38" s="400" t="s">
        <v>8292</v>
      </c>
      <c r="P38" s="202" t="s">
        <v>8293</v>
      </c>
      <c r="Q38" s="416" t="s">
        <v>8294</v>
      </c>
      <c r="R38" s="406" t="s">
        <v>8295</v>
      </c>
      <c r="S38" s="403" t="s">
        <v>8296</v>
      </c>
      <c r="T38" s="198" t="s">
        <v>8297</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8298</v>
      </c>
      <c r="B39" s="202" t="s">
        <v>8299</v>
      </c>
      <c r="C39" s="399" t="s">
        <v>8300</v>
      </c>
      <c r="D39" s="167" t="s">
        <v>8301</v>
      </c>
      <c r="E39" s="399" t="s">
        <v>8302</v>
      </c>
      <c r="F39" s="167" t="s">
        <v>8303</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9" t="s">
        <v>8304</v>
      </c>
      <c r="L39" s="167" t="s">
        <v>8305</v>
      </c>
      <c r="M39" s="403" t="s">
        <v>8306</v>
      </c>
      <c r="N39" s="198" t="s">
        <v>8307</v>
      </c>
      <c r="O39" s="400" t="s">
        <v>8308</v>
      </c>
      <c r="P39" s="202" t="s">
        <v>8309</v>
      </c>
      <c r="Q39" s="416" t="s">
        <v>8310</v>
      </c>
      <c r="R39" s="406" t="s">
        <v>8311</v>
      </c>
      <c r="S39" s="403" t="s">
        <v>8312</v>
      </c>
      <c r="T39" s="198" t="s">
        <v>8313</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8314</v>
      </c>
      <c r="B40" s="202" t="s">
        <v>8315</v>
      </c>
      <c r="C40" s="399" t="s">
        <v>8316</v>
      </c>
      <c r="D40" s="167" t="s">
        <v>8317</v>
      </c>
      <c r="E40" s="399" t="s">
        <v>8318</v>
      </c>
      <c r="F40" s="167" t="s">
        <v>8319</v>
      </c>
      <c r="G40" s="403" t="str">
        <f>IFERROR(__xludf.DUMMYFUNCTION("GOOGLETRANSLATE(A40,""zh-tw"",""zh"")"),"骑士护臂")</f>
        <v>骑士护臂</v>
      </c>
      <c r="H40" s="198" t="str">
        <f>IFERROR(__xludf.DUMMYFUNCTION("GOOGLETRANSLATE(B40,""zh-tw"",""zh"")"),"物攻：3
物防：3
低体力加攻击、防御")</f>
        <v>物攻：3
物防：3
低体力加攻击、防御</v>
      </c>
      <c r="I40" s="399" t="s">
        <v>8320</v>
      </c>
      <c r="J40" s="198" t="str">
        <f>IFERROR(__xludf.DUMMYFUNCTION("GOOGLETRANSLATE(B40,""zh-tw"",""es-MX"")"),"Ataque físico: 3 Defensa física: 3 Aumenta el ataque y la defensa cuando los HP son bajos.")</f>
        <v>Ataque físico: 3 Defensa física: 3 Aumenta el ataque y la defensa cuando los HP son bajos.</v>
      </c>
      <c r="K40" s="400" t="s">
        <v>8321</v>
      </c>
      <c r="L40" s="167" t="s">
        <v>8322</v>
      </c>
      <c r="M40" s="403" t="s">
        <v>8323</v>
      </c>
      <c r="N40" s="198" t="s">
        <v>8324</v>
      </c>
      <c r="O40" s="400" t="s">
        <v>8325</v>
      </c>
      <c r="P40" s="202" t="s">
        <v>8326</v>
      </c>
      <c r="Q40" s="416" t="s">
        <v>8327</v>
      </c>
      <c r="R40" s="49" t="s">
        <v>8328</v>
      </c>
      <c r="S40" s="403" t="s">
        <v>8329</v>
      </c>
      <c r="T40" s="198" t="s">
        <v>8330</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8331</v>
      </c>
      <c r="B41" s="202" t="s">
        <v>8332</v>
      </c>
      <c r="C41" s="399" t="s">
        <v>8333</v>
      </c>
      <c r="D41" s="167" t="s">
        <v>8334</v>
      </c>
      <c r="E41" s="399" t="s">
        <v>8335</v>
      </c>
      <c r="F41" s="167" t="s">
        <v>8336</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8337</v>
      </c>
      <c r="L41" s="167" t="s">
        <v>8338</v>
      </c>
      <c r="M41" s="403" t="s">
        <v>8339</v>
      </c>
      <c r="N41" s="198" t="s">
        <v>8340</v>
      </c>
      <c r="O41" s="400" t="s">
        <v>8341</v>
      </c>
      <c r="P41" s="202" t="s">
        <v>8342</v>
      </c>
      <c r="Q41" s="416" t="s">
        <v>8343</v>
      </c>
      <c r="R41" s="406" t="s">
        <v>8344</v>
      </c>
      <c r="S41" s="403" t="s">
        <v>8345</v>
      </c>
      <c r="T41" s="198" t="s">
        <v>8346</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8347</v>
      </c>
      <c r="B42" s="202" t="s">
        <v>8348</v>
      </c>
      <c r="C42" s="399" t="s">
        <v>8349</v>
      </c>
      <c r="D42" s="167" t="s">
        <v>8350</v>
      </c>
      <c r="E42" s="399" t="s">
        <v>8351</v>
      </c>
      <c r="F42" s="167" t="s">
        <v>8352</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8353</v>
      </c>
      <c r="L42" s="167" t="s">
        <v>8354</v>
      </c>
      <c r="M42" s="403" t="s">
        <v>8355</v>
      </c>
      <c r="N42" s="198" t="s">
        <v>8356</v>
      </c>
      <c r="O42" s="400" t="s">
        <v>8357</v>
      </c>
      <c r="P42" s="202" t="s">
        <v>8358</v>
      </c>
      <c r="Q42" s="416" t="s">
        <v>8359</v>
      </c>
      <c r="R42" s="406" t="s">
        <v>8360</v>
      </c>
      <c r="S42" s="403" t="s">
        <v>8361</v>
      </c>
      <c r="T42" s="198" t="s">
        <v>8362</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8363</v>
      </c>
      <c r="B43" s="167" t="s">
        <v>8364</v>
      </c>
      <c r="C43" s="399" t="s">
        <v>8365</v>
      </c>
      <c r="D43" s="167" t="s">
        <v>8366</v>
      </c>
      <c r="E43" s="399" t="s">
        <v>8367</v>
      </c>
      <c r="F43" s="167" t="s">
        <v>8368</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7002</v>
      </c>
      <c r="L43" s="167" t="s">
        <v>8369</v>
      </c>
      <c r="M43" s="403" t="s">
        <v>8370</v>
      </c>
      <c r="N43" s="198" t="s">
        <v>8371</v>
      </c>
      <c r="O43" s="400" t="s">
        <v>7006</v>
      </c>
      <c r="P43" s="202" t="s">
        <v>8372</v>
      </c>
      <c r="Q43" s="416" t="s">
        <v>8373</v>
      </c>
      <c r="R43" s="402" t="s">
        <v>8374</v>
      </c>
      <c r="S43" s="403" t="s">
        <v>8375</v>
      </c>
      <c r="T43" s="198" t="s">
        <v>8376</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8377</v>
      </c>
      <c r="B44" s="167" t="s">
        <v>8378</v>
      </c>
      <c r="C44" s="404" t="s">
        <v>8379</v>
      </c>
      <c r="D44" s="167" t="s">
        <v>8380</v>
      </c>
      <c r="E44" s="404" t="s">
        <v>8381</v>
      </c>
      <c r="F44" s="167" t="s">
        <v>8382</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de fuego mejorado")</f>
        <v>Ataque mágico: 25
Defensa mágica: 15
Elemento de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8383</v>
      </c>
      <c r="N44" s="198" t="s">
        <v>8384</v>
      </c>
      <c r="O44" s="403" t="s">
        <v>8385</v>
      </c>
      <c r="P44" s="167" t="s">
        <v>8386</v>
      </c>
      <c r="Q44" s="416" t="s">
        <v>8387</v>
      </c>
      <c r="R44" s="406" t="s">
        <v>8388</v>
      </c>
      <c r="S44" s="403" t="s">
        <v>8381</v>
      </c>
      <c r="T44" s="198" t="s">
        <v>8389</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8390</v>
      </c>
      <c r="B45" s="167" t="s">
        <v>8391</v>
      </c>
      <c r="C45" s="399" t="s">
        <v>8392</v>
      </c>
      <c r="D45" s="167" t="s">
        <v>8393</v>
      </c>
      <c r="E45" s="399" t="s">
        <v>8394</v>
      </c>
      <c r="F45" s="167" t="s">
        <v>8395</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(Probabilidad de explosión en cadena al lanzar bombas)")</f>
        <v>Ataque físico: 4
Resistencia mágica: 8
Suerte: 4
Efecto de bomba mejorado
(Probabilidad de explosión en cadena al lanzar bombas)</v>
      </c>
      <c r="K45" s="399" t="s">
        <v>8396</v>
      </c>
      <c r="L45" s="167" t="s">
        <v>8397</v>
      </c>
      <c r="M45" s="403" t="s">
        <v>8398</v>
      </c>
      <c r="N45" s="198" t="s">
        <v>8399</v>
      </c>
      <c r="O45" s="400" t="s">
        <v>8400</v>
      </c>
      <c r="P45" s="202" t="s">
        <v>8401</v>
      </c>
      <c r="Q45" s="416" t="s">
        <v>8402</v>
      </c>
      <c r="R45" s="406" t="s">
        <v>8403</v>
      </c>
      <c r="S45" s="403" t="s">
        <v>8404</v>
      </c>
      <c r="T45" s="198" t="s">
        <v>8405</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8406</v>
      </c>
      <c r="B46" s="167" t="s">
        <v>8407</v>
      </c>
      <c r="C46" s="399" t="s">
        <v>4336</v>
      </c>
      <c r="D46" s="167" t="s">
        <v>8408</v>
      </c>
      <c r="E46" s="399" t="s">
        <v>8409</v>
      </c>
      <c r="F46" s="167" t="s">
        <v>8410</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8411</v>
      </c>
      <c r="N46" s="198" t="s">
        <v>8412</v>
      </c>
      <c r="O46" s="417" t="str">
        <f>IFERROR(__xludf.DUMMYFUNCTION("GOOGLETRANSLATE(A46,""zh-tw"",""de"")"),"Abzeichen des Goken-kun")</f>
        <v>Abzeichen des Goken-kun</v>
      </c>
      <c r="P46" s="418" t="str">
        <f>IFERROR(__xludf.DUMMYFUNCTION("GOOGLETRANSLATE(B46,""zh-tw"",""de"")"),"Reduzierte Angriffskraft, Angriffslimit auf 200 gesenkt. Reduzierter Verbrauch der Waffenhaltbarkeit.")</f>
        <v>Reduzierte Angriffskraft, Angriffslimit auf 200 gesenkt. Reduzierter Verbrauch der Waffenhaltbarkeit.</v>
      </c>
      <c r="Q46" s="416" t="s">
        <v>8413</v>
      </c>
      <c r="R46" s="406" t="s">
        <v>8414</v>
      </c>
      <c r="S46" s="403" t="s">
        <v>8415</v>
      </c>
      <c r="T46" s="198" t="s">
        <v>8416</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8417</v>
      </c>
      <c r="B47" s="167" t="s">
        <v>8418</v>
      </c>
      <c r="C47" s="399" t="s">
        <v>8419</v>
      </c>
      <c r="D47" s="167" t="s">
        <v>8420</v>
      </c>
      <c r="E47" s="399" t="s">
        <v>8421</v>
      </c>
      <c r="F47" s="167" t="s">
        <v>8422</v>
      </c>
      <c r="G47" s="399" t="s">
        <v>8423</v>
      </c>
      <c r="H47" s="167" t="s">
        <v>8424</v>
      </c>
      <c r="I47" s="403"/>
      <c r="J47" s="198"/>
      <c r="K47" s="403"/>
      <c r="L47" s="198"/>
      <c r="M47" s="399" t="s">
        <v>8425</v>
      </c>
      <c r="N47" s="167" t="s">
        <v>8426</v>
      </c>
      <c r="O47" s="403"/>
      <c r="P47" s="198"/>
      <c r="Q47" s="420"/>
      <c r="R47" s="421"/>
      <c r="S47" s="399" t="s">
        <v>8427</v>
      </c>
      <c r="T47" s="167" t="s">
        <v>8428</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8429</v>
      </c>
      <c r="B48" s="155" t="s">
        <v>8430</v>
      </c>
      <c r="C48" s="399" t="s">
        <v>8431</v>
      </c>
      <c r="D48" s="167" t="s">
        <v>8432</v>
      </c>
      <c r="E48" s="404" t="s">
        <v>8433</v>
      </c>
      <c r="F48" s="155" t="s">
        <v>8434</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8435</v>
      </c>
      <c r="N48" s="198" t="s">
        <v>8436</v>
      </c>
      <c r="O48" s="403" t="s">
        <v>8437</v>
      </c>
      <c r="P48" s="198" t="s">
        <v>8438</v>
      </c>
      <c r="Q48" s="416" t="s">
        <v>8439</v>
      </c>
      <c r="R48" s="49" t="s">
        <v>8440</v>
      </c>
      <c r="S48" s="403" t="s">
        <v>8441</v>
      </c>
      <c r="T48" s="198" t="s">
        <v>8442</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8443</v>
      </c>
      <c r="B49" s="202" t="s">
        <v>8444</v>
      </c>
      <c r="C49" s="399" t="s">
        <v>8445</v>
      </c>
      <c r="D49" s="167" t="s">
        <v>8446</v>
      </c>
      <c r="E49" s="399" t="s">
        <v>8447</v>
      </c>
      <c r="F49" s="167" t="s">
        <v>8448</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enojado")</f>
        <v>Puño enojado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8449</v>
      </c>
      <c r="M49" s="403" t="s">
        <v>8450</v>
      </c>
      <c r="N49" s="198" t="s">
        <v>8451</v>
      </c>
      <c r="O49" s="400" t="s">
        <v>8452</v>
      </c>
      <c r="P49" s="202" t="s">
        <v>8453</v>
      </c>
      <c r="Q49" s="416" t="s">
        <v>8454</v>
      </c>
      <c r="R49" s="406" t="s">
        <v>8455</v>
      </c>
      <c r="S49" s="403" t="s">
        <v>8456</v>
      </c>
      <c r="T49" s="198" t="s">
        <v>8457</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6234</v>
      </c>
      <c r="B50" s="167" t="s">
        <v>8458</v>
      </c>
      <c r="C50" s="399" t="s">
        <v>8459</v>
      </c>
      <c r="D50" s="167" t="s">
        <v>8460</v>
      </c>
      <c r="E50" s="399" t="s">
        <v>6240</v>
      </c>
      <c r="F50" s="167" t="s">
        <v>8461</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arrojadizo. Desaparece al contacto con el agua y puede ser eliminado. Suerte: 10")</f>
        <v>Ataque arrojadizo.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6243</v>
      </c>
      <c r="N50" s="198" t="s">
        <v>8462</v>
      </c>
      <c r="O50" s="399" t="s">
        <v>6246</v>
      </c>
      <c r="P50" s="167" t="s">
        <v>8463</v>
      </c>
      <c r="Q50" s="416" t="s">
        <v>6249</v>
      </c>
      <c r="R50" s="402" t="s">
        <v>8464</v>
      </c>
      <c r="S50" s="403" t="s">
        <v>6252</v>
      </c>
      <c r="T50" s="198" t="s">
        <v>8465</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7498</v>
      </c>
      <c r="C51" s="166" t="str">
        <f>IFERROR(__xludf.DUMMYFUNCTION("GOOGLETRANSLATE(A51,""zh-tw"",""ja"")"),"紫色の質")</f>
        <v>紫色の質</v>
      </c>
      <c r="E51" s="166" t="s">
        <v>7499</v>
      </c>
      <c r="G51" s="166" t="s">
        <v>7500</v>
      </c>
      <c r="I51" s="166"/>
      <c r="K51" s="166"/>
      <c r="M51" s="166" t="s">
        <v>7501</v>
      </c>
      <c r="O51" s="166"/>
      <c r="Q51" s="166"/>
      <c r="S51" s="166" t="s">
        <v>7502</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6614</v>
      </c>
      <c r="B52" s="202" t="s">
        <v>8466</v>
      </c>
      <c r="C52" s="399" t="s">
        <v>6616</v>
      </c>
      <c r="D52" s="167" t="s">
        <v>8467</v>
      </c>
      <c r="E52" s="399" t="s">
        <v>6618</v>
      </c>
      <c r="F52" s="167" t="s">
        <v>8468</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6620</v>
      </c>
      <c r="L52" s="167" t="s">
        <v>8469</v>
      </c>
      <c r="M52" s="403" t="s">
        <v>8470</v>
      </c>
      <c r="N52" s="198" t="s">
        <v>8471</v>
      </c>
      <c r="O52" s="400" t="s">
        <v>6625</v>
      </c>
      <c r="P52" s="202" t="s">
        <v>8472</v>
      </c>
      <c r="Q52" s="416" t="s">
        <v>8473</v>
      </c>
      <c r="R52" s="402" t="s">
        <v>8474</v>
      </c>
      <c r="S52" s="403" t="s">
        <v>6629</v>
      </c>
      <c r="T52" s="198" t="s">
        <v>8475</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8476</v>
      </c>
      <c r="B53" s="167" t="s">
        <v>8477</v>
      </c>
      <c r="C53" s="399" t="s">
        <v>8476</v>
      </c>
      <c r="D53" s="167" t="s">
        <v>8478</v>
      </c>
      <c r="E53" s="399" t="s">
        <v>8479</v>
      </c>
      <c r="F53" s="167" t="s">
        <v>8480</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8481</v>
      </c>
      <c r="N53" s="198" t="s">
        <v>8482</v>
      </c>
      <c r="O53" s="417" t="str">
        <f>IFERROR(__xludf.DUMMYFUNCTION("GOOGLETRANSLATE(A53,""zh-tw"",""de"")"),"Takizashi")</f>
        <v>Takizashi</v>
      </c>
      <c r="P53" s="418"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6" t="s">
        <v>8479</v>
      </c>
      <c r="R53" s="49" t="s">
        <v>8483</v>
      </c>
      <c r="S53" s="403" t="s">
        <v>8479</v>
      </c>
      <c r="T53" s="198" t="s">
        <v>8484</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8485</v>
      </c>
      <c r="B54" s="167" t="s">
        <v>8486</v>
      </c>
      <c r="C54" s="399" t="s">
        <v>8487</v>
      </c>
      <c r="D54" s="167" t="s">
        <v>8488</v>
      </c>
      <c r="E54" s="399" t="s">
        <v>8489</v>
      </c>
      <c r="F54" s="167" t="s">
        <v>8490</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hoja afilada")</f>
        <v>Anillo de hoja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8491</v>
      </c>
      <c r="N54" s="198" t="s">
        <v>8492</v>
      </c>
      <c r="O54" s="417" t="str">
        <f>IFERROR(__xludf.DUMMYFUNCTION("GOOGLETRANSLATE(A54,""zh-tw"",""de"")"),"Scharfer Klingenring")</f>
        <v>Scharfer Klingenring</v>
      </c>
      <c r="P54" s="418" t="str">
        <f>IFERROR(__xludf.DUMMYFUNCTION("GOOGLETRANSLATE(B54,""zh-tw"",""de"")"),"Physischer Angriff: 4
Physische Verteidigung: 1
Physischer Angriff +15 %
")</f>
        <v>Physischer Angriff: 4
Physische Verteidigung: 1
Physischer Angriff +15 %
</v>
      </c>
      <c r="Q54" s="416" t="s">
        <v>8493</v>
      </c>
      <c r="R54" s="406" t="s">
        <v>8494</v>
      </c>
      <c r="S54" s="403" t="s">
        <v>8495</v>
      </c>
      <c r="T54" s="198" t="s">
        <v>8496</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8497</v>
      </c>
      <c r="B55" s="167" t="s">
        <v>8498</v>
      </c>
      <c r="C55" s="399" t="s">
        <v>8499</v>
      </c>
      <c r="D55" s="167" t="s">
        <v>8500</v>
      </c>
      <c r="E55" s="399" t="s">
        <v>8501</v>
      </c>
      <c r="F55" s="167" t="s">
        <v>8502</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activar un efecto de explosión o reducción de explosión.")</f>
        <v>Baja probabilidad de activar un efecto de explosión o reducción de explosión.</v>
      </c>
      <c r="K55" s="400" t="s">
        <v>8503</v>
      </c>
      <c r="L55" s="167" t="s">
        <v>8504</v>
      </c>
      <c r="M55" s="403" t="s">
        <v>8505</v>
      </c>
      <c r="N55" s="198" t="s">
        <v>8506</v>
      </c>
      <c r="O55" s="400" t="s">
        <v>8507</v>
      </c>
      <c r="P55" s="202" t="s">
        <v>8508</v>
      </c>
      <c r="Q55" s="416" t="s">
        <v>8509</v>
      </c>
      <c r="R55" s="402" t="s">
        <v>8510</v>
      </c>
      <c r="S55" s="403" t="s">
        <v>8511</v>
      </c>
      <c r="T55" s="198" t="s">
        <v>8512</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8513</v>
      </c>
      <c r="B56" s="167" t="s">
        <v>8514</v>
      </c>
      <c r="C56" s="399" t="s">
        <v>8515</v>
      </c>
      <c r="D56" s="167" t="s">
        <v>8516</v>
      </c>
      <c r="E56" s="399" t="s">
        <v>8517</v>
      </c>
      <c r="F56" s="167" t="s">
        <v>8518</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8519</v>
      </c>
      <c r="L56" s="167" t="s">
        <v>8520</v>
      </c>
      <c r="M56" s="403" t="s">
        <v>8521</v>
      </c>
      <c r="N56" s="198" t="s">
        <v>8522</v>
      </c>
      <c r="O56" s="400" t="s">
        <v>8523</v>
      </c>
      <c r="P56" s="202" t="s">
        <v>8524</v>
      </c>
      <c r="Q56" s="416" t="s">
        <v>8525</v>
      </c>
      <c r="R56" s="402" t="s">
        <v>8526</v>
      </c>
      <c r="S56" s="403" t="s">
        <v>8527</v>
      </c>
      <c r="T56" s="198" t="s">
        <v>8528</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8529</v>
      </c>
      <c r="B57" s="167" t="s">
        <v>8530</v>
      </c>
      <c r="C57" s="399" t="s">
        <v>8531</v>
      </c>
      <c r="D57" s="167" t="s">
        <v>8532</v>
      </c>
      <c r="E57" s="399" t="s">
        <v>8533</v>
      </c>
      <c r="F57" s="167" t="s">
        <v>8534</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objetos en un estado de estancamiento.")</f>
        <v>Ataque mágico: 10 Defensa física: 1 Resistencia mágica: 35 Flash Step congela objetos en un estado de estancamiento.</v>
      </c>
      <c r="K57" s="399" t="s">
        <v>8535</v>
      </c>
      <c r="L57" s="167" t="s">
        <v>8536</v>
      </c>
      <c r="M57" s="403" t="s">
        <v>8537</v>
      </c>
      <c r="N57" s="198" t="s">
        <v>8538</v>
      </c>
      <c r="O57" s="400" t="s">
        <v>8539</v>
      </c>
      <c r="P57" s="202" t="s">
        <v>8540</v>
      </c>
      <c r="Q57" s="416" t="s">
        <v>8541</v>
      </c>
      <c r="R57" s="402" t="s">
        <v>8542</v>
      </c>
      <c r="S57" s="403" t="s">
        <v>8543</v>
      </c>
      <c r="T57" s="198" t="s">
        <v>8544</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8545</v>
      </c>
      <c r="B58" s="167" t="s">
        <v>8546</v>
      </c>
      <c r="C58" s="399" t="s">
        <v>8547</v>
      </c>
      <c r="D58" s="167" t="s">
        <v>8548</v>
      </c>
      <c r="E58" s="399" t="s">
        <v>8549</v>
      </c>
      <c r="F58" s="167" t="s">
        <v>8550</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8551</v>
      </c>
      <c r="M58" s="403" t="s">
        <v>8552</v>
      </c>
      <c r="N58" s="198" t="s">
        <v>8553</v>
      </c>
      <c r="O58" s="400" t="s">
        <v>8554</v>
      </c>
      <c r="P58" s="202" t="s">
        <v>8555</v>
      </c>
      <c r="Q58" s="416" t="s">
        <v>8556</v>
      </c>
      <c r="R58" s="422" t="s">
        <v>8557</v>
      </c>
      <c r="S58" s="403" t="s">
        <v>8558</v>
      </c>
      <c r="T58" s="198" t="s">
        <v>8559</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8560</v>
      </c>
      <c r="B59" s="167" t="s">
        <v>8561</v>
      </c>
      <c r="C59" s="399" t="s">
        <v>8562</v>
      </c>
      <c r="D59" s="167" t="s">
        <v>8563</v>
      </c>
      <c r="E59" s="399" t="s">
        <v>8564</v>
      </c>
      <c r="F59" s="167" t="s">
        <v>8565</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ligeros pasos del mago caído")</f>
        <v>Los ligeros pasos del mago caído</v>
      </c>
      <c r="J59" s="198" t="str">
        <f>IFERROR(__xludf.DUMMYFUNCTION("GOOGLETRANSLATE(B59,""zh-tw"",""es-MX"")"),"Ataque físico: 2
Ataque mágico: 10
Resistencia mágica: 20
Vacío: Ignora todos los obstáculos, incluidas las balas enemigas.")</f>
        <v>Ataque físico: 2
Ataque mágico: 10
Resistencia mágica: 20
Vacío: Ignora todos los obstáculos, incluidas las balas enemigas.</v>
      </c>
      <c r="K59" s="399" t="s">
        <v>8566</v>
      </c>
      <c r="L59" s="167" t="s">
        <v>8567</v>
      </c>
      <c r="M59" s="403" t="s">
        <v>8568</v>
      </c>
      <c r="N59" s="198" t="s">
        <v>8569</v>
      </c>
      <c r="O59" s="400" t="s">
        <v>8570</v>
      </c>
      <c r="P59" s="202" t="s">
        <v>8571</v>
      </c>
      <c r="Q59" s="416" t="s">
        <v>8572</v>
      </c>
      <c r="R59" s="406" t="s">
        <v>8573</v>
      </c>
      <c r="S59" s="403" t="s">
        <v>8574</v>
      </c>
      <c r="T59" s="198" t="s">
        <v>8575</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8576</v>
      </c>
      <c r="B60" s="167" t="s">
        <v>8577</v>
      </c>
      <c r="C60" s="399" t="s">
        <v>8578</v>
      </c>
      <c r="D60" s="167" t="s">
        <v>8579</v>
      </c>
      <c r="E60" s="399" t="s">
        <v>8580</v>
      </c>
      <c r="F60" s="167" t="s">
        <v>8581</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8582</v>
      </c>
      <c r="M60" s="403" t="s">
        <v>8583</v>
      </c>
      <c r="N60" s="198" t="s">
        <v>8584</v>
      </c>
      <c r="O60" s="400" t="s">
        <v>8585</v>
      </c>
      <c r="P60" s="202" t="s">
        <v>8586</v>
      </c>
      <c r="Q60" s="416" t="s">
        <v>8587</v>
      </c>
      <c r="R60" s="49" t="s">
        <v>8588</v>
      </c>
      <c r="S60" s="403" t="s">
        <v>8589</v>
      </c>
      <c r="T60" s="198" t="s">
        <v>8590</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8591</v>
      </c>
      <c r="B61" s="167" t="s">
        <v>8592</v>
      </c>
      <c r="C61" s="399" t="s">
        <v>8593</v>
      </c>
      <c r="D61" s="167" t="s">
        <v>8594</v>
      </c>
      <c r="E61" s="399" t="s">
        <v>8595</v>
      </c>
      <c r="F61" s="167" t="s">
        <v>8596</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9" t="s">
        <v>8597</v>
      </c>
      <c r="L61" s="167" t="s">
        <v>8598</v>
      </c>
      <c r="M61" s="403" t="s">
        <v>8599</v>
      </c>
      <c r="N61" s="198" t="s">
        <v>8600</v>
      </c>
      <c r="O61" s="400" t="s">
        <v>8601</v>
      </c>
      <c r="P61" s="202" t="s">
        <v>8602</v>
      </c>
      <c r="Q61" s="416" t="s">
        <v>8603</v>
      </c>
      <c r="R61" s="402" t="s">
        <v>8604</v>
      </c>
      <c r="S61" s="403" t="s">
        <v>8605</v>
      </c>
      <c r="T61" s="198" t="s">
        <v>8606</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8607</v>
      </c>
      <c r="B62" s="167" t="s">
        <v>8608</v>
      </c>
      <c r="C62" s="399" t="s">
        <v>8609</v>
      </c>
      <c r="D62" s="167" t="s">
        <v>8610</v>
      </c>
      <c r="E62" s="399" t="s">
        <v>8611</v>
      </c>
      <c r="F62" s="167" t="s">
        <v>8612</v>
      </c>
      <c r="G62" s="399" t="s">
        <v>8607</v>
      </c>
      <c r="H62" s="167" t="s">
        <v>8608</v>
      </c>
      <c r="I62" s="403"/>
      <c r="J62" s="198"/>
      <c r="K62" s="399" t="s">
        <v>8613</v>
      </c>
      <c r="L62" s="167" t="s">
        <v>8614</v>
      </c>
      <c r="M62" s="404" t="s">
        <v>8615</v>
      </c>
      <c r="N62" s="155" t="s">
        <v>8616</v>
      </c>
      <c r="O62" s="399" t="s">
        <v>8611</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23" t="s">
        <v>8617</v>
      </c>
      <c r="R62" s="49" t="s">
        <v>8618</v>
      </c>
      <c r="S62" s="399" t="s">
        <v>8619</v>
      </c>
      <c r="T62" s="167" t="s">
        <v>8620</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8621</v>
      </c>
      <c r="B63" s="198" t="s">
        <v>8622</v>
      </c>
      <c r="C63" s="399" t="s">
        <v>8623</v>
      </c>
      <c r="D63" s="198" t="s">
        <v>8624</v>
      </c>
      <c r="E63" s="403" t="s">
        <v>8625</v>
      </c>
      <c r="F63" s="167" t="s">
        <v>8626</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8627</v>
      </c>
      <c r="N63" s="198" t="s">
        <v>8628</v>
      </c>
      <c r="O63" s="399" t="s">
        <v>8629</v>
      </c>
      <c r="P63" s="167" t="s">
        <v>8630</v>
      </c>
      <c r="Q63" s="424" t="s">
        <v>8631</v>
      </c>
      <c r="R63" s="406" t="s">
        <v>8632</v>
      </c>
      <c r="S63" s="403" t="s">
        <v>8633</v>
      </c>
      <c r="T63" s="198" t="s">
        <v>8634</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8635</v>
      </c>
      <c r="B64" s="202" t="s">
        <v>8444</v>
      </c>
      <c r="C64" s="399" t="s">
        <v>8636</v>
      </c>
      <c r="D64" s="167" t="s">
        <v>8446</v>
      </c>
      <c r="E64" s="399" t="s">
        <v>8637</v>
      </c>
      <c r="F64" s="167" t="s">
        <v>8638</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8639</v>
      </c>
      <c r="L64" s="167" t="s">
        <v>8449</v>
      </c>
      <c r="M64" s="403" t="s">
        <v>8640</v>
      </c>
      <c r="N64" s="198" t="s">
        <v>8641</v>
      </c>
      <c r="O64" s="400" t="s">
        <v>8642</v>
      </c>
      <c r="P64" s="202" t="s">
        <v>8643</v>
      </c>
      <c r="Q64" s="416" t="s">
        <v>8644</v>
      </c>
      <c r="R64" s="406" t="s">
        <v>8645</v>
      </c>
      <c r="S64" s="403" t="s">
        <v>8646</v>
      </c>
      <c r="T64" s="198" t="s">
        <v>8647</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8648</v>
      </c>
      <c r="B65" s="202" t="s">
        <v>8649</v>
      </c>
      <c r="C65" s="399" t="s">
        <v>8650</v>
      </c>
      <c r="D65" s="167" t="s">
        <v>8651</v>
      </c>
      <c r="E65" s="399" t="s">
        <v>8652</v>
      </c>
      <c r="F65" s="167" t="s">
        <v>8653</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8654</v>
      </c>
      <c r="L65" s="167" t="s">
        <v>8655</v>
      </c>
      <c r="M65" s="403" t="s">
        <v>8656</v>
      </c>
      <c r="N65" s="198" t="s">
        <v>8657</v>
      </c>
      <c r="O65" s="400" t="s">
        <v>8658</v>
      </c>
      <c r="P65" s="202" t="s">
        <v>8659</v>
      </c>
      <c r="Q65" s="416" t="s">
        <v>8660</v>
      </c>
      <c r="R65" s="402" t="s">
        <v>8661</v>
      </c>
      <c r="S65" s="403" t="s">
        <v>8662</v>
      </c>
      <c r="T65" s="198" t="s">
        <v>8663</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6259</v>
      </c>
      <c r="B66" s="167" t="s">
        <v>8664</v>
      </c>
      <c r="C66" s="403" t="s">
        <v>6259</v>
      </c>
      <c r="D66" s="167" t="s">
        <v>8665</v>
      </c>
      <c r="E66" s="399" t="s">
        <v>6263</v>
      </c>
      <c r="F66" s="167" t="s">
        <v>8666</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IFERROR(__xludf.DUMMYFUNCTION("GOOGLETRANSLATE(A66,""zh-tw"",""es-MX"")"),"◉▽◉(púrpura)")</f>
        <v>◉▽◉(púrpura)</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8667</v>
      </c>
      <c r="N66" s="198" t="s">
        <v>8668</v>
      </c>
      <c r="O66" s="399" t="s">
        <v>6267</v>
      </c>
      <c r="P66" s="167" t="s">
        <v>8669</v>
      </c>
      <c r="Q66" s="425" t="s">
        <v>6269</v>
      </c>
      <c r="R66" s="402" t="s">
        <v>8670</v>
      </c>
      <c r="S66" s="403" t="s">
        <v>6271</v>
      </c>
      <c r="T66" s="198" t="s">
        <v>8671</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8672</v>
      </c>
      <c r="B67" s="198" t="s">
        <v>8673</v>
      </c>
      <c r="C67" s="403" t="s">
        <v>8674</v>
      </c>
      <c r="D67" s="198" t="s">
        <v>8675</v>
      </c>
      <c r="E67" s="403" t="s">
        <v>8676</v>
      </c>
      <c r="F67" s="198" t="s">
        <v>8677</v>
      </c>
      <c r="G67" s="403" t="s">
        <v>8678</v>
      </c>
      <c r="H67" s="198" t="s">
        <v>8679</v>
      </c>
      <c r="I67" s="403" t="str">
        <f>IFERROR(__xludf.DUMMYFUNCTION("GOOGLETRANSLATE(A67,""zh-tw"",""es-MX"")"),"Cuerno rojo")</f>
        <v>Cuerno rojo</v>
      </c>
      <c r="J67" s="198" t="str">
        <f>IFERROR(__xludf.DUMMYFUNCTION("GOOGLETRANSLATE(B67,""zh-tw"",""es-MX"")"),"Ataque físico: 4
Defensa física: 2
Defensa mágica: 25
Aumento de velocidad ilimitado tras la carga")</f>
        <v>Ataque físico: 4
Defensa física: 2
Defensa mágica: 25
Aumento de velocidad ilimitado tras la carga</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8680</v>
      </c>
      <c r="N67" s="198" t="s">
        <v>8681</v>
      </c>
      <c r="O67" s="417" t="str">
        <f>IFERROR(__xludf.DUMMYFUNCTION("GOOGLETRANSLATE(A67,""zh-tw"",""de"")"),"Rothorn")</f>
        <v>Rothorn</v>
      </c>
      <c r="P67" s="418"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6" t="s">
        <v>8682</v>
      </c>
      <c r="R67" s="408" t="s">
        <v>8683</v>
      </c>
      <c r="S67" s="403" t="s">
        <v>8684</v>
      </c>
      <c r="T67" s="198" t="s">
        <v>8685</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7663</v>
      </c>
      <c r="C68" s="166" t="str">
        <f>IFERROR(__xludf.DUMMYFUNCTION("GOOGLETRANSLATE(A68,""zh-tw"",""ja"")"),"ピンクの品質")</f>
        <v>ピンクの品質</v>
      </c>
      <c r="E68" s="166" t="s">
        <v>7664</v>
      </c>
      <c r="G68" s="166" t="s">
        <v>7665</v>
      </c>
      <c r="I68" s="166"/>
      <c r="K68" s="166"/>
      <c r="M68" s="166" t="s">
        <v>7666</v>
      </c>
      <c r="O68" s="166"/>
      <c r="Q68" s="166"/>
      <c r="S68" s="166" t="s">
        <v>7667</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8686</v>
      </c>
      <c r="B69" s="202" t="s">
        <v>8687</v>
      </c>
      <c r="C69" s="399" t="s">
        <v>8688</v>
      </c>
      <c r="D69" s="167" t="s">
        <v>8689</v>
      </c>
      <c r="E69" s="399" t="s">
        <v>8690</v>
      </c>
      <c r="F69" s="167" t="s">
        <v>8691</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completa (consumible).")</f>
        <v>Reanima y restaura la salud completa (consumible).</v>
      </c>
      <c r="K69" s="400" t="s">
        <v>6805</v>
      </c>
      <c r="L69" s="167" t="s">
        <v>8692</v>
      </c>
      <c r="M69" s="403" t="s">
        <v>8693</v>
      </c>
      <c r="N69" s="198" t="s">
        <v>8694</v>
      </c>
      <c r="O69" s="400" t="s">
        <v>6811</v>
      </c>
      <c r="P69" s="202" t="s">
        <v>8695</v>
      </c>
      <c r="Q69" s="416" t="s">
        <v>8696</v>
      </c>
      <c r="R69" s="406" t="s">
        <v>8697</v>
      </c>
      <c r="S69" s="403" t="s">
        <v>8698</v>
      </c>
      <c r="T69" s="198" t="s">
        <v>8699</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6557</v>
      </c>
      <c r="B70" s="167" t="s">
        <v>8700</v>
      </c>
      <c r="C70" s="399" t="s">
        <v>6559</v>
      </c>
      <c r="D70" s="167" t="s">
        <v>8701</v>
      </c>
      <c r="E70" s="399" t="s">
        <v>6561</v>
      </c>
      <c r="F70" s="167" t="s">
        <v>8702</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6563</v>
      </c>
      <c r="L70" s="167" t="s">
        <v>8703</v>
      </c>
      <c r="M70" s="403" t="s">
        <v>6565</v>
      </c>
      <c r="N70" s="198" t="s">
        <v>8704</v>
      </c>
      <c r="O70" s="400" t="s">
        <v>6567</v>
      </c>
      <c r="P70" s="202" t="s">
        <v>8705</v>
      </c>
      <c r="Q70" s="416" t="s">
        <v>6569</v>
      </c>
      <c r="R70" s="406" t="s">
        <v>8706</v>
      </c>
      <c r="S70" s="403" t="s">
        <v>6571</v>
      </c>
      <c r="T70" s="198" t="s">
        <v>8707</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8708</v>
      </c>
      <c r="B71" s="202" t="s">
        <v>8709</v>
      </c>
      <c r="C71" s="399" t="s">
        <v>8710</v>
      </c>
      <c r="D71" s="167" t="s">
        <v>8711</v>
      </c>
      <c r="E71" s="399" t="s">
        <v>8712</v>
      </c>
      <c r="F71" s="167" t="s">
        <v>8713</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71" s="403" t="str">
        <f>IFERROR(__xludf.DUMMYFUNCTION("GOOGLETRANSLATE(A71,""zh-tw"",""KO"")"),"불행한 탄생")</f>
        <v>불행한 탄생</v>
      </c>
      <c r="L71" s="167" t="s">
        <v>8714</v>
      </c>
      <c r="M71" s="403" t="s">
        <v>8715</v>
      </c>
      <c r="N71" s="198" t="s">
        <v>8716</v>
      </c>
      <c r="O71" s="400" t="s">
        <v>8717</v>
      </c>
      <c r="P71" s="202" t="s">
        <v>8718</v>
      </c>
      <c r="Q71" s="416" t="s">
        <v>8719</v>
      </c>
      <c r="R71" s="406" t="s">
        <v>8720</v>
      </c>
      <c r="S71" s="403" t="s">
        <v>8721</v>
      </c>
      <c r="T71" s="198" t="s">
        <v>8722</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8723</v>
      </c>
      <c r="B72" s="202" t="s">
        <v>8724</v>
      </c>
      <c r="C72" s="399" t="s">
        <v>8725</v>
      </c>
      <c r="D72" s="167" t="s">
        <v>8726</v>
      </c>
      <c r="E72" s="399" t="s">
        <v>8727</v>
      </c>
      <c r="F72" s="167" t="s">
        <v>8728</v>
      </c>
      <c r="G72" s="403" t="str">
        <f>IFERROR(__xludf.DUMMYFUNCTION("GOOGLETRANSLATE(A72,""zh-tw"",""zh"")"),"妹妹脱下的内裤")</f>
        <v>妹妹脱下的内裤</v>
      </c>
      <c r="H72" s="198" t="str">
        <f>IFERROR(__xludf.DUMMYFUNCTION("GOOGLETRANSLATE(B72,""zh-tw"",""zh"")"),"低体力回复")</f>
        <v>低体力回复</v>
      </c>
      <c r="I72" s="399" t="s">
        <v>8729</v>
      </c>
      <c r="J72" s="167" t="s">
        <v>8730</v>
      </c>
      <c r="K72" s="399" t="s">
        <v>8731</v>
      </c>
      <c r="L72" s="167" t="s">
        <v>8732</v>
      </c>
      <c r="M72" s="403" t="s">
        <v>8733</v>
      </c>
      <c r="N72" s="198" t="s">
        <v>8734</v>
      </c>
      <c r="O72" s="400" t="s">
        <v>8735</v>
      </c>
      <c r="P72" s="202" t="s">
        <v>8736</v>
      </c>
      <c r="Q72" s="416" t="s">
        <v>8737</v>
      </c>
      <c r="R72" s="402" t="s">
        <v>8738</v>
      </c>
      <c r="S72" s="399" t="s">
        <v>8739</v>
      </c>
      <c r="T72" s="198" t="s">
        <v>8740</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8741</v>
      </c>
      <c r="B73" s="202" t="s">
        <v>8742</v>
      </c>
      <c r="C73" s="399" t="s">
        <v>8743</v>
      </c>
      <c r="D73" s="167" t="s">
        <v>8744</v>
      </c>
      <c r="E73" s="399" t="s">
        <v>8745</v>
      </c>
      <c r="F73" s="167" t="s">
        <v>8746</v>
      </c>
      <c r="G73" s="403" t="str">
        <f>IFERROR(__xludf.DUMMYFUNCTION("GOOGLETRANSLATE(A73,""zh-tw"",""zh"")"),"少女的笑容")</f>
        <v>少女的笑容</v>
      </c>
      <c r="H73" s="198" t="str">
        <f>IFERROR(__xludf.DUMMYFUNCTION("GOOGLETRANSLATE(B73,""zh-tw"",""zh"")"),"性欲上升，全属性上升10%")</f>
        <v>性欲上升，全属性上升10%</v>
      </c>
      <c r="I73" s="399" t="s">
        <v>8747</v>
      </c>
      <c r="J73" s="198" t="str">
        <f>IFERROR(__xludf.DUMMYFUNCTION("GOOGLETRANSLATE(B73,""zh-tw"",""es-MX"")"),"Aumento de la libido; todos los atributos aumentan en un 10%.")</f>
        <v>Aumento de la libido; todos los atributos aumentan en un 10%.</v>
      </c>
      <c r="K73" s="403" t="str">
        <f>IFERROR(__xludf.DUMMYFUNCTION("GOOGLETRANSLATE(A73,""zh-tw"",""KO"")"),"소녀의 미소")</f>
        <v>소녀의 미소</v>
      </c>
      <c r="L73" s="167" t="s">
        <v>8748</v>
      </c>
      <c r="M73" s="403" t="s">
        <v>8749</v>
      </c>
      <c r="N73" s="198" t="s">
        <v>8750</v>
      </c>
      <c r="O73" s="400" t="s">
        <v>8751</v>
      </c>
      <c r="P73" s="202" t="s">
        <v>8752</v>
      </c>
      <c r="Q73" s="416" t="s">
        <v>8753</v>
      </c>
      <c r="R73" s="402" t="s">
        <v>8754</v>
      </c>
      <c r="S73" s="403" t="s">
        <v>8755</v>
      </c>
      <c r="T73" s="198" t="s">
        <v>8756</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8757</v>
      </c>
      <c r="B74" s="167" t="s">
        <v>8758</v>
      </c>
      <c r="C74" s="399" t="s">
        <v>8759</v>
      </c>
      <c r="D74" s="167" t="s">
        <v>8760</v>
      </c>
      <c r="E74" s="399" t="s">
        <v>8761</v>
      </c>
      <c r="F74" s="167" t="s">
        <v>8762</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8763</v>
      </c>
      <c r="L74" s="167" t="s">
        <v>8764</v>
      </c>
      <c r="M74" s="403" t="s">
        <v>8765</v>
      </c>
      <c r="N74" s="198" t="s">
        <v>8766</v>
      </c>
      <c r="O74" s="400" t="s">
        <v>8767</v>
      </c>
      <c r="P74" s="202" t="s">
        <v>8768</v>
      </c>
      <c r="Q74" s="416" t="s">
        <v>8769</v>
      </c>
      <c r="R74" s="402" t="s">
        <v>8770</v>
      </c>
      <c r="S74" s="403" t="s">
        <v>8771</v>
      </c>
      <c r="T74" s="198" t="s">
        <v>8772</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8773</v>
      </c>
      <c r="B75" s="202" t="s">
        <v>8774</v>
      </c>
      <c r="C75" s="399" t="s">
        <v>8775</v>
      </c>
      <c r="D75" s="167" t="s">
        <v>8776</v>
      </c>
      <c r="E75" s="399" t="s">
        <v>8777</v>
      </c>
      <c r="F75" s="167" t="s">
        <v>8778</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8779</v>
      </c>
      <c r="L75" s="167" t="s">
        <v>8780</v>
      </c>
      <c r="M75" s="403" t="s">
        <v>8781</v>
      </c>
      <c r="N75" s="198" t="s">
        <v>8782</v>
      </c>
      <c r="O75" s="400" t="s">
        <v>8783</v>
      </c>
      <c r="P75" s="202" t="s">
        <v>8784</v>
      </c>
      <c r="Q75" s="416" t="s">
        <v>8785</v>
      </c>
      <c r="R75" s="406" t="s">
        <v>8786</v>
      </c>
      <c r="S75" s="403" t="s">
        <v>8787</v>
      </c>
      <c r="T75" s="198" t="s">
        <v>8788</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8789</v>
      </c>
      <c r="B76" s="167" t="s">
        <v>8790</v>
      </c>
      <c r="C76" s="399" t="s">
        <v>8791</v>
      </c>
      <c r="D76" s="167" t="s">
        <v>8792</v>
      </c>
      <c r="E76" s="399" t="s">
        <v>8793</v>
      </c>
      <c r="F76" s="167" t="s">
        <v>8794</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8795</v>
      </c>
      <c r="L76" s="167" t="s">
        <v>8796</v>
      </c>
      <c r="M76" s="403" t="s">
        <v>8797</v>
      </c>
      <c r="N76" s="198" t="s">
        <v>8798</v>
      </c>
      <c r="O76" s="400" t="s">
        <v>8799</v>
      </c>
      <c r="P76" s="202" t="s">
        <v>8800</v>
      </c>
      <c r="Q76" s="416" t="s">
        <v>8801</v>
      </c>
      <c r="R76" s="406" t="s">
        <v>8802</v>
      </c>
      <c r="S76" s="403" t="s">
        <v>8803</v>
      </c>
      <c r="T76" s="198" t="s">
        <v>8804</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8805</v>
      </c>
      <c r="B77" s="202" t="s">
        <v>8806</v>
      </c>
      <c r="C77" s="399" t="s">
        <v>8807</v>
      </c>
      <c r="D77" s="167" t="s">
        <v>8808</v>
      </c>
      <c r="E77" s="399" t="s">
        <v>8809</v>
      </c>
      <c r="F77" s="167" t="s">
        <v>8810</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8811</v>
      </c>
      <c r="L77" s="167" t="s">
        <v>8812</v>
      </c>
      <c r="M77" s="399" t="s">
        <v>8813</v>
      </c>
      <c r="N77" s="198" t="s">
        <v>8814</v>
      </c>
      <c r="O77" s="400" t="s">
        <v>8815</v>
      </c>
      <c r="P77" s="202" t="s">
        <v>8816</v>
      </c>
      <c r="Q77" s="416" t="s">
        <v>8817</v>
      </c>
      <c r="R77" s="406" t="s">
        <v>8818</v>
      </c>
      <c r="S77" s="403" t="s">
        <v>8819</v>
      </c>
      <c r="T77" s="198" t="s">
        <v>8820</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8821</v>
      </c>
      <c r="B78" s="391" t="s">
        <v>8822</v>
      </c>
      <c r="C78" s="399" t="s">
        <v>8823</v>
      </c>
      <c r="D78" s="198" t="s">
        <v>8824</v>
      </c>
      <c r="E78" s="403" t="s">
        <v>8825</v>
      </c>
      <c r="F78" s="167" t="s">
        <v>8826</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(varias piezas de equipo no se acumulan).")</f>
        <v>Ataque Mágico: 20
Defensa Mágica: 45
1. Reduce el consumo de durabilidad de las armas mágicas (acumulable).
2. Aumenta el ataque mágico en 10 por cada "Fragmento de Piedra Celestial" (varias piezas de equipo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8827</v>
      </c>
      <c r="N78" s="167" t="s">
        <v>8828</v>
      </c>
      <c r="O78" s="399" t="s">
        <v>8825</v>
      </c>
      <c r="P78" s="167" t="s">
        <v>8829</v>
      </c>
      <c r="Q78" s="425" t="s">
        <v>8830</v>
      </c>
      <c r="R78" s="49" t="s">
        <v>8831</v>
      </c>
      <c r="S78" s="403" t="s">
        <v>8832</v>
      </c>
      <c r="T78" s="167" t="s">
        <v>8833</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8834</v>
      </c>
      <c r="B79" s="167" t="s">
        <v>8835</v>
      </c>
      <c r="C79" s="399" t="s">
        <v>8836</v>
      </c>
      <c r="D79" s="167" t="s">
        <v>8837</v>
      </c>
      <c r="E79" s="399" t="s">
        <v>8838</v>
      </c>
      <c r="F79" s="167" t="s">
        <v>8839</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IFERROR(__xludf.DUMMYFUNCTION("GOOGLETRANSLATE(A79,""zh-tw"",""es-MX"")"),"Globo ocular del diablo")</f>
        <v>Globo ocular del diablo</v>
      </c>
      <c r="J79" s="198" t="str">
        <f>IFERROR(__xludf.DUMMYFUNCTION("GOOGLETRANSLATE(B79,""zh-tw"",""es-MX"")"),"Ataque Mágico: 6
Defensa Mágica: 40
Equipar este objeto elimina parte de la pixelación de la información del monstruo.
También permite ver el efecto de rayos X de la animación en ciertos eventos de SLG.")</f>
        <v>Ataque Mágico: 6
Defensa Mágica: 40
Equipar este objeto elimina parte de la pixelación de la información del monstruo.
También permite ver el efecto de rayos X de la animación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8840</v>
      </c>
      <c r="N79" s="155" t="s">
        <v>8841</v>
      </c>
      <c r="O79" s="399" t="s">
        <v>8842</v>
      </c>
      <c r="P79" s="198" t="s">
        <v>8843</v>
      </c>
      <c r="Q79" s="423" t="s">
        <v>8844</v>
      </c>
      <c r="R79" s="49" t="s">
        <v>8845</v>
      </c>
      <c r="S79" s="399" t="s">
        <v>8846</v>
      </c>
      <c r="T79" s="167" t="s">
        <v>8847</v>
      </c>
      <c r="U79" s="399" t="str">
        <f>IFERROR(__xludf.DUMMYFUNCTION("GOOGLETRANSLATE(A79,""zh-tw"",""ID"")"),"Bola Mata Setan")</f>
        <v>Bola Mata Setan</v>
      </c>
      <c r="V79" s="167" t="str">
        <f>IFERROR(__xludf.DUMMYFUNCTION("GOOGLETRANSLATE(B79,""zh-tw"",""ID"")"),"Serangan Sihir: 6
Pertahanan Sihir: 40
Mengenakan item ini menghilangkan sebagian pikselasi dari informasi monster.
Item ini juga memungkinkan Anda untuk melihat efek sinar-X animasi di acara SLG tertentu.")</f>
        <v>Serangan Sihir: 6
Pertahanan Sihir: 40
Mengenakan item ini menghilangkan sebagian pikselasi dari informasi monster.
Item ini juga memungkinkan Anda untuk melihat efek sinar-X animasi di acara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8848</v>
      </c>
      <c r="B80" s="167" t="s">
        <v>8849</v>
      </c>
      <c r="C80" s="399" t="s">
        <v>8850</v>
      </c>
      <c r="D80" s="167" t="s">
        <v>8851</v>
      </c>
      <c r="E80" s="399" t="s">
        <v>8852</v>
      </c>
      <c r="F80" s="167" t="s">
        <v>8853</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8854</v>
      </c>
      <c r="N80" s="198" t="s">
        <v>8855</v>
      </c>
      <c r="O80" s="399" t="s">
        <v>8856</v>
      </c>
      <c r="P80" s="167" t="s">
        <v>8857</v>
      </c>
      <c r="Q80" s="425" t="s">
        <v>8858</v>
      </c>
      <c r="R80" s="402" t="s">
        <v>8859</v>
      </c>
      <c r="S80" s="403" t="s">
        <v>8860</v>
      </c>
      <c r="T80" s="198" t="s">
        <v>8861</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7742</v>
      </c>
      <c r="C81" s="166" t="str">
        <f>IFERROR(__xludf.DUMMYFUNCTION("GOOGLETRANSLATE(A81,""zh-tw"",""ja"")"),"ゴールド品質")</f>
        <v>ゴールド品質</v>
      </c>
      <c r="E81" s="166" t="s">
        <v>7743</v>
      </c>
      <c r="G81" s="166" t="s">
        <v>7744</v>
      </c>
      <c r="I81" s="166"/>
      <c r="K81" s="166"/>
      <c r="M81" s="166" t="s">
        <v>7745</v>
      </c>
      <c r="O81" s="166"/>
      <c r="Q81" s="166"/>
      <c r="S81" s="166" t="s">
        <v>7746</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8862</v>
      </c>
      <c r="B82" s="167" t="s">
        <v>8863</v>
      </c>
      <c r="C82" s="399" t="s">
        <v>8864</v>
      </c>
      <c r="D82" s="167" t="s">
        <v>8865</v>
      </c>
      <c r="E82" s="399" t="s">
        <v>8866</v>
      </c>
      <c r="F82" s="167" t="s">
        <v>8867</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8868</v>
      </c>
      <c r="J82" s="198" t="str">
        <f>IFERROR(__xludf.DUMMYFUNCTION("GOOGLETRANSLATE(B82,""zh-tw"",""es-MX"")"),"Suerte: 100 - Duplica la cantidad de dinero que recoges al conseguir objetos.
(No se puede combinar con una alcancía)")</f>
        <v>Suerte: 100 - Duplica la cantidad de dinero que recoges al conseguir objetos.
(No se puede combinar con una alcancía)</v>
      </c>
      <c r="K82" s="399" t="s">
        <v>8869</v>
      </c>
      <c r="L82" s="167" t="s">
        <v>8870</v>
      </c>
      <c r="M82" s="403" t="s">
        <v>8871</v>
      </c>
      <c r="N82" s="198" t="s">
        <v>8872</v>
      </c>
      <c r="O82" s="400" t="s">
        <v>8873</v>
      </c>
      <c r="P82" s="202" t="s">
        <v>8874</v>
      </c>
      <c r="Q82" s="416" t="s">
        <v>8875</v>
      </c>
      <c r="R82" s="402" t="s">
        <v>8876</v>
      </c>
      <c r="S82" s="427" t="s">
        <v>8866</v>
      </c>
      <c r="T82" s="198" t="s">
        <v>8877</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8878</v>
      </c>
      <c r="B83" s="167" t="s">
        <v>8879</v>
      </c>
      <c r="C83" s="399" t="s">
        <v>8880</v>
      </c>
      <c r="D83" s="167" t="s">
        <v>8881</v>
      </c>
      <c r="E83" s="399" t="s">
        <v>8882</v>
      </c>
      <c r="F83" s="167" t="s">
        <v>8883</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8884</v>
      </c>
      <c r="M83" s="403" t="s">
        <v>8885</v>
      </c>
      <c r="N83" s="198" t="s">
        <v>8886</v>
      </c>
      <c r="O83" s="400" t="s">
        <v>8887</v>
      </c>
      <c r="P83" s="202" t="s">
        <v>8888</v>
      </c>
      <c r="Q83" s="416" t="s">
        <v>8889</v>
      </c>
      <c r="R83" s="49" t="s">
        <v>8890</v>
      </c>
      <c r="S83" s="403" t="s">
        <v>8891</v>
      </c>
      <c r="T83" s="198" t="s">
        <v>8892</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8893</v>
      </c>
      <c r="B84" s="167" t="s">
        <v>8894</v>
      </c>
      <c r="C84" s="399" t="s">
        <v>8895</v>
      </c>
      <c r="D84" s="167" t="s">
        <v>8896</v>
      </c>
      <c r="E84" s="399" t="s">
        <v>8897</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IFERROR(__xludf.DUMMYFUNCTION("GOOGLETRANSLATE(A84,""zh-tw"",""es-MX"")"),"Alcancía codiciosa")</f>
        <v>Alcancía codiciosa</v>
      </c>
      <c r="J84" s="198" t="str">
        <f>IFERROR(__xludf.DUMMYFUNCTION("GOOGLETRANSLATE(B84,""zh-tw"",""es-MX"")"),"Suerte: 100 (Estadísticas de suerte: encontrar dinero, aura de Mammon, indestructibilidad y mayor velocidad de movimiento)
")</f>
        <v>Suerte: 100 (Estadísticas de suerte: encontrar dinero, aura de Mammon, indestructibilidad y mayor velocidad de movimiento)
</v>
      </c>
      <c r="K84" s="403" t="str">
        <f>IFERROR(__xludf.DUMMYFUNCTION("GOOGLETRANSLATE(A84,""zh-tw"",""KO"")"),"욕심쟁이 돼지 저금통")</f>
        <v>욕심쟁이 돼지 저금통</v>
      </c>
      <c r="L84" s="167" t="s">
        <v>8898</v>
      </c>
      <c r="M84" s="403" t="s">
        <v>8899</v>
      </c>
      <c r="N84" s="198" t="s">
        <v>8900</v>
      </c>
      <c r="O84" s="400" t="s">
        <v>8901</v>
      </c>
      <c r="P84" s="202" t="s">
        <v>8902</v>
      </c>
      <c r="Q84" s="416" t="s">
        <v>8903</v>
      </c>
      <c r="R84" s="406" t="s">
        <v>8904</v>
      </c>
      <c r="S84" s="403" t="s">
        <v>8905</v>
      </c>
      <c r="T84" s="167" t="s">
        <v>8906</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8907</v>
      </c>
      <c r="B85" s="198" t="s">
        <v>8908</v>
      </c>
      <c r="C85" s="399" t="s">
        <v>8909</v>
      </c>
      <c r="D85" s="167" t="s">
        <v>8910</v>
      </c>
      <c r="E85" s="399" t="s">
        <v>8911</v>
      </c>
      <c r="F85" s="167" t="s">
        <v>8912</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8913</v>
      </c>
      <c r="N85" s="198" t="s">
        <v>8914</v>
      </c>
      <c r="O85" s="399" t="s">
        <v>8915</v>
      </c>
      <c r="P85" s="167" t="s">
        <v>8916</v>
      </c>
      <c r="Q85" s="425" t="s">
        <v>8917</v>
      </c>
      <c r="R85" s="406" t="s">
        <v>8918</v>
      </c>
      <c r="S85" s="403" t="s">
        <v>8919</v>
      </c>
      <c r="T85" s="167" t="s">
        <v>8920</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8921</v>
      </c>
      <c r="B86" s="167" t="s">
        <v>8922</v>
      </c>
      <c r="C86" s="399" t="s">
        <v>8923</v>
      </c>
      <c r="D86" s="167" t="s">
        <v>8924</v>
      </c>
      <c r="E86" s="399" t="s">
        <v>8925</v>
      </c>
      <c r="F86" s="167" t="s">
        <v>8926</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8927</v>
      </c>
      <c r="N86" s="198" t="s">
        <v>8928</v>
      </c>
      <c r="O86" s="399" t="s">
        <v>8929</v>
      </c>
      <c r="P86" s="167" t="s">
        <v>8930</v>
      </c>
      <c r="Q86" s="416" t="s">
        <v>8931</v>
      </c>
      <c r="R86" s="406" t="s">
        <v>8932</v>
      </c>
      <c r="S86" s="403" t="s">
        <v>8933</v>
      </c>
      <c r="T86" s="167" t="s">
        <v>8934</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8935</v>
      </c>
      <c r="B87" s="167" t="s">
        <v>8936</v>
      </c>
      <c r="C87" s="399" t="s">
        <v>8937</v>
      </c>
      <c r="D87" s="167" t="s">
        <v>8938</v>
      </c>
      <c r="E87" s="399" t="s">
        <v>8939</v>
      </c>
      <c r="F87" s="167" t="s">
        <v>8940</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herramienta es una trampa; consulta los consejos.")</f>
        <v>Regenera salud por segundo.
※Esta herramienta es una trampa;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8941</v>
      </c>
      <c r="N87" s="198" t="s">
        <v>8942</v>
      </c>
      <c r="O87" s="417" t="str">
        <f>IFERROR(__xludf.DUMMYFUNCTION("GOOGLETRANSLATE(A87,""zh-tw"",""de"")"),"Mios Erste-Hilfe-Set")</f>
        <v>Mios Erste-Hilfe-Set</v>
      </c>
      <c r="P87" s="418" t="str">
        <f>IFERROR(__xludf.DUMMYFUNCTION("GOOGLETRANSLATE(B87,""zh-tw"",""de"")"),"Regeneriert Gesundheit pro Sekunde
※Dies ist ein Cheat-Tool. Bitte beachte die Tipps.")</f>
        <v>Regeneriert Gesundheit pro Sekunde
※Dies ist ein Cheat-Tool. Bitte beachte die Tipps.</v>
      </c>
      <c r="Q87" s="415" t="s">
        <v>8943</v>
      </c>
      <c r="R87" s="406" t="s">
        <v>8944</v>
      </c>
      <c r="S87" s="403" t="s">
        <v>8945</v>
      </c>
      <c r="T87" s="167" t="s">
        <v>8946</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8947</v>
      </c>
      <c r="B88" s="167" t="s">
        <v>8948</v>
      </c>
      <c r="C88" s="399" t="s">
        <v>8949</v>
      </c>
      <c r="D88" s="167" t="s">
        <v>8950</v>
      </c>
      <c r="E88" s="399" t="s">
        <v>8951</v>
      </c>
      <c r="F88" s="167" t="s">
        <v>8952</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8953</v>
      </c>
      <c r="N88" s="198" t="s">
        <v>8954</v>
      </c>
      <c r="O88" s="417" t="str">
        <f>IFERROR(__xludf.DUMMYFUNCTION("GOOGLETRANSLATE(A88,""zh-tw"",""de"")"),"Ruikas Hammer")</f>
        <v>Ruikas Hammer</v>
      </c>
      <c r="P88" s="418" t="str">
        <f>IFERROR(__xludf.DUMMYFUNCTION("GOOGLETRANSLATE(B88,""zh-tw"",""de"")"),"Glück: 777
Erhöht die Drop-Rate
※Dies ist ein Cheat-Tool. Bitte beachte die Tipps.")</f>
        <v>Glück: 777
Erhöht die Drop-Rate
※Dies ist ein Cheat-Tool. Bitte beachte die Tipps.</v>
      </c>
      <c r="Q88" s="415" t="s">
        <v>8955</v>
      </c>
      <c r="R88" s="406" t="s">
        <v>8956</v>
      </c>
      <c r="S88" s="403" t="s">
        <v>8957</v>
      </c>
      <c r="T88" s="167" t="s">
        <v>8958</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8959</v>
      </c>
      <c r="B89" s="167" t="s">
        <v>8960</v>
      </c>
      <c r="C89" s="399" t="s">
        <v>8961</v>
      </c>
      <c r="D89" s="167" t="s">
        <v>8962</v>
      </c>
      <c r="E89" s="399" t="s">
        <v>8963</v>
      </c>
      <c r="F89" s="167" t="s">
        <v>8964</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8965</v>
      </c>
      <c r="N89" s="198" t="s">
        <v>8966</v>
      </c>
      <c r="O89" s="417" t="str">
        <f>IFERROR(__xludf.DUMMYFUNCTION("GOOGLETRANSLATE(A89,""zh-tw"",""de"")"),"Bai Yans goldener Finger")</f>
        <v>Bai Yans goldener Finger</v>
      </c>
      <c r="P89" s="418" t="str">
        <f>IFERROR(__xludf.DUMMYFUNCTION("GOOGLETRANSLATE(B89,""zh-tw"",""de"")"),"Die Waffe ist kostenlos.
※Dies ist ein Cheat-Tool; bitte beachte die Tipps.")</f>
        <v>Die Waffe ist kostenlos.
※Dies ist ein Cheat-Tool; bitte beachte die Tipps.</v>
      </c>
      <c r="Q89" s="415" t="s">
        <v>8967</v>
      </c>
      <c r="R89" s="406" t="s">
        <v>8968</v>
      </c>
      <c r="S89" s="403" t="s">
        <v>8969</v>
      </c>
      <c r="T89" s="167" t="s">
        <v>8970</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0"/>
      <c r="R90" s="421"/>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0"/>
      <c r="R91" s="421"/>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0"/>
      <c r="R92" s="421"/>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0"/>
      <c r="R93" s="421"/>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0"/>
      <c r="R94" s="421"/>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0"/>
      <c r="R95" s="421"/>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0"/>
      <c r="R96" s="421"/>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0"/>
      <c r="R97" s="421"/>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0"/>
      <c r="R98" s="421"/>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0"/>
      <c r="R99" s="421"/>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0"/>
      <c r="R100" s="421"/>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0"/>
      <c r="R101" s="421"/>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0"/>
      <c r="R102" s="421"/>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0"/>
      <c r="R103" s="421"/>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0"/>
      <c r="R104" s="421"/>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0"/>
      <c r="R105" s="421"/>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0"/>
      <c r="R106" s="421"/>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0"/>
      <c r="R107" s="421"/>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0"/>
      <c r="R108" s="421"/>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0"/>
      <c r="R109" s="421"/>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0"/>
      <c r="R110" s="421"/>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0"/>
      <c r="R111" s="421"/>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0"/>
      <c r="R112" s="421"/>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0"/>
      <c r="R113" s="421"/>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0"/>
      <c r="R114" s="421"/>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0"/>
      <c r="R115" s="421"/>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0"/>
      <c r="R116" s="421"/>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0"/>
      <c r="R117" s="421"/>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0"/>
      <c r="R118" s="421"/>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0"/>
      <c r="R119" s="421"/>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0"/>
      <c r="R120" s="421"/>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0"/>
      <c r="R121" s="421"/>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0"/>
      <c r="R122" s="421"/>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0"/>
      <c r="R123" s="421"/>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0"/>
      <c r="R124" s="421"/>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0"/>
      <c r="R125" s="421"/>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0"/>
      <c r="R126" s="421"/>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0"/>
      <c r="R127" s="421"/>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0"/>
      <c r="R128" s="421"/>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0"/>
      <c r="R129" s="421"/>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0"/>
      <c r="R130" s="421"/>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8971</v>
      </c>
      <c r="B1" s="84" t="s">
        <v>8972</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8973</v>
      </c>
      <c r="N1" s="81" t="s">
        <v>8974</v>
      </c>
      <c r="O1" s="393" t="s">
        <v>8975</v>
      </c>
      <c r="P1" s="84" t="s">
        <v>8976</v>
      </c>
      <c r="Q1" s="430" t="s">
        <v>8977</v>
      </c>
      <c r="R1" s="81" t="s">
        <v>8978</v>
      </c>
      <c r="S1" s="395" t="s">
        <v>8979</v>
      </c>
      <c r="T1" s="88" t="s">
        <v>8980</v>
      </c>
      <c r="U1" s="393" t="s">
        <v>8981</v>
      </c>
      <c r="V1" s="84" t="s">
        <v>8982</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7038</v>
      </c>
      <c r="C2" s="166" t="str">
        <f>IFERROR(__xludf.DUMMYFUNCTION("GOOGLETRANSLATE(A2,""zh-tw"",""ja"")"),"白の品質")</f>
        <v>白の品質</v>
      </c>
      <c r="E2" s="166" t="s">
        <v>7039</v>
      </c>
      <c r="G2" s="166" t="s">
        <v>7040</v>
      </c>
      <c r="I2" s="166"/>
      <c r="K2" s="166"/>
      <c r="M2" s="166" t="s">
        <v>7041</v>
      </c>
      <c r="O2" s="166"/>
      <c r="Q2" s="166"/>
      <c r="S2" s="166" t="s">
        <v>7042</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8983</v>
      </c>
      <c r="B3" s="167" t="s">
        <v>8984</v>
      </c>
      <c r="C3" s="399" t="s">
        <v>8985</v>
      </c>
      <c r="D3" s="167" t="s">
        <v>8986</v>
      </c>
      <c r="E3" s="399" t="s">
        <v>8987</v>
      </c>
      <c r="F3" s="167" t="s">
        <v>8988</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8989</v>
      </c>
      <c r="K3" s="403" t="str">
        <f>IFERROR(__xludf.DUMMYFUNCTION("GOOGLETRANSLATE(A3,""zh-tw"",""KO"")"),"맛있는 우유")</f>
        <v>맛있는 우유</v>
      </c>
      <c r="L3" s="167" t="s">
        <v>8990</v>
      </c>
      <c r="M3" s="403" t="s">
        <v>8991</v>
      </c>
      <c r="N3" s="198" t="s">
        <v>8992</v>
      </c>
      <c r="O3" s="399" t="s">
        <v>8993</v>
      </c>
      <c r="P3" s="167" t="s">
        <v>8994</v>
      </c>
      <c r="Q3" s="404" t="s">
        <v>8995</v>
      </c>
      <c r="R3" s="155" t="s">
        <v>8996</v>
      </c>
      <c r="S3" s="403" t="s">
        <v>8997</v>
      </c>
      <c r="T3" s="167" t="s">
        <v>8998</v>
      </c>
      <c r="U3" s="399" t="s">
        <v>8999</v>
      </c>
      <c r="V3" s="167" t="s">
        <v>9000</v>
      </c>
      <c r="W3" s="8"/>
      <c r="X3" s="8"/>
      <c r="Y3" s="8"/>
      <c r="Z3" s="8"/>
      <c r="AA3" s="8"/>
      <c r="AB3" s="8"/>
      <c r="AC3" s="8"/>
      <c r="AD3" s="8"/>
      <c r="AE3" s="8"/>
      <c r="AF3" s="8"/>
      <c r="AG3" s="8"/>
      <c r="AH3" s="8"/>
      <c r="AI3" s="8"/>
      <c r="AJ3" s="8"/>
      <c r="AK3" s="8"/>
      <c r="AL3" s="8"/>
      <c r="AM3" s="8"/>
      <c r="AN3" s="8"/>
      <c r="AO3" s="8"/>
      <c r="AP3" s="8"/>
      <c r="AQ3" s="8"/>
      <c r="AR3" s="8"/>
      <c r="AS3" s="8"/>
      <c r="AT3" s="8"/>
    </row>
    <row r="4">
      <c r="A4" s="399" t="s">
        <v>9001</v>
      </c>
      <c r="B4" s="167" t="s">
        <v>9002</v>
      </c>
      <c r="C4" s="399" t="s">
        <v>9003</v>
      </c>
      <c r="D4" s="167" t="s">
        <v>9004</v>
      </c>
      <c r="E4" s="399" t="s">
        <v>9005</v>
      </c>
      <c r="F4" s="167" t="s">
        <v>9006</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9007</v>
      </c>
      <c r="K4" s="403" t="str">
        <f>IFERROR(__xludf.DUMMYFUNCTION("GOOGLETRANSLATE(A4,""zh-tw"",""KO"")"),"당근 우유")</f>
        <v>당근 우유</v>
      </c>
      <c r="L4" s="167" t="s">
        <v>9008</v>
      </c>
      <c r="M4" s="403" t="s">
        <v>9009</v>
      </c>
      <c r="N4" s="198" t="s">
        <v>9010</v>
      </c>
      <c r="O4" s="399" t="s">
        <v>9011</v>
      </c>
      <c r="P4" s="167" t="s">
        <v>9012</v>
      </c>
      <c r="Q4" s="404" t="s">
        <v>9013</v>
      </c>
      <c r="R4" s="155" t="s">
        <v>9014</v>
      </c>
      <c r="S4" s="403" t="s">
        <v>9015</v>
      </c>
      <c r="T4" s="198" t="s">
        <v>9016</v>
      </c>
      <c r="U4" s="399" t="s">
        <v>9017</v>
      </c>
      <c r="V4" s="167" t="s">
        <v>9018</v>
      </c>
      <c r="W4" s="8"/>
      <c r="X4" s="8"/>
      <c r="Y4" s="8"/>
      <c r="Z4" s="8"/>
      <c r="AA4" s="8"/>
      <c r="AB4" s="8"/>
      <c r="AC4" s="8"/>
      <c r="AD4" s="8"/>
      <c r="AE4" s="8"/>
      <c r="AF4" s="8"/>
      <c r="AG4" s="8"/>
      <c r="AH4" s="8"/>
      <c r="AI4" s="8"/>
      <c r="AJ4" s="8"/>
      <c r="AK4" s="8"/>
      <c r="AL4" s="8"/>
      <c r="AM4" s="8"/>
      <c r="AN4" s="8"/>
      <c r="AO4" s="8"/>
      <c r="AP4" s="8"/>
      <c r="AQ4" s="8"/>
      <c r="AR4" s="8"/>
      <c r="AS4" s="8"/>
      <c r="AT4" s="8"/>
    </row>
    <row r="5">
      <c r="A5" s="399" t="s">
        <v>9019</v>
      </c>
      <c r="B5" s="167" t="s">
        <v>9020</v>
      </c>
      <c r="C5" s="399" t="s">
        <v>9021</v>
      </c>
      <c r="D5" s="167" t="s">
        <v>9022</v>
      </c>
      <c r="E5" s="399" t="s">
        <v>9023</v>
      </c>
      <c r="F5" s="167" t="s">
        <v>9024</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9025</v>
      </c>
      <c r="K5" s="399" t="s">
        <v>9026</v>
      </c>
      <c r="L5" s="198" t="str">
        <f>IFERROR(__xludf.DUMMYFUNCTION("GOOGLETRANSLATE(B5,""zh-tw"",""KO"")"),"스태미나를 75 회복하고 공격력을 50% 증가시킵니다.")</f>
        <v>스태미나를 75 회복하고 공격력을 50% 증가시킵니다.</v>
      </c>
      <c r="M5" s="403" t="s">
        <v>9027</v>
      </c>
      <c r="N5" s="198" t="s">
        <v>9028</v>
      </c>
      <c r="O5" s="399" t="s">
        <v>9029</v>
      </c>
      <c r="P5" s="167" t="s">
        <v>9030</v>
      </c>
      <c r="Q5" s="404" t="s">
        <v>9031</v>
      </c>
      <c r="R5" s="155" t="s">
        <v>9032</v>
      </c>
      <c r="S5" s="403" t="s">
        <v>9033</v>
      </c>
      <c r="T5" s="198" t="s">
        <v>9034</v>
      </c>
      <c r="U5" s="399" t="s">
        <v>9035</v>
      </c>
      <c r="V5" s="167" t="s">
        <v>9036</v>
      </c>
      <c r="W5" s="8"/>
      <c r="X5" s="8"/>
      <c r="Y5" s="8"/>
      <c r="Z5" s="8"/>
      <c r="AA5" s="8"/>
      <c r="AB5" s="8"/>
      <c r="AC5" s="8"/>
      <c r="AD5" s="8"/>
      <c r="AE5" s="8"/>
      <c r="AF5" s="8"/>
      <c r="AG5" s="8"/>
      <c r="AH5" s="8"/>
      <c r="AI5" s="8"/>
      <c r="AJ5" s="8"/>
      <c r="AK5" s="8"/>
      <c r="AL5" s="8"/>
      <c r="AM5" s="8"/>
      <c r="AN5" s="8"/>
      <c r="AO5" s="8"/>
      <c r="AP5" s="8"/>
      <c r="AQ5" s="8"/>
      <c r="AR5" s="8"/>
      <c r="AS5" s="8"/>
      <c r="AT5" s="8"/>
    </row>
    <row r="6">
      <c r="A6" s="399" t="s">
        <v>9037</v>
      </c>
      <c r="B6" s="167" t="s">
        <v>9038</v>
      </c>
      <c r="C6" s="399" t="s">
        <v>9039</v>
      </c>
      <c r="D6" s="167" t="s">
        <v>9040</v>
      </c>
      <c r="E6" s="399" t="s">
        <v>9041</v>
      </c>
      <c r="F6" s="167" t="s">
        <v>9042</v>
      </c>
      <c r="G6" s="399" t="str">
        <f>IFERROR(__xludf.DUMMYFUNCTION("GOOGLETRANSLATE(A6,""zh-tw"",""zh"")"),"蜜瓜味牛奶")</f>
        <v>蜜瓜味牛奶</v>
      </c>
      <c r="H6" s="167" t="str">
        <f>IFERROR(__xludf.DUMMYFUNCTION("GOOGLETRANSLATE(B6,""zh-tw"",""zh"")"),"回复体力75，提高50%魔力")</f>
        <v>回复体力75，提高50%魔力</v>
      </c>
      <c r="I6" s="399" t="s">
        <v>9043</v>
      </c>
      <c r="J6" s="167" t="s">
        <v>9044</v>
      </c>
      <c r="K6" s="399" t="s">
        <v>9045</v>
      </c>
      <c r="L6" s="198" t="str">
        <f>IFERROR(__xludf.DUMMYFUNCTION("GOOGLETRANSLATE(B6,""zh-tw"",""KO"")"),"체력을 75 회복하고 마법 공격력을 50% 증가시킵니다.")</f>
        <v>체력을 75 회복하고 마법 공격력을 50% 증가시킵니다.</v>
      </c>
      <c r="M6" s="403" t="s">
        <v>9046</v>
      </c>
      <c r="N6" s="198" t="s">
        <v>9047</v>
      </c>
      <c r="O6" s="399" t="s">
        <v>9048</v>
      </c>
      <c r="P6" s="167" t="s">
        <v>9049</v>
      </c>
      <c r="Q6" s="404" t="s">
        <v>9050</v>
      </c>
      <c r="R6" s="155" t="s">
        <v>9051</v>
      </c>
      <c r="S6" s="403" t="s">
        <v>9052</v>
      </c>
      <c r="T6" s="198" t="s">
        <v>9053</v>
      </c>
      <c r="U6" s="399" t="s">
        <v>9054</v>
      </c>
      <c r="V6" s="167" t="s">
        <v>9055</v>
      </c>
      <c r="W6" s="8"/>
      <c r="X6" s="8"/>
      <c r="Y6" s="8"/>
      <c r="Z6" s="8"/>
      <c r="AA6" s="8"/>
      <c r="AB6" s="8"/>
      <c r="AC6" s="8"/>
      <c r="AD6" s="8"/>
      <c r="AE6" s="8"/>
      <c r="AF6" s="8"/>
      <c r="AG6" s="8"/>
      <c r="AH6" s="8"/>
      <c r="AI6" s="8"/>
      <c r="AJ6" s="8"/>
      <c r="AK6" s="8"/>
      <c r="AL6" s="8"/>
      <c r="AM6" s="8"/>
      <c r="AN6" s="8"/>
      <c r="AO6" s="8"/>
      <c r="AP6" s="8"/>
      <c r="AQ6" s="8"/>
      <c r="AR6" s="8"/>
      <c r="AS6" s="8"/>
      <c r="AT6" s="8"/>
    </row>
    <row r="7">
      <c r="A7" s="399" t="s">
        <v>9056</v>
      </c>
      <c r="B7" s="167" t="s">
        <v>9057</v>
      </c>
      <c r="C7" s="399" t="s">
        <v>9058</v>
      </c>
      <c r="D7" s="167" t="s">
        <v>9059</v>
      </c>
      <c r="E7" s="399" t="s">
        <v>9060</v>
      </c>
      <c r="F7" s="167" t="s">
        <v>9061</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9062</v>
      </c>
      <c r="K7" s="403" t="str">
        <f>IFERROR(__xludf.DUMMYFUNCTION("GOOGLETRANSLATE(A7,""zh-tw"",""KO"")"),"바나나맛 우유")</f>
        <v>바나나맛 우유</v>
      </c>
      <c r="L7" s="167" t="s">
        <v>9063</v>
      </c>
      <c r="M7" s="403" t="s">
        <v>9064</v>
      </c>
      <c r="N7" s="198" t="s">
        <v>9065</v>
      </c>
      <c r="O7" s="399" t="s">
        <v>9066</v>
      </c>
      <c r="P7" s="167" t="s">
        <v>9067</v>
      </c>
      <c r="Q7" s="404" t="s">
        <v>9068</v>
      </c>
      <c r="R7" s="155" t="s">
        <v>9069</v>
      </c>
      <c r="S7" s="403" t="s">
        <v>9070</v>
      </c>
      <c r="T7" s="198" t="s">
        <v>9071</v>
      </c>
      <c r="U7" s="399" t="s">
        <v>9072</v>
      </c>
      <c r="V7" s="167" t="s">
        <v>9073</v>
      </c>
      <c r="W7" s="8"/>
      <c r="X7" s="8"/>
      <c r="Y7" s="8"/>
      <c r="Z7" s="8"/>
      <c r="AA7" s="8"/>
      <c r="AB7" s="8"/>
      <c r="AC7" s="8"/>
      <c r="AD7" s="8"/>
      <c r="AE7" s="8"/>
      <c r="AF7" s="8"/>
      <c r="AG7" s="8"/>
      <c r="AH7" s="8"/>
      <c r="AI7" s="8"/>
      <c r="AJ7" s="8"/>
      <c r="AK7" s="8"/>
      <c r="AL7" s="8"/>
      <c r="AM7" s="8"/>
      <c r="AN7" s="8"/>
      <c r="AO7" s="8"/>
      <c r="AP7" s="8"/>
      <c r="AQ7" s="8"/>
      <c r="AR7" s="8"/>
      <c r="AS7" s="8"/>
      <c r="AT7" s="8"/>
    </row>
    <row r="8">
      <c r="A8" s="399" t="s">
        <v>9074</v>
      </c>
      <c r="B8" s="167" t="s">
        <v>9075</v>
      </c>
      <c r="C8" s="399" t="s">
        <v>9076</v>
      </c>
      <c r="D8" s="167" t="s">
        <v>9077</v>
      </c>
      <c r="E8" s="399" t="s">
        <v>9078</v>
      </c>
      <c r="F8" s="167" t="s">
        <v>9079</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9080</v>
      </c>
      <c r="K8" s="399" t="s">
        <v>9081</v>
      </c>
      <c r="L8" s="198" t="str">
        <f>IFERROR(__xludf.DUMMYFUNCTION("GOOGLETRANSLATE(B8,""zh-tw"",""KO"")"),"스태미나 78을 회복하고 무적 효과를 부여합니다.
(아직 구현되지 않음)")</f>
        <v>스태미나 78을 회복하고 무적 효과를 부여합니다.
(아직 구현되지 않음)</v>
      </c>
      <c r="M8" s="403" t="s">
        <v>9082</v>
      </c>
      <c r="N8" s="167" t="s">
        <v>9083</v>
      </c>
      <c r="O8" s="399" t="s">
        <v>9084</v>
      </c>
      <c r="P8" s="167" t="s">
        <v>9085</v>
      </c>
      <c r="Q8" s="404" t="s">
        <v>9086</v>
      </c>
      <c r="R8" s="155" t="s">
        <v>9087</v>
      </c>
      <c r="S8" s="427" t="s">
        <v>9078</v>
      </c>
      <c r="T8" s="198" t="s">
        <v>9088</v>
      </c>
      <c r="U8" s="399" t="s">
        <v>9089</v>
      </c>
      <c r="V8" s="167" t="s">
        <v>9090</v>
      </c>
      <c r="W8" s="8"/>
      <c r="X8" s="8"/>
      <c r="Y8" s="8"/>
      <c r="Z8" s="8"/>
      <c r="AA8" s="8"/>
      <c r="AB8" s="8"/>
      <c r="AC8" s="8"/>
      <c r="AD8" s="8"/>
      <c r="AE8" s="8"/>
      <c r="AF8" s="8"/>
      <c r="AG8" s="8"/>
      <c r="AH8" s="8"/>
      <c r="AI8" s="8"/>
      <c r="AJ8" s="8"/>
      <c r="AK8" s="8"/>
      <c r="AL8" s="8"/>
      <c r="AM8" s="8"/>
      <c r="AN8" s="8"/>
      <c r="AO8" s="8"/>
      <c r="AP8" s="8"/>
      <c r="AQ8" s="8"/>
      <c r="AR8" s="8"/>
      <c r="AS8" s="8"/>
      <c r="AT8" s="8"/>
    </row>
    <row r="9">
      <c r="A9" s="399" t="s">
        <v>9091</v>
      </c>
      <c r="B9" s="167" t="s">
        <v>9092</v>
      </c>
      <c r="C9" s="399" t="str">
        <f>IFERROR(__xludf.DUMMYFUNCTION("GOOGLETRANSLATE(A9,""zh-tw"",""ja"")"),"ジャック・ボム")</f>
        <v>ジャック・ボム</v>
      </c>
      <c r="D9" s="167" t="s">
        <v>9093</v>
      </c>
      <c r="E9" s="399" t="s">
        <v>9094</v>
      </c>
      <c r="F9" s="167" t="s">
        <v>9095</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IFERROR(__xludf.DUMMYFUNCTION("GOOGLETRANSLATE(A9,""zh-tw"",""es-MX"")"),"Jack Bomb")</f>
        <v>Jack Bomb</v>
      </c>
      <c r="J9" s="167" t="s">
        <v>9096</v>
      </c>
      <c r="K9" s="399" t="s">
        <v>9097</v>
      </c>
      <c r="L9" s="198" t="str">
        <f>IFERROR(__xludf.DUMMYFUNCTION("GOOGLETRANSLATE(B9,""zh-tw"",""KO"")"),"폭탄 (방어 무시)")</f>
        <v>폭탄 (방어 무시)</v>
      </c>
      <c r="M9" s="403" t="s">
        <v>9098</v>
      </c>
      <c r="N9" s="198" t="s">
        <v>9099</v>
      </c>
      <c r="O9" s="399" t="s">
        <v>9100</v>
      </c>
      <c r="P9" s="167" t="s">
        <v>9101</v>
      </c>
      <c r="Q9" s="404" t="s">
        <v>9094</v>
      </c>
      <c r="R9" s="155" t="s">
        <v>9102</v>
      </c>
      <c r="S9" s="403" t="s">
        <v>9103</v>
      </c>
      <c r="T9" s="198" t="s">
        <v>9104</v>
      </c>
      <c r="U9" s="399" t="s">
        <v>9105</v>
      </c>
      <c r="V9" s="167" t="s">
        <v>9106</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9107</v>
      </c>
      <c r="B10" s="391" t="s">
        <v>9108</v>
      </c>
      <c r="C10" s="399" t="s">
        <v>9109</v>
      </c>
      <c r="D10" s="167" t="s">
        <v>9110</v>
      </c>
      <c r="E10" s="399" t="s">
        <v>9111</v>
      </c>
      <c r="F10" s="167" t="s">
        <v>9112</v>
      </c>
      <c r="G10" s="399" t="s">
        <v>9113</v>
      </c>
      <c r="H10" s="167" t="s">
        <v>9114</v>
      </c>
      <c r="I10" s="403" t="str">
        <f>IFERROR(__xludf.DUMMYFUNCTION("GOOGLETRANSLATE(A10,""zh-tw"",""es-MX"")"),"Pato de goma")</f>
        <v>Pato de goma</v>
      </c>
      <c r="J10" s="167"/>
      <c r="K10" s="399" t="s">
        <v>9097</v>
      </c>
      <c r="L10" s="198" t="str">
        <f>IFERROR(__xludf.DUMMYFUNCTION("GOOGLETRANSLATE(B10,""zh-tw"",""KO"")"),"집에서 샤워할 때 사용하시면 됩니다.")</f>
        <v>집에서 샤워할 때 사용하시면 됩니다.</v>
      </c>
      <c r="M10" s="399" t="s">
        <v>9115</v>
      </c>
      <c r="N10" s="167" t="s">
        <v>9116</v>
      </c>
      <c r="O10" s="399"/>
      <c r="P10" s="167" t="s">
        <v>9117</v>
      </c>
      <c r="Q10" s="399" t="s">
        <v>9118</v>
      </c>
      <c r="R10" s="167" t="s">
        <v>9119</v>
      </c>
      <c r="S10" s="399" t="s">
        <v>9120</v>
      </c>
      <c r="T10" s="167" t="s">
        <v>9121</v>
      </c>
      <c r="U10" s="399" t="s">
        <v>9122</v>
      </c>
      <c r="V10" s="167" t="s">
        <v>9123</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9124</v>
      </c>
      <c r="B11" s="167" t="s">
        <v>9125</v>
      </c>
      <c r="C11" s="399" t="str">
        <f>IFERROR(__xludf.DUMMYFUNCTION("GOOGLETRANSLATE(A11,""zh-tw"",""ja"")"),"ポラロイド 1-8")</f>
        <v>ポラロイド 1-8</v>
      </c>
      <c r="D11" s="167" t="s">
        <v>9126</v>
      </c>
      <c r="E11" s="399" t="s">
        <v>9127</v>
      </c>
      <c r="F11" s="167" t="s">
        <v>9128</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9129</v>
      </c>
      <c r="K11" s="403" t="str">
        <f>IFERROR(__xludf.DUMMYFUNCTION("GOOGLETRANSLATE(A11,""zh-tw"",""KO"")"),"폴라로이드 1-8")</f>
        <v>폴라로이드 1-8</v>
      </c>
      <c r="L11" s="198" t="str">
        <f>IFERROR(__xludf.DUMMYFUNCTION("GOOGLETRANSLATE(B11,""zh-tw"",""KO"")"),"고화질 사진을 보세요")</f>
        <v>고화질 사진을 보세요</v>
      </c>
      <c r="M11" s="399" t="s">
        <v>9130</v>
      </c>
      <c r="N11" s="198" t="s">
        <v>9131</v>
      </c>
      <c r="O11" s="399" t="s">
        <v>9132</v>
      </c>
      <c r="P11" s="167" t="s">
        <v>9133</v>
      </c>
      <c r="Q11" s="399" t="s">
        <v>9127</v>
      </c>
      <c r="R11" s="155" t="s">
        <v>9134</v>
      </c>
      <c r="S11" s="399" t="s">
        <v>9127</v>
      </c>
      <c r="T11" s="198" t="s">
        <v>9135</v>
      </c>
      <c r="U11" s="399" t="s">
        <v>9127</v>
      </c>
      <c r="V11" s="167" t="s">
        <v>9136</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9137</v>
      </c>
      <c r="B12" s="198" t="s">
        <v>9138</v>
      </c>
      <c r="C12" s="399" t="s">
        <v>9139</v>
      </c>
      <c r="D12" s="167" t="s">
        <v>9140</v>
      </c>
      <c r="E12" s="399" t="s">
        <v>9141</v>
      </c>
      <c r="F12" s="167" t="s">
        <v>9142</v>
      </c>
      <c r="G12" s="399" t="str">
        <f>IFERROR(__xludf.DUMMYFUNCTION("GOOGLETRANSLATE(A12,""zh-tw"",""zh"")"),"茶会拍立得收藏集")</f>
        <v>茶会拍立得收藏集</v>
      </c>
      <c r="H12" s="167" t="str">
        <f>IFERROR(__xludf.DUMMYFUNCTION("GOOGLETRANSLATE(B12,""zh-tw"",""zh"")"),"完成后提升幸运值")</f>
        <v>完成后提升幸运值</v>
      </c>
      <c r="I12" s="399" t="s">
        <v>9141</v>
      </c>
      <c r="J12" s="167" t="s">
        <v>9143</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9144</v>
      </c>
      <c r="N12" s="198" t="s">
        <v>9145</v>
      </c>
      <c r="O12" s="399" t="s">
        <v>9146</v>
      </c>
      <c r="P12" s="167" t="s">
        <v>9147</v>
      </c>
      <c r="Q12" s="399" t="s">
        <v>9148</v>
      </c>
      <c r="R12" s="167" t="s">
        <v>9149</v>
      </c>
      <c r="S12" s="427" t="s">
        <v>9150</v>
      </c>
      <c r="T12" s="198" t="s">
        <v>9151</v>
      </c>
      <c r="U12" s="399" t="s">
        <v>9152</v>
      </c>
      <c r="V12" s="167" t="s">
        <v>9153</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9154</v>
      </c>
      <c r="B13" s="198" t="s">
        <v>9155</v>
      </c>
      <c r="C13" s="403" t="s">
        <v>9156</v>
      </c>
      <c r="D13" s="198" t="s">
        <v>9157</v>
      </c>
      <c r="E13" s="399" t="s">
        <v>9158</v>
      </c>
      <c r="F13" s="198" t="s">
        <v>9159</v>
      </c>
      <c r="G13" s="403" t="s">
        <v>9160</v>
      </c>
      <c r="H13" s="198" t="s">
        <v>9161</v>
      </c>
      <c r="I13" s="403"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9162</v>
      </c>
      <c r="N13" s="198" t="s">
        <v>9163</v>
      </c>
      <c r="O13" s="403" t="s">
        <v>9164</v>
      </c>
      <c r="P13" s="198" t="s">
        <v>9165</v>
      </c>
      <c r="Q13" s="432" t="s">
        <v>9166</v>
      </c>
      <c r="R13" s="433" t="s">
        <v>9167</v>
      </c>
      <c r="S13" s="403" t="s">
        <v>9168</v>
      </c>
      <c r="T13" s="198" t="s">
        <v>9169</v>
      </c>
      <c r="U13" s="403" t="s">
        <v>9170</v>
      </c>
      <c r="V13" s="198" t="s">
        <v>9171</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7256</v>
      </c>
      <c r="C14" s="166" t="str">
        <f>IFERROR(__xludf.DUMMYFUNCTION("GOOGLETRANSLATE(A14,""zh-tw"",""ja"")"),"ブルークオリティ")</f>
        <v>ブルークオリティ</v>
      </c>
      <c r="E14" s="166" t="s">
        <v>7257</v>
      </c>
      <c r="G14" s="166" t="s">
        <v>7258</v>
      </c>
      <c r="I14" s="166"/>
      <c r="K14" s="166"/>
      <c r="M14" s="166" t="s">
        <v>7259</v>
      </c>
      <c r="O14" s="166"/>
      <c r="Q14" s="166"/>
      <c r="S14" s="166" t="s">
        <v>7260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9172</v>
      </c>
      <c r="B15" s="167" t="s">
        <v>9173</v>
      </c>
      <c r="C15" s="399" t="s">
        <v>9174</v>
      </c>
      <c r="D15" s="167" t="s">
        <v>9175</v>
      </c>
      <c r="E15" s="399" t="s">
        <v>9176</v>
      </c>
      <c r="F15" s="167" t="s">
        <v>9177</v>
      </c>
      <c r="G15" s="399" t="str">
        <f>IFERROR(__xludf.DUMMYFUNCTION("GOOGLETRANSLATE(A15,""zh-tw"",""zh"")"),"逆流可乐")</f>
        <v>逆流可乐</v>
      </c>
      <c r="H15" s="167" t="str">
        <f>IFERROR(__xludf.DUMMYFUNCTION("GOOGLETRANSLATE(B15,""zh-tw"",""zh"")"),"(战斗效果未实装)")</f>
        <v>(战斗效果未实装)</v>
      </c>
      <c r="I15" s="399" t="s">
        <v>9178</v>
      </c>
      <c r="J15" s="167" t="s">
        <v>9179</v>
      </c>
      <c r="K15" s="399" t="s">
        <v>9180</v>
      </c>
      <c r="L15" s="198" t="str">
        <f>IFERROR(__xludf.DUMMYFUNCTION("GOOGLETRANSLATE(B15,""zh-tw"",""KO"")"),"(전투 효과는 아직 구현되지 않았습니다)")</f>
        <v>(전투 효과는 아직 구현되지 않았습니다)</v>
      </c>
      <c r="M15" s="403" t="s">
        <v>9181</v>
      </c>
      <c r="N15" s="198" t="s">
        <v>9182</v>
      </c>
      <c r="O15" s="399" t="s">
        <v>9178</v>
      </c>
      <c r="P15" s="167" t="s">
        <v>9183</v>
      </c>
      <c r="Q15" s="404" t="s">
        <v>9178</v>
      </c>
      <c r="R15" s="155" t="s">
        <v>9184</v>
      </c>
      <c r="S15" s="403" t="s">
        <v>9185</v>
      </c>
      <c r="T15" s="198" t="s">
        <v>9186</v>
      </c>
      <c r="U15" s="399" t="s">
        <v>9187</v>
      </c>
      <c r="V15" s="167" t="s">
        <v>9188</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9189</v>
      </c>
      <c r="B16" s="167" t="s">
        <v>9190</v>
      </c>
      <c r="C16" s="399" t="s">
        <v>9191</v>
      </c>
      <c r="D16" s="167" t="s">
        <v>9192</v>
      </c>
      <c r="E16" s="399" t="s">
        <v>9193</v>
      </c>
      <c r="F16" s="167" t="s">
        <v>9194</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9195</v>
      </c>
      <c r="K16" s="403" t="str">
        <f>IFERROR(__xludf.DUMMYFUNCTION("GOOGLETRANSLATE(A16,""zh-tw"",""KO"")"),"프로스트 잭 밤")</f>
        <v>프로스트 잭 밤</v>
      </c>
      <c r="L16" s="167" t="s">
        <v>9196</v>
      </c>
      <c r="M16" s="403" t="s">
        <v>9197</v>
      </c>
      <c r="N16" s="198" t="s">
        <v>9198</v>
      </c>
      <c r="O16" s="399" t="s">
        <v>9199</v>
      </c>
      <c r="P16" s="167" t="s">
        <v>9200</v>
      </c>
      <c r="Q16" s="404" t="s">
        <v>9193</v>
      </c>
      <c r="R16" s="155" t="s">
        <v>9201</v>
      </c>
      <c r="S16" s="403" t="s">
        <v>9202</v>
      </c>
      <c r="T16" s="198" t="s">
        <v>9203</v>
      </c>
      <c r="U16" s="399" t="s">
        <v>9204</v>
      </c>
      <c r="V16" s="167" t="s">
        <v>9205</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9206</v>
      </c>
      <c r="B17" s="167" t="s">
        <v>9207</v>
      </c>
      <c r="C17" s="399" t="s">
        <v>9208</v>
      </c>
      <c r="D17" s="167" t="s">
        <v>9209</v>
      </c>
      <c r="E17" s="399" t="s">
        <v>9210</v>
      </c>
      <c r="F17" s="167" t="s">
        <v>9211</v>
      </c>
      <c r="G17" s="399" t="str">
        <f>IFERROR(__xludf.DUMMYFUNCTION("GOOGLETRANSLATE(A17,""zh-tw"",""zh"")"),"猛毒杰克爆弹")</f>
        <v>猛毒杰克爆弹</v>
      </c>
      <c r="H17" s="167" t="str">
        <f>IFERROR(__xludf.DUMMYFUNCTION("GOOGLETRANSLATE(B17,""zh-tw"",""zh"")"),"毒属性炸弹")</f>
        <v>毒属性炸弹</v>
      </c>
      <c r="I17" s="399" t="s">
        <v>9210</v>
      </c>
      <c r="J17" s="167" t="s">
        <v>9212</v>
      </c>
      <c r="K17" s="399" t="s">
        <v>9213</v>
      </c>
      <c r="L17" s="167" t="s">
        <v>9214</v>
      </c>
      <c r="M17" s="403" t="s">
        <v>9215</v>
      </c>
      <c r="N17" s="198" t="s">
        <v>9216</v>
      </c>
      <c r="O17" s="399" t="s">
        <v>9217</v>
      </c>
      <c r="P17" s="167" t="s">
        <v>9218</v>
      </c>
      <c r="Q17" s="404" t="s">
        <v>9210</v>
      </c>
      <c r="R17" s="155" t="s">
        <v>9219</v>
      </c>
      <c r="S17" s="403" t="s">
        <v>9220</v>
      </c>
      <c r="T17" s="198" t="s">
        <v>9221</v>
      </c>
      <c r="U17" s="399" t="s">
        <v>9210</v>
      </c>
      <c r="V17" s="167" t="s">
        <v>9222</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9223</v>
      </c>
      <c r="B18" s="167" t="s">
        <v>9224</v>
      </c>
      <c r="C18" s="399" t="s">
        <v>9225</v>
      </c>
      <c r="D18" s="198" t="str">
        <f>IFERROR(__xludf.DUMMYFUNCTION("GOOGLETRANSLATE(B18,""zh-tw"",""ja"")"),"現時点では（宝石を）引き換える方法はありません。")</f>
        <v>現時点では（宝石を）引き換える方法はありません。</v>
      </c>
      <c r="E18" s="399" t="s">
        <v>9226</v>
      </c>
      <c r="F18" s="167" t="s">
        <v>9227</v>
      </c>
      <c r="G18" s="399" t="str">
        <f>IFERROR(__xludf.DUMMYFUNCTION("GOOGLETRANSLATE(A18,""zh-tw"",""zh"")"),"蓝辉石")</f>
        <v>蓝辉石</v>
      </c>
      <c r="H18" s="167" t="str">
        <f>IFERROR(__xludf.DUMMYFUNCTION("GOOGLETRANSLATE(B18,""zh-tw"",""zh"")"),"目前没有兑换方式
(宝石)")</f>
        <v>目前没有兑换方式
(宝石)</v>
      </c>
      <c r="I18" s="399" t="s">
        <v>9228</v>
      </c>
      <c r="J18" s="167" t="s">
        <v>9229</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9230</v>
      </c>
      <c r="N18" s="198" t="s">
        <v>9231</v>
      </c>
      <c r="O18" s="400" t="s">
        <v>9232</v>
      </c>
      <c r="P18" s="202" t="s">
        <v>9233</v>
      </c>
      <c r="Q18" s="399" t="s">
        <v>9234</v>
      </c>
      <c r="R18" s="155" t="s">
        <v>9235</v>
      </c>
      <c r="S18" s="427" t="s">
        <v>9226</v>
      </c>
      <c r="T18" s="198" t="s">
        <v>9236</v>
      </c>
      <c r="U18" s="399" t="s">
        <v>9237</v>
      </c>
      <c r="V18" s="167" t="s">
        <v>9238</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9239</v>
      </c>
      <c r="B19" s="167" t="s">
        <v>9240</v>
      </c>
      <c r="C19" s="399" t="s">
        <v>9241</v>
      </c>
      <c r="D19" s="167" t="s">
        <v>9242</v>
      </c>
      <c r="E19" s="399" t="s">
        <v>9243</v>
      </c>
      <c r="F19" s="167" t="s">
        <v>9244</v>
      </c>
      <c r="G19" s="399" t="str">
        <f>IFERROR(__xludf.DUMMYFUNCTION("GOOGLETRANSLATE(A19,""zh-tw"",""zh"")"),"银坷拉")</f>
        <v>银坷拉</v>
      </c>
      <c r="H19" s="167" t="str">
        <f>IFERROR(__xludf.DUMMYFUNCTION("GOOGLETRANSLATE(B19,""zh-tw"",""zh"")"),"诱饵/粉尘爆炸")</f>
        <v>诱饵/粉尘爆炸</v>
      </c>
      <c r="I19" s="399" t="s">
        <v>9243</v>
      </c>
      <c r="J19" s="167" t="s">
        <v>9245</v>
      </c>
      <c r="K19" s="403" t="str">
        <f>IFERROR(__xludf.DUMMYFUNCTION("GOOGLETRANSLATE(A19,""zh-tw"",""KO"")"),"인 켈라")</f>
        <v>인 켈라</v>
      </c>
      <c r="L19" s="198" t="str">
        <f>IFERROR(__xludf.DUMMYFUNCTION("GOOGLETRANSLATE(B19,""zh-tw"",""KO"")"),"미끼/먼지 폭발")</f>
        <v>미끼/먼지 폭발</v>
      </c>
      <c r="M19" s="403" t="s">
        <v>9246</v>
      </c>
      <c r="N19" s="198" t="s">
        <v>9247</v>
      </c>
      <c r="O19" s="399" t="s">
        <v>9243</v>
      </c>
      <c r="P19" s="167" t="s">
        <v>9248</v>
      </c>
      <c r="Q19" s="399" t="s">
        <v>9243</v>
      </c>
      <c r="R19" s="167" t="s">
        <v>9249</v>
      </c>
      <c r="S19" s="403" t="s">
        <v>9243</v>
      </c>
      <c r="T19" s="198" t="s">
        <v>9250</v>
      </c>
      <c r="U19" s="399" t="s">
        <v>9243</v>
      </c>
      <c r="V19" s="167" t="s">
        <v>9251</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9252</v>
      </c>
      <c r="B20" s="167" t="s">
        <v>9125</v>
      </c>
      <c r="C20" s="399" t="str">
        <f>IFERROR(__xludf.DUMMYFUNCTION("GOOGLETRANSLATE(A20,""zh-tw"",""ja"")"),"ポラロイド 9~15")</f>
        <v>ポラロイド 9~15</v>
      </c>
      <c r="D20" s="167" t="s">
        <v>9126</v>
      </c>
      <c r="E20" s="399" t="s">
        <v>9253</v>
      </c>
      <c r="F20" s="167" t="s">
        <v>9128</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9129</v>
      </c>
      <c r="K20" s="403" t="str">
        <f>IFERROR(__xludf.DUMMYFUNCTION("GOOGLETRANSLATE(A20,""zh-tw"",""KO"")"),"폴라로이드 9~15")</f>
        <v>폴라로이드 9~15</v>
      </c>
      <c r="L20" s="198" t="str">
        <f>IFERROR(__xludf.DUMMYFUNCTION("GOOGLETRANSLATE(B20,""zh-tw"",""KO"")"),"고화질 사진을 보세요")</f>
        <v>고화질 사진을 보세요</v>
      </c>
      <c r="M20" s="399" t="s">
        <v>9254</v>
      </c>
      <c r="N20" s="198" t="s">
        <v>9131</v>
      </c>
      <c r="O20" s="399" t="s">
        <v>9255</v>
      </c>
      <c r="P20" s="167" t="s">
        <v>9133</v>
      </c>
      <c r="Q20" s="399" t="s">
        <v>9253</v>
      </c>
      <c r="R20" s="155" t="s">
        <v>9134</v>
      </c>
      <c r="S20" s="399" t="s">
        <v>9253</v>
      </c>
      <c r="T20" s="198" t="s">
        <v>9135</v>
      </c>
      <c r="U20" s="399" t="s">
        <v>9253</v>
      </c>
      <c r="V20" s="167" t="s">
        <v>9136</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9256</v>
      </c>
      <c r="B21" s="167" t="s">
        <v>9257</v>
      </c>
      <c r="C21" s="399" t="s">
        <v>9258</v>
      </c>
      <c r="D21" s="167" t="s">
        <v>9259</v>
      </c>
      <c r="E21" s="399" t="s">
        <v>9150</v>
      </c>
      <c r="F21" s="167" t="s">
        <v>9260</v>
      </c>
      <c r="G21" s="399" t="str">
        <f>IFERROR(__xludf.DUMMYFUNCTION("GOOGLETRANSLATE(A21,""zh-tw"",""zh"")"),"魔力小凝胶")</f>
        <v>魔力小凝胶</v>
      </c>
      <c r="H21" s="167" t="str">
        <f>IFERROR(__xludf.DUMMYFUNCTION("GOOGLETRANSLATE(B21,""zh-tw"",""zh"")"),"扩充格子")</f>
        <v>扩充格子</v>
      </c>
      <c r="I21" s="399" t="s">
        <v>9261</v>
      </c>
      <c r="J21" s="167" t="s">
        <v>9262</v>
      </c>
      <c r="K21" s="400" t="s">
        <v>9263</v>
      </c>
      <c r="L21" s="198" t="str">
        <f>IFERROR(__xludf.DUMMYFUNCTION("GOOGLETRANSLATE(B21,""zh-tw"",""KO"")"),"그리드를 확장하세요")</f>
        <v>그리드를 확장하세요</v>
      </c>
      <c r="M21" s="403" t="s">
        <v>9264</v>
      </c>
      <c r="N21" s="198" t="s">
        <v>9265</v>
      </c>
      <c r="O21" s="399" t="s">
        <v>9266</v>
      </c>
      <c r="P21" s="167" t="s">
        <v>9267</v>
      </c>
      <c r="Q21" s="404" t="s">
        <v>9268</v>
      </c>
      <c r="R21" s="155" t="s">
        <v>9269</v>
      </c>
      <c r="S21" s="403" t="s">
        <v>9270</v>
      </c>
      <c r="T21" s="198" t="s">
        <v>9271</v>
      </c>
      <c r="U21" s="399" t="s">
        <v>9272</v>
      </c>
      <c r="V21" s="167" t="s">
        <v>9273</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9274</v>
      </c>
      <c r="B22" s="167" t="s">
        <v>9275</v>
      </c>
      <c r="C22" s="399" t="str">
        <f>IFERROR(__xludf.DUMMYFUNCTION("GOOGLETRANSLATE(A22,""zh-tw"",""ja"")"),"寿司プリン")</f>
        <v>寿司プリン</v>
      </c>
      <c r="D22" s="167" t="s">
        <v>9276</v>
      </c>
      <c r="E22" s="399" t="s">
        <v>9277</v>
      </c>
      <c r="F22" s="167" t="s">
        <v>9278</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9279</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9280</v>
      </c>
      <c r="N22" s="198" t="s">
        <v>9281</v>
      </c>
      <c r="O22" s="399" t="s">
        <v>9277</v>
      </c>
      <c r="P22" s="167" t="s">
        <v>9282</v>
      </c>
      <c r="Q22" s="404" t="s">
        <v>9277</v>
      </c>
      <c r="R22" s="155" t="s">
        <v>9283</v>
      </c>
      <c r="S22" s="403" t="s">
        <v>9284</v>
      </c>
      <c r="T22" s="198" t="s">
        <v>9285</v>
      </c>
      <c r="U22" s="399" t="s">
        <v>9286</v>
      </c>
      <c r="V22" s="167" t="s">
        <v>9287</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9288</v>
      </c>
      <c r="B23" s="167" t="s">
        <v>9289</v>
      </c>
      <c r="C23" s="399" t="s">
        <v>9290</v>
      </c>
      <c r="D23" s="167" t="s">
        <v>9291</v>
      </c>
      <c r="E23" s="399" t="s">
        <v>9292</v>
      </c>
      <c r="F23" s="167" t="s">
        <v>9293</v>
      </c>
      <c r="G23" s="399" t="str">
        <f>IFERROR(__xludf.DUMMYFUNCTION("GOOGLETRANSLATE(A23,""zh-tw"",""zh"")"),"电风扇")</f>
        <v>电风扇</v>
      </c>
      <c r="H23" s="167" t="str">
        <f>IFERROR(__xludf.DUMMYFUNCTION("GOOGLETRANSLATE(B23,""zh-tw"",""zh"")"),"炎热剧情道具
(战车商店贩售)")</f>
        <v>炎热剧情道具
(战车商店贩售)</v>
      </c>
      <c r="I23" s="399" t="s">
        <v>9294</v>
      </c>
      <c r="J23" s="167" t="s">
        <v>9295</v>
      </c>
      <c r="K23" s="403" t="str">
        <f>IFERROR(__xludf.DUMMYFUNCTION("GOOGLETRANSLATE(A23,""zh-tw"",""KO"")"),"선풍기")</f>
        <v>선풍기</v>
      </c>
      <c r="L23" s="167" t="s">
        <v>9296</v>
      </c>
      <c r="M23" s="403" t="s">
        <v>9297</v>
      </c>
      <c r="N23" s="198" t="s">
        <v>9298</v>
      </c>
      <c r="O23" s="399" t="s">
        <v>9299</v>
      </c>
      <c r="P23" s="167" t="s">
        <v>9300</v>
      </c>
      <c r="Q23" s="404" t="s">
        <v>9301</v>
      </c>
      <c r="R23" s="155" t="s">
        <v>9302</v>
      </c>
      <c r="S23" s="403" t="s">
        <v>9303</v>
      </c>
      <c r="T23" s="198" t="s">
        <v>9304</v>
      </c>
      <c r="U23" s="399" t="s">
        <v>9305</v>
      </c>
      <c r="V23" s="167" t="s">
        <v>9306</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7498</v>
      </c>
      <c r="C24" s="166" t="str">
        <f>IFERROR(__xludf.DUMMYFUNCTION("GOOGLETRANSLATE(A24,""zh-tw"",""ja"")"),"紫色の質")</f>
        <v>紫色の質</v>
      </c>
      <c r="E24" s="166" t="s">
        <v>7499</v>
      </c>
      <c r="G24" s="166" t="s">
        <v>7500</v>
      </c>
      <c r="I24" s="166"/>
      <c r="K24" s="166"/>
      <c r="M24" s="166" t="s">
        <v>7501</v>
      </c>
      <c r="O24" s="166"/>
      <c r="Q24" s="166"/>
      <c r="S24" s="166" t="s">
        <v>7502</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9307</v>
      </c>
      <c r="B25" s="167" t="s">
        <v>9308</v>
      </c>
      <c r="C25" s="399" t="s">
        <v>9309</v>
      </c>
      <c r="D25" s="167" t="s">
        <v>9310</v>
      </c>
      <c r="E25" s="399" t="s">
        <v>9311</v>
      </c>
      <c r="F25" s="167" t="s">
        <v>9312</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9313</v>
      </c>
      <c r="K25" s="399" t="s">
        <v>9314</v>
      </c>
      <c r="L25" s="167" t="s">
        <v>9315</v>
      </c>
      <c r="M25" s="403" t="s">
        <v>9316</v>
      </c>
      <c r="N25" s="198" t="s">
        <v>9317</v>
      </c>
      <c r="O25" s="399" t="s">
        <v>9318</v>
      </c>
      <c r="P25" s="167" t="s">
        <v>9319</v>
      </c>
      <c r="Q25" s="404" t="s">
        <v>9320</v>
      </c>
      <c r="R25" s="155" t="s">
        <v>9321</v>
      </c>
      <c r="S25" s="399" t="s">
        <v>9322</v>
      </c>
      <c r="T25" s="198" t="s">
        <v>9323</v>
      </c>
      <c r="U25" s="399" t="s">
        <v>9324</v>
      </c>
      <c r="V25" s="167" t="s">
        <v>9325</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9326</v>
      </c>
      <c r="B26" s="167" t="s">
        <v>9327</v>
      </c>
      <c r="C26" s="399" t="s">
        <v>9328</v>
      </c>
      <c r="D26" s="167" t="s">
        <v>9329</v>
      </c>
      <c r="E26" s="399" t="s">
        <v>9330</v>
      </c>
      <c r="F26" s="167" t="s">
        <v>9331</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9332</v>
      </c>
      <c r="K26" s="399" t="s">
        <v>9333</v>
      </c>
      <c r="L26" s="167" t="s">
        <v>9334</v>
      </c>
      <c r="M26" s="403" t="s">
        <v>9335</v>
      </c>
      <c r="N26" s="198" t="s">
        <v>9336</v>
      </c>
      <c r="O26" s="399" t="s">
        <v>9337</v>
      </c>
      <c r="P26" s="167" t="s">
        <v>9338</v>
      </c>
      <c r="Q26" s="404" t="s">
        <v>9339</v>
      </c>
      <c r="R26" s="155" t="s">
        <v>9340</v>
      </c>
      <c r="S26" s="399" t="s">
        <v>9341</v>
      </c>
      <c r="T26" s="198" t="s">
        <v>9342</v>
      </c>
      <c r="U26" s="399" t="s">
        <v>9343</v>
      </c>
      <c r="V26" s="167" t="s">
        <v>9344</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9345</v>
      </c>
      <c r="B27" s="167" t="s">
        <v>9346</v>
      </c>
      <c r="C27" s="399" t="s">
        <v>9347</v>
      </c>
      <c r="D27" s="167" t="s">
        <v>1067</v>
      </c>
      <c r="E27" s="399" t="s">
        <v>9348</v>
      </c>
      <c r="F27" s="167" t="s">
        <v>9349</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9350</v>
      </c>
      <c r="K27" s="399" t="s">
        <v>9351</v>
      </c>
      <c r="L27" s="198" t="str">
        <f>IFERROR(__xludf.DUMMYFUNCTION("GOOGLETRANSLATE(B27,""zh-tw"",""KO"")"),"해당 효과는 아직 적용되지 않았습니다.")</f>
        <v>해당 효과는 아직 적용되지 않았습니다.</v>
      </c>
      <c r="M27" s="403" t="s">
        <v>9352</v>
      </c>
      <c r="N27" s="198" t="s">
        <v>9353</v>
      </c>
      <c r="O27" s="399" t="s">
        <v>9354</v>
      </c>
      <c r="P27" s="167" t="s">
        <v>5422</v>
      </c>
      <c r="Q27" s="404" t="s">
        <v>9355</v>
      </c>
      <c r="R27" s="155" t="s">
        <v>9356</v>
      </c>
      <c r="S27" s="403" t="s">
        <v>9357</v>
      </c>
      <c r="T27" s="198" t="s">
        <v>9358</v>
      </c>
      <c r="U27" s="399" t="s">
        <v>9359</v>
      </c>
      <c r="V27" s="167" t="s">
        <v>1656</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9360</v>
      </c>
      <c r="B28" s="167" t="s">
        <v>9361</v>
      </c>
      <c r="C28" s="399" t="s">
        <v>9362</v>
      </c>
      <c r="D28" s="167" t="s">
        <v>9363</v>
      </c>
      <c r="E28" s="399" t="s">
        <v>9364</v>
      </c>
      <c r="F28" s="167" t="s">
        <v>9365</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9366</v>
      </c>
      <c r="J28" s="167" t="s">
        <v>9367</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9368</v>
      </c>
      <c r="N28" s="198" t="s">
        <v>9369</v>
      </c>
      <c r="O28" s="399" t="s">
        <v>9370</v>
      </c>
      <c r="P28" s="167" t="s">
        <v>9371</v>
      </c>
      <c r="Q28" s="404" t="s">
        <v>9372</v>
      </c>
      <c r="R28" s="155" t="s">
        <v>9373</v>
      </c>
      <c r="S28" s="403" t="s">
        <v>9374</v>
      </c>
      <c r="T28" s="198" t="s">
        <v>9375</v>
      </c>
      <c r="U28" s="399" t="s">
        <v>9376</v>
      </c>
      <c r="V28" s="167" t="s">
        <v>9377</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9378</v>
      </c>
      <c r="B29" s="167" t="s">
        <v>9224</v>
      </c>
      <c r="C29" s="399" t="s">
        <v>9379</v>
      </c>
      <c r="D29" s="167" t="s">
        <v>9380</v>
      </c>
      <c r="E29" s="399" t="s">
        <v>9381</v>
      </c>
      <c r="F29" s="167" t="s">
        <v>1390</v>
      </c>
      <c r="G29" s="399" t="str">
        <f>IFERROR(__xludf.DUMMYFUNCTION("GOOGLETRANSLATE(A29,""zh-tw"",""zh"")"),"火菱石")</f>
        <v>火菱石</v>
      </c>
      <c r="H29" s="167" t="str">
        <f>IFERROR(__xludf.DUMMYFUNCTION("GOOGLETRANSLATE(B29,""zh-tw"",""zh"")"),"目前没有兑换方式
(宝石)")</f>
        <v>目前没有兑换方式
(宝石)</v>
      </c>
      <c r="I29" s="399" t="s">
        <v>9382</v>
      </c>
      <c r="J29" s="167" t="s">
        <v>9383</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9384</v>
      </c>
      <c r="N29" s="198" t="s">
        <v>9231</v>
      </c>
      <c r="O29" s="399" t="s">
        <v>9385</v>
      </c>
      <c r="P29" s="167" t="s">
        <v>9386</v>
      </c>
      <c r="Q29" s="399" t="s">
        <v>9387</v>
      </c>
      <c r="R29" s="155" t="s">
        <v>1250</v>
      </c>
      <c r="S29" s="427" t="s">
        <v>9381</v>
      </c>
      <c r="T29" s="198" t="s">
        <v>9388</v>
      </c>
      <c r="U29" s="399" t="s">
        <v>9389</v>
      </c>
      <c r="V29" s="167" t="s">
        <v>1656</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9390</v>
      </c>
      <c r="B30" s="167" t="s">
        <v>9125</v>
      </c>
      <c r="C30" s="399" t="str">
        <f>IFERROR(__xludf.DUMMYFUNCTION("GOOGLETRANSLATE(A30,""zh-tw"",""ja"")"),"ポラロイド 16～23")</f>
        <v>ポラロイド 16～23</v>
      </c>
      <c r="D30" s="167" t="s">
        <v>9126</v>
      </c>
      <c r="E30" s="399" t="s">
        <v>9391</v>
      </c>
      <c r="F30" s="167" t="s">
        <v>9128</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9129</v>
      </c>
      <c r="K30" s="403" t="str">
        <f>IFERROR(__xludf.DUMMYFUNCTION("GOOGLETRANSLATE(A30,""zh-tw"",""KO"")"),"폴라로이드 16~23")</f>
        <v>폴라로이드 16~23</v>
      </c>
      <c r="L30" s="198" t="str">
        <f>IFERROR(__xludf.DUMMYFUNCTION("GOOGLETRANSLATE(B30,""zh-tw"",""KO"")"),"고화질 사진을 보세요")</f>
        <v>고화질 사진을 보세요</v>
      </c>
      <c r="M30" s="399" t="s">
        <v>9392</v>
      </c>
      <c r="N30" s="198" t="s">
        <v>9131</v>
      </c>
      <c r="O30" s="399" t="s">
        <v>9393</v>
      </c>
      <c r="P30" s="167" t="s">
        <v>9133</v>
      </c>
      <c r="Q30" s="399" t="s">
        <v>9394</v>
      </c>
      <c r="R30" s="155" t="s">
        <v>9134</v>
      </c>
      <c r="S30" s="399" t="s">
        <v>9394</v>
      </c>
      <c r="T30" s="198" t="s">
        <v>9135</v>
      </c>
      <c r="U30" s="399" t="s">
        <v>9394</v>
      </c>
      <c r="V30" s="167" t="s">
        <v>9136</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9395</v>
      </c>
      <c r="B31" s="198" t="s">
        <v>9396</v>
      </c>
      <c r="C31" s="403" t="s">
        <v>9397</v>
      </c>
      <c r="D31" s="198" t="s">
        <v>9398</v>
      </c>
      <c r="E31" s="403" t="s">
        <v>9399</v>
      </c>
      <c r="F31" s="198" t="s">
        <v>9400</v>
      </c>
      <c r="G31" s="403" t="s">
        <v>9401</v>
      </c>
      <c r="H31" s="198" t="s">
        <v>9402</v>
      </c>
      <c r="I31" s="403" t="str">
        <f>IFERROR(__xludf.DUMMYFUNCTION("GOOGLETRANSLATE(A31,""zh-tw"",""es-MX"")"),"Cinta de vídeo de terror")</f>
        <v>Cinta de vídeo de terror</v>
      </c>
      <c r="J31" s="167" t="s">
        <v>9403</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9404</v>
      </c>
      <c r="N31" s="198" t="s">
        <v>9405</v>
      </c>
      <c r="O31" s="399" t="s">
        <v>9406</v>
      </c>
      <c r="P31" s="167" t="s">
        <v>9407</v>
      </c>
      <c r="Q31" s="434" t="s">
        <v>9408</v>
      </c>
      <c r="R31" s="435" t="s">
        <v>9409</v>
      </c>
      <c r="S31" s="403" t="s">
        <v>9410</v>
      </c>
      <c r="T31" s="198" t="s">
        <v>9411</v>
      </c>
      <c r="U31" s="399" t="s">
        <v>9412</v>
      </c>
      <c r="V31" s="167" t="s">
        <v>9413</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9414</v>
      </c>
      <c r="B32" s="198" t="s">
        <v>9396</v>
      </c>
      <c r="C32" s="403" t="s">
        <v>9415</v>
      </c>
      <c r="D32" s="198" t="s">
        <v>9398</v>
      </c>
      <c r="E32" s="403" t="s">
        <v>9416</v>
      </c>
      <c r="F32" s="198" t="s">
        <v>9400</v>
      </c>
      <c r="G32" s="403" t="s">
        <v>9417</v>
      </c>
      <c r="H32" s="198" t="s">
        <v>9402</v>
      </c>
      <c r="I32" s="399" t="s">
        <v>9418</v>
      </c>
      <c r="J32" s="167" t="s">
        <v>9403</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9419</v>
      </c>
      <c r="N32" s="198" t="s">
        <v>9405</v>
      </c>
      <c r="O32" s="399" t="s">
        <v>9420</v>
      </c>
      <c r="P32" s="167" t="s">
        <v>9407</v>
      </c>
      <c r="Q32" s="434" t="s">
        <v>9421</v>
      </c>
      <c r="R32" s="435" t="s">
        <v>9409</v>
      </c>
      <c r="S32" s="403" t="s">
        <v>9422</v>
      </c>
      <c r="T32" s="198" t="s">
        <v>9411</v>
      </c>
      <c r="U32" s="399" t="s">
        <v>9423</v>
      </c>
      <c r="V32" s="167" t="s">
        <v>9413</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9424</v>
      </c>
      <c r="B33" s="167" t="s">
        <v>9425</v>
      </c>
      <c r="C33" s="399" t="s">
        <v>9426</v>
      </c>
      <c r="D33" s="167"/>
      <c r="E33" s="399" t="s">
        <v>3583</v>
      </c>
      <c r="F33" s="167"/>
      <c r="G33" s="399" t="s">
        <v>9424</v>
      </c>
      <c r="H33" s="167" t="s">
        <v>9427</v>
      </c>
      <c r="I33" s="399"/>
      <c r="J33" s="167"/>
      <c r="K33" s="399"/>
      <c r="L33" s="167"/>
      <c r="M33" s="399" t="s">
        <v>9428</v>
      </c>
      <c r="N33" s="198"/>
      <c r="O33" s="399"/>
      <c r="P33" s="167"/>
      <c r="Q33" s="404"/>
      <c r="R33" s="155"/>
      <c r="S33" s="399" t="s">
        <v>3583</v>
      </c>
      <c r="T33" s="167" t="s">
        <v>9429</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9430</v>
      </c>
      <c r="B34" s="167" t="s">
        <v>9431</v>
      </c>
      <c r="C34" s="399" t="s">
        <v>9432</v>
      </c>
      <c r="D34" s="167" t="s">
        <v>9433</v>
      </c>
      <c r="E34" s="399" t="s">
        <v>9434</v>
      </c>
      <c r="F34" s="167" t="s">
        <v>9435</v>
      </c>
      <c r="G34" s="399" t="str">
        <f>IFERROR(__xludf.DUMMYFUNCTION("GOOGLETRANSLATE(A34,""zh-tw"",""zh"")"),"封存的时计")</f>
        <v>封存的时计</v>
      </c>
      <c r="H34" s="167" t="str">
        <f>IFERROR(__xludf.DUMMYFUNCTION("GOOGLETRANSLATE(B34,""zh-tw"",""zh"")"),"范围暂停")</f>
        <v>范围暂停</v>
      </c>
      <c r="I34" s="399" t="s">
        <v>9436</v>
      </c>
      <c r="J34" s="167" t="s">
        <v>9437</v>
      </c>
      <c r="K34" s="399" t="s">
        <v>9438</v>
      </c>
      <c r="L34" s="167" t="s">
        <v>9439</v>
      </c>
      <c r="M34" s="403" t="s">
        <v>9440</v>
      </c>
      <c r="N34" s="198" t="s">
        <v>9441</v>
      </c>
      <c r="O34" s="399" t="s">
        <v>9442</v>
      </c>
      <c r="P34" s="167" t="s">
        <v>9443</v>
      </c>
      <c r="Q34" s="404" t="s">
        <v>9444</v>
      </c>
      <c r="R34" s="155" t="s">
        <v>9445</v>
      </c>
      <c r="S34" s="403" t="s">
        <v>9446</v>
      </c>
      <c r="T34" s="198" t="s">
        <v>9447</v>
      </c>
      <c r="U34" s="399" t="s">
        <v>9448</v>
      </c>
      <c r="V34" s="167" t="s">
        <v>9449</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9450</v>
      </c>
      <c r="B35" s="391" t="s">
        <v>9451</v>
      </c>
      <c r="C35" s="403"/>
      <c r="D35" s="167" t="s">
        <v>9452</v>
      </c>
      <c r="E35" s="399" t="s">
        <v>9453</v>
      </c>
      <c r="F35" s="167" t="s">
        <v>9454</v>
      </c>
      <c r="G35" s="399" t="s">
        <v>9455</v>
      </c>
      <c r="H35" s="167" t="s">
        <v>9456</v>
      </c>
      <c r="I35" s="411"/>
      <c r="J35" s="142"/>
      <c r="K35" s="411"/>
      <c r="L35" s="142"/>
      <c r="M35" s="399" t="s">
        <v>9457</v>
      </c>
      <c r="N35" s="167" t="s">
        <v>9458</v>
      </c>
      <c r="O35" s="403"/>
      <c r="P35" s="198"/>
      <c r="Q35" s="399" t="s">
        <v>9459</v>
      </c>
      <c r="R35" s="167" t="s">
        <v>9460</v>
      </c>
      <c r="S35" s="399" t="s">
        <v>9461</v>
      </c>
      <c r="T35" s="167" t="s">
        <v>9462</v>
      </c>
      <c r="U35" s="403"/>
      <c r="V35" s="167" t="s">
        <v>9463</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9464</v>
      </c>
      <c r="B36" s="167" t="s">
        <v>9465</v>
      </c>
      <c r="C36" s="403"/>
      <c r="D36" s="198"/>
      <c r="E36" s="399" t="s">
        <v>9466</v>
      </c>
      <c r="F36" s="167" t="s">
        <v>9467</v>
      </c>
      <c r="G36" s="399" t="s">
        <v>9468</v>
      </c>
      <c r="H36" s="167" t="s">
        <v>9469</v>
      </c>
      <c r="I36" s="411"/>
      <c r="J36" s="142"/>
      <c r="K36" s="411"/>
      <c r="L36" s="142"/>
      <c r="M36" s="399" t="s">
        <v>9470</v>
      </c>
      <c r="N36" s="167" t="s">
        <v>9471</v>
      </c>
      <c r="O36" s="403"/>
      <c r="P36" s="198"/>
      <c r="Q36" s="399" t="s">
        <v>9472</v>
      </c>
      <c r="R36" s="167" t="s">
        <v>9473</v>
      </c>
      <c r="S36" s="403" t="s">
        <v>9474</v>
      </c>
      <c r="T36" s="167" t="s">
        <v>9475</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7663</v>
      </c>
      <c r="C37" s="166" t="str">
        <f>IFERROR(__xludf.DUMMYFUNCTION("GOOGLETRANSLATE(A37,""zh-tw"",""ja"")"),"ピンクの品質")</f>
        <v>ピンクの品質</v>
      </c>
      <c r="E37" s="166" t="s">
        <v>7664</v>
      </c>
      <c r="G37" s="166" t="s">
        <v>7665</v>
      </c>
      <c r="I37" s="166"/>
      <c r="K37" s="166"/>
      <c r="M37" s="166" t="s">
        <v>7666</v>
      </c>
      <c r="O37" s="166"/>
      <c r="Q37" s="166"/>
      <c r="S37" s="166" t="s">
        <v>7667</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9476</v>
      </c>
      <c r="B38" s="391" t="s">
        <v>9477</v>
      </c>
      <c r="C38" s="399"/>
      <c r="D38" s="167"/>
      <c r="E38" s="399" t="s">
        <v>9478</v>
      </c>
      <c r="F38" s="167" t="s">
        <v>9479</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9480</v>
      </c>
      <c r="N38" s="167" t="s">
        <v>9481</v>
      </c>
      <c r="O38" s="399"/>
      <c r="P38" s="167"/>
      <c r="Q38" s="399" t="s">
        <v>9482</v>
      </c>
      <c r="R38" s="167" t="s">
        <v>9483</v>
      </c>
      <c r="S38" s="399" t="s">
        <v>9484</v>
      </c>
      <c r="T38" s="167" t="s">
        <v>9485</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9486</v>
      </c>
      <c r="B39" s="167" t="s">
        <v>9487</v>
      </c>
      <c r="C39" s="399" t="s">
        <v>9488</v>
      </c>
      <c r="D39" s="167" t="s">
        <v>9489</v>
      </c>
      <c r="E39" s="399" t="s">
        <v>9490</v>
      </c>
      <c r="F39" s="167" t="s">
        <v>9491</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9492</v>
      </c>
      <c r="K39" s="399" t="s">
        <v>9493</v>
      </c>
      <c r="L39" s="167" t="s">
        <v>9494</v>
      </c>
      <c r="M39" s="403" t="s">
        <v>9495</v>
      </c>
      <c r="N39" s="198" t="s">
        <v>9496</v>
      </c>
      <c r="O39" s="399" t="s">
        <v>9497</v>
      </c>
      <c r="P39" s="167" t="s">
        <v>9498</v>
      </c>
      <c r="Q39" s="404" t="s">
        <v>9490</v>
      </c>
      <c r="R39" s="155" t="s">
        <v>9499</v>
      </c>
      <c r="S39" s="403" t="s">
        <v>9500</v>
      </c>
      <c r="T39" s="198" t="s">
        <v>9501</v>
      </c>
      <c r="U39" s="399" t="s">
        <v>9502</v>
      </c>
      <c r="V39" s="167" t="s">
        <v>9503</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9504</v>
      </c>
      <c r="B40" s="167" t="s">
        <v>9505</v>
      </c>
      <c r="C40" s="399" t="s">
        <v>9506</v>
      </c>
      <c r="D40" s="167" t="s">
        <v>9507</v>
      </c>
      <c r="E40" s="399" t="s">
        <v>9508</v>
      </c>
      <c r="F40" s="167" t="s">
        <v>9509</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9510</v>
      </c>
      <c r="K40" s="403" t="str">
        <f>IFERROR(__xludf.DUMMYFUNCTION("GOOGLETRANSLATE(A40,""zh-tw"",""KO"")"),"타로 - 황제 카드")</f>
        <v>타로 - 황제 카드</v>
      </c>
      <c r="L40" s="167" t="s">
        <v>9511</v>
      </c>
      <c r="M40" s="403" t="s">
        <v>9512</v>
      </c>
      <c r="N40" s="198" t="s">
        <v>9513</v>
      </c>
      <c r="O40" s="399" t="s">
        <v>9514</v>
      </c>
      <c r="P40" s="167" t="s">
        <v>9515</v>
      </c>
      <c r="Q40" s="404" t="s">
        <v>9508</v>
      </c>
      <c r="R40" s="155" t="s">
        <v>9516</v>
      </c>
      <c r="S40" s="403" t="s">
        <v>9517</v>
      </c>
      <c r="T40" s="198" t="s">
        <v>9518</v>
      </c>
      <c r="U40" s="399" t="s">
        <v>9519</v>
      </c>
      <c r="V40" s="167" t="s">
        <v>9520</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9521</v>
      </c>
      <c r="B41" s="167" t="s">
        <v>9522</v>
      </c>
      <c r="C41" s="399" t="s">
        <v>9523</v>
      </c>
      <c r="D41" s="167" t="s">
        <v>9524</v>
      </c>
      <c r="E41" s="399" t="s">
        <v>9525</v>
      </c>
      <c r="F41" s="167" t="s">
        <v>9526</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IFERROR(__xludf.DUMMYFUNCTION("GOOGLETRANSLATE(A41,""zh-tw"",""es-MX"")"),"Carta del Tarot - El Carro")</f>
        <v>Carta del Tarot - El Carro</v>
      </c>
      <c r="J41" s="167" t="s">
        <v>9527</v>
      </c>
      <c r="K41" s="399" t="s">
        <v>9528</v>
      </c>
      <c r="L41" s="198" t="str">
        <f>IFERROR(__xludf.DUMMYFUNCTION("GOOGLETRANSLATE(B41,""zh-tw"",""KO"")"),"고양이 소녀 상점 카트를 소환하세요")</f>
        <v>고양이 소녀 상점 카트를 소환하세요</v>
      </c>
      <c r="M41" s="403" t="s">
        <v>9529</v>
      </c>
      <c r="N41" s="198" t="s">
        <v>9530</v>
      </c>
      <c r="O41" s="399" t="s">
        <v>9531</v>
      </c>
      <c r="P41" s="167" t="s">
        <v>9532</v>
      </c>
      <c r="Q41" s="404" t="s">
        <v>9525</v>
      </c>
      <c r="R41" s="155" t="s">
        <v>9533</v>
      </c>
      <c r="S41" s="403" t="s">
        <v>9534</v>
      </c>
      <c r="T41" s="198" t="s">
        <v>9535</v>
      </c>
      <c r="U41" s="399" t="s">
        <v>9536</v>
      </c>
      <c r="V41" s="167" t="s">
        <v>9537</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9538</v>
      </c>
      <c r="B42" s="167" t="s">
        <v>9539</v>
      </c>
      <c r="C42" s="399" t="s">
        <v>9540</v>
      </c>
      <c r="D42" s="167" t="s">
        <v>9541</v>
      </c>
      <c r="E42" s="399" t="s">
        <v>9542</v>
      </c>
      <c r="F42" s="167" t="s">
        <v>9543</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9544</v>
      </c>
      <c r="K42" s="403" t="str">
        <f>IFERROR(__xludf.DUMMYFUNCTION("GOOGLETRANSLATE(A42,""zh-tw"",""KO"")"),"타로 카드 - 힘")</f>
        <v>타로 카드 - 힘</v>
      </c>
      <c r="L42" s="167" t="s">
        <v>9545</v>
      </c>
      <c r="M42" s="403" t="s">
        <v>9546</v>
      </c>
      <c r="N42" s="198" t="s">
        <v>9547</v>
      </c>
      <c r="O42" s="399" t="s">
        <v>9548</v>
      </c>
      <c r="P42" s="167" t="s">
        <v>9549</v>
      </c>
      <c r="Q42" s="404" t="s">
        <v>9542</v>
      </c>
      <c r="R42" s="155" t="s">
        <v>9550</v>
      </c>
      <c r="S42" s="403" t="s">
        <v>9551</v>
      </c>
      <c r="T42" s="198" t="s">
        <v>9552</v>
      </c>
      <c r="U42" s="399" t="s">
        <v>9553</v>
      </c>
      <c r="V42" s="167" t="s">
        <v>9554</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9555</v>
      </c>
      <c r="B43" s="167" t="s">
        <v>9556</v>
      </c>
      <c r="C43" s="399" t="s">
        <v>9557</v>
      </c>
      <c r="D43" s="167" t="s">
        <v>9558</v>
      </c>
      <c r="E43" s="399" t="s">
        <v>9559</v>
      </c>
      <c r="F43" s="167" t="s">
        <v>9560</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Rueda de la fortuna")</f>
        <v>Tarot - Rueda de la fortuna</v>
      </c>
      <c r="J43" s="167" t="s">
        <v>9561</v>
      </c>
      <c r="K43" s="399" t="s">
        <v>9562</v>
      </c>
      <c r="L43" s="167" t="s">
        <v>9563</v>
      </c>
      <c r="M43" s="403" t="s">
        <v>9564</v>
      </c>
      <c r="N43" s="198" t="s">
        <v>9565</v>
      </c>
      <c r="O43" s="399" t="s">
        <v>9566</v>
      </c>
      <c r="P43" s="167" t="s">
        <v>9567</v>
      </c>
      <c r="Q43" s="404" t="s">
        <v>9559</v>
      </c>
      <c r="R43" s="155" t="s">
        <v>9568</v>
      </c>
      <c r="S43" s="403" t="s">
        <v>9569</v>
      </c>
      <c r="T43" s="198" t="s">
        <v>9570</v>
      </c>
      <c r="U43" s="399" t="s">
        <v>9571</v>
      </c>
      <c r="V43" s="167" t="s">
        <v>9572</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9573</v>
      </c>
      <c r="B44" s="167" t="s">
        <v>9574</v>
      </c>
      <c r="C44" s="399" t="s">
        <v>9575</v>
      </c>
      <c r="D44" s="167" t="s">
        <v>9576</v>
      </c>
      <c r="E44" s="399" t="s">
        <v>9577</v>
      </c>
      <c r="F44" s="167" t="s">
        <v>9578</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9579</v>
      </c>
      <c r="K44" s="399" t="s">
        <v>9580</v>
      </c>
      <c r="L44" s="202" t="s">
        <v>9581</v>
      </c>
      <c r="M44" s="403" t="s">
        <v>9582</v>
      </c>
      <c r="N44" s="198" t="s">
        <v>9583</v>
      </c>
      <c r="O44" s="399" t="s">
        <v>9584</v>
      </c>
      <c r="P44" s="167" t="s">
        <v>9585</v>
      </c>
      <c r="Q44" s="404" t="s">
        <v>9577</v>
      </c>
      <c r="R44" s="167" t="s">
        <v>9586</v>
      </c>
      <c r="S44" s="403" t="s">
        <v>9587</v>
      </c>
      <c r="T44" s="198" t="s">
        <v>9588</v>
      </c>
      <c r="U44" s="399" t="s">
        <v>9589</v>
      </c>
      <c r="V44" s="167" t="s">
        <v>9590</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9591</v>
      </c>
      <c r="B45" s="167" t="s">
        <v>9592</v>
      </c>
      <c r="C45" s="404" t="s">
        <v>9593</v>
      </c>
      <c r="D45" s="167" t="s">
        <v>9594</v>
      </c>
      <c r="E45" s="404" t="s">
        <v>9595</v>
      </c>
      <c r="F45" s="155" t="s">
        <v>9596</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9597</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9598</v>
      </c>
      <c r="N45" s="198" t="s">
        <v>9599</v>
      </c>
      <c r="O45" s="399" t="s">
        <v>9600</v>
      </c>
      <c r="P45" s="167" t="s">
        <v>9601</v>
      </c>
      <c r="Q45" s="404" t="s">
        <v>9595</v>
      </c>
      <c r="R45" s="155" t="s">
        <v>9602</v>
      </c>
      <c r="S45" s="403" t="s">
        <v>9603</v>
      </c>
      <c r="T45" s="198" t="s">
        <v>9604</v>
      </c>
      <c r="U45" s="399" t="s">
        <v>9605</v>
      </c>
      <c r="V45" s="167" t="s">
        <v>9606</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9607</v>
      </c>
      <c r="B46" s="167" t="s">
        <v>9608</v>
      </c>
      <c r="C46" s="399" t="s">
        <v>9609</v>
      </c>
      <c r="D46" s="167" t="s">
        <v>9610</v>
      </c>
      <c r="E46" s="399" t="s">
        <v>9611</v>
      </c>
      <c r="F46" s="167" t="s">
        <v>9612</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9613</v>
      </c>
      <c r="K46" s="399" t="s">
        <v>9614</v>
      </c>
      <c r="L46" s="198" t="str">
        <f>IFERROR(__xludf.DUMMYFUNCTION("GOOGLETRANSLATE(B46,""zh-tw"",""KO"")"),"가샤폰 소환기")</f>
        <v>가샤폰 소환기</v>
      </c>
      <c r="M46" s="403" t="s">
        <v>9615</v>
      </c>
      <c r="N46" s="198" t="s">
        <v>9616</v>
      </c>
      <c r="O46" s="399" t="s">
        <v>9617</v>
      </c>
      <c r="P46" s="167" t="s">
        <v>9618</v>
      </c>
      <c r="Q46" s="404" t="s">
        <v>9611</v>
      </c>
      <c r="R46" s="155" t="s">
        <v>9619</v>
      </c>
      <c r="S46" s="403" t="s">
        <v>9620</v>
      </c>
      <c r="T46" s="198" t="s">
        <v>9621</v>
      </c>
      <c r="U46" s="399" t="s">
        <v>9622</v>
      </c>
      <c r="V46" s="167" t="s">
        <v>9623</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9624</v>
      </c>
      <c r="B47" s="198" t="s">
        <v>9625</v>
      </c>
      <c r="C47" s="403" t="s">
        <v>9626</v>
      </c>
      <c r="D47" s="198" t="s">
        <v>9627</v>
      </c>
      <c r="E47" s="403" t="s">
        <v>9628</v>
      </c>
      <c r="F47" s="198" t="s">
        <v>9629</v>
      </c>
      <c r="G47" s="403" t="s">
        <v>9630</v>
      </c>
      <c r="H47" s="198" t="s">
        <v>9631</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9632</v>
      </c>
      <c r="N47" s="198" t="s">
        <v>9633</v>
      </c>
      <c r="O47" s="403" t="s">
        <v>9634</v>
      </c>
      <c r="P47" s="198" t="s">
        <v>9635</v>
      </c>
      <c r="Q47" s="432" t="s">
        <v>9628</v>
      </c>
      <c r="R47" s="211" t="s">
        <v>9636</v>
      </c>
      <c r="S47" s="403" t="s">
        <v>9637</v>
      </c>
      <c r="T47" s="198" t="s">
        <v>9638</v>
      </c>
      <c r="U47" s="403" t="s">
        <v>9639</v>
      </c>
      <c r="V47" s="198" t="s">
        <v>9640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9641</v>
      </c>
      <c r="B48" s="167" t="s">
        <v>9642</v>
      </c>
      <c r="C48" s="399" t="str">
        <f>IFERROR(__xludf.DUMMYFUNCTION("GOOGLETRANSLATE(A48,""zh-tw"",""ja"")"),"タロット - 星")</f>
        <v>タロット - 星</v>
      </c>
      <c r="D48" s="167" t="s">
        <v>9643</v>
      </c>
      <c r="E48" s="399" t="s">
        <v>9644</v>
      </c>
      <c r="F48" s="167" t="s">
        <v>9645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9646</v>
      </c>
      <c r="K48" s="403" t="str">
        <f>IFERROR(__xludf.DUMMYFUNCTION("GOOGLETRANSLATE(A48,""zh-tw"",""KO"")"),"타로 - 별")</f>
        <v>타로 - 별</v>
      </c>
      <c r="L48" s="167" t="s">
        <v>9647</v>
      </c>
      <c r="M48" s="403" t="s">
        <v>9648</v>
      </c>
      <c r="N48" s="198" t="s">
        <v>9649</v>
      </c>
      <c r="O48" s="399" t="s">
        <v>9650</v>
      </c>
      <c r="P48" s="167" t="s">
        <v>9651</v>
      </c>
      <c r="Q48" s="404" t="s">
        <v>9644</v>
      </c>
      <c r="R48" s="155" t="s">
        <v>9652</v>
      </c>
      <c r="S48" s="403" t="s">
        <v>9653</v>
      </c>
      <c r="T48" s="167" t="s">
        <v>9654</v>
      </c>
      <c r="U48" s="399" t="s">
        <v>9655</v>
      </c>
      <c r="V48" s="167" t="s">
        <v>9656</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9657</v>
      </c>
      <c r="B49" s="167" t="s">
        <v>9658</v>
      </c>
      <c r="C49" s="399" t="s">
        <v>9659</v>
      </c>
      <c r="D49" s="198" t="str">
        <f>IFERROR(__xludf.DUMMYFUNCTION("GOOGLETRANSLATE(B49,""zh-tw"",""ja"")"),"一定時間内に1回復活することができます。")</f>
        <v>一定時間内に1回復活することができます。</v>
      </c>
      <c r="E49" s="399" t="s">
        <v>9660</v>
      </c>
      <c r="F49" s="167" t="s">
        <v>9661</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9662</v>
      </c>
      <c r="K49" s="436" t="s">
        <v>9663</v>
      </c>
      <c r="L49" s="167" t="s">
        <v>9664</v>
      </c>
      <c r="M49" s="403" t="s">
        <v>9665</v>
      </c>
      <c r="N49" s="198" t="s">
        <v>9666</v>
      </c>
      <c r="O49" s="399" t="s">
        <v>9667</v>
      </c>
      <c r="P49" s="167" t="s">
        <v>9668</v>
      </c>
      <c r="Q49" s="404" t="s">
        <v>9660</v>
      </c>
      <c r="R49" s="155" t="s">
        <v>9669</v>
      </c>
      <c r="S49" s="403" t="s">
        <v>9670</v>
      </c>
      <c r="T49" s="198" t="s">
        <v>9671</v>
      </c>
      <c r="U49" s="399" t="s">
        <v>9672</v>
      </c>
      <c r="V49" s="167" t="s">
        <v>9673</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9674</v>
      </c>
      <c r="B50" s="167" t="s">
        <v>9675</v>
      </c>
      <c r="C50" s="399" t="s">
        <v>9676</v>
      </c>
      <c r="D50" s="167" t="s">
        <v>9677</v>
      </c>
      <c r="E50" s="399" t="s">
        <v>9678</v>
      </c>
      <c r="F50" s="167" t="s">
        <v>9679</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9680</v>
      </c>
      <c r="K50" s="403" t="str">
        <f>IFERROR(__xludf.DUMMYFUNCTION("GOOGLETRANSLATE(A50,""zh-tw"",""KO"")"),"타로 - 세계")</f>
        <v>타로 - 세계</v>
      </c>
      <c r="L50" s="167" t="s">
        <v>9681</v>
      </c>
      <c r="M50" s="403" t="s">
        <v>9682</v>
      </c>
      <c r="N50" s="198" t="s">
        <v>9683</v>
      </c>
      <c r="O50" s="399" t="s">
        <v>9684</v>
      </c>
      <c r="P50" s="167" t="s">
        <v>9685</v>
      </c>
      <c r="Q50" s="404" t="s">
        <v>9678</v>
      </c>
      <c r="R50" s="155" t="s">
        <v>9686</v>
      </c>
      <c r="S50" s="403" t="s">
        <v>9687</v>
      </c>
      <c r="T50" s="198" t="s">
        <v>9688</v>
      </c>
      <c r="U50" s="399" t="s">
        <v>9689</v>
      </c>
      <c r="V50" s="167" t="s">
        <v>9690</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9691</v>
      </c>
      <c r="B51" s="167" t="s">
        <v>9692</v>
      </c>
      <c r="C51" s="399" t="s">
        <v>9693</v>
      </c>
      <c r="D51" s="167" t="s">
        <v>9694</v>
      </c>
      <c r="E51" s="399" t="s">
        <v>9695</v>
      </c>
      <c r="F51" s="167" t="s">
        <v>9696</v>
      </c>
      <c r="G51" s="399" t="str">
        <f>IFERROR(__xludf.DUMMYFUNCTION("GOOGLETRANSLATE(A51,""zh-tw"",""zh"")"),"卢恩符文Ansuz")</f>
        <v>卢恩符文Ansuz</v>
      </c>
      <c r="H51" s="167" t="s">
        <v>9697</v>
      </c>
      <c r="I51" s="403" t="str">
        <f>IFERROR(__xludf.DUMMYFUNCTION("GOOGLETRANSLATE(A51,""zh-tw"",""es-MX"")"),"Runa Ansuz")</f>
        <v>Runa Ansuz</v>
      </c>
      <c r="J51" s="167" t="s">
        <v>9698</v>
      </c>
      <c r="K51" s="399" t="s">
        <v>9699</v>
      </c>
      <c r="L51" s="167" t="s">
        <v>9700</v>
      </c>
      <c r="M51" s="403" t="s">
        <v>9701</v>
      </c>
      <c r="N51" s="198" t="s">
        <v>9702</v>
      </c>
      <c r="O51" s="399" t="s">
        <v>9703</v>
      </c>
      <c r="P51" s="167" t="s">
        <v>9704</v>
      </c>
      <c r="Q51" s="399" t="s">
        <v>9705</v>
      </c>
      <c r="R51" s="155" t="s">
        <v>9706</v>
      </c>
      <c r="S51" s="399" t="s">
        <v>9707</v>
      </c>
      <c r="T51" s="198" t="s">
        <v>9708</v>
      </c>
      <c r="U51" s="399" t="s">
        <v>9695</v>
      </c>
      <c r="V51" s="167" t="s">
        <v>9709</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9710</v>
      </c>
      <c r="B52" s="167" t="s">
        <v>9711</v>
      </c>
      <c r="C52" s="399" t="s">
        <v>9712</v>
      </c>
      <c r="D52" s="167" t="s">
        <v>9713</v>
      </c>
      <c r="E52" s="399" t="s">
        <v>9714</v>
      </c>
      <c r="F52" s="167" t="s">
        <v>9715</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9716</v>
      </c>
      <c r="K52" s="399" t="s">
        <v>9717</v>
      </c>
      <c r="L52" s="167" t="s">
        <v>9718</v>
      </c>
      <c r="M52" s="403" t="s">
        <v>9719</v>
      </c>
      <c r="N52" s="198" t="s">
        <v>9720</v>
      </c>
      <c r="O52" s="399" t="s">
        <v>9721</v>
      </c>
      <c r="P52" s="167" t="s">
        <v>9722</v>
      </c>
      <c r="Q52" s="399" t="s">
        <v>9723</v>
      </c>
      <c r="R52" s="155" t="s">
        <v>9724</v>
      </c>
      <c r="S52" s="399" t="s">
        <v>9725</v>
      </c>
      <c r="T52" s="198" t="s">
        <v>9726</v>
      </c>
      <c r="U52" s="399" t="s">
        <v>9714</v>
      </c>
      <c r="V52" s="167" t="s">
        <v>9727</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9728</v>
      </c>
      <c r="B53" s="198" t="s">
        <v>9729</v>
      </c>
      <c r="C53" s="403" t="s">
        <v>9730</v>
      </c>
      <c r="D53" s="198" t="s">
        <v>9731</v>
      </c>
      <c r="E53" s="403" t="s">
        <v>9732</v>
      </c>
      <c r="F53" s="198" t="s">
        <v>9733</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9734</v>
      </c>
      <c r="N53" s="198" t="s">
        <v>9735</v>
      </c>
      <c r="O53" s="403" t="s">
        <v>9732</v>
      </c>
      <c r="P53" s="198" t="s">
        <v>9733</v>
      </c>
      <c r="Q53" s="399" t="s">
        <v>9736</v>
      </c>
      <c r="R53" s="198" t="s">
        <v>9737</v>
      </c>
      <c r="S53" s="399" t="s">
        <v>9738</v>
      </c>
      <c r="T53" s="167" t="s">
        <v>9739</v>
      </c>
      <c r="U53" s="399" t="s">
        <v>9732</v>
      </c>
      <c r="V53" s="167" t="s">
        <v>9740</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9741</v>
      </c>
      <c r="B54" s="167" t="s">
        <v>9742</v>
      </c>
      <c r="C54" s="399" t="s">
        <v>9743</v>
      </c>
      <c r="D54" s="167" t="s">
        <v>9744</v>
      </c>
      <c r="E54" s="399" t="s">
        <v>9745</v>
      </c>
      <c r="F54" s="167" t="s">
        <v>9746</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9747</v>
      </c>
      <c r="K54" s="399" t="s">
        <v>9748</v>
      </c>
      <c r="L54" s="167" t="s">
        <v>9749</v>
      </c>
      <c r="M54" s="403" t="s">
        <v>9750</v>
      </c>
      <c r="N54" s="198" t="s">
        <v>9751</v>
      </c>
      <c r="O54" s="399" t="s">
        <v>9752</v>
      </c>
      <c r="P54" s="167" t="s">
        <v>9753</v>
      </c>
      <c r="Q54" s="399" t="s">
        <v>9754</v>
      </c>
      <c r="R54" s="155" t="s">
        <v>9755</v>
      </c>
      <c r="S54" s="399" t="s">
        <v>9756</v>
      </c>
      <c r="T54" s="198" t="s">
        <v>9757</v>
      </c>
      <c r="U54" s="399" t="s">
        <v>9745</v>
      </c>
      <c r="V54" s="167" t="s">
        <v>9758</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9759</v>
      </c>
      <c r="B55" s="167" t="s">
        <v>9760</v>
      </c>
      <c r="C55" s="399" t="s">
        <v>9761</v>
      </c>
      <c r="D55" s="167" t="s">
        <v>9762</v>
      </c>
      <c r="E55" s="399" t="s">
        <v>9763</v>
      </c>
      <c r="F55" s="167" t="s">
        <v>9764</v>
      </c>
      <c r="G55" s="399" t="str">
        <f>IFERROR(__xludf.DUMMYFUNCTION("GOOGLETRANSLATE(A55,""zh-tw"",""zh"")"),"百合同人本")</f>
        <v>百合同人本</v>
      </c>
      <c r="H55" s="167" t="str">
        <f>IFERROR(__xludf.DUMMYFUNCTION("GOOGLETRANSLATE(B55,""zh-tw"",""zh"")"),"提升性欲
(战车商店贩售)")</f>
        <v>提升性欲
(战车商店贩售)</v>
      </c>
      <c r="I55" s="399" t="s">
        <v>9765</v>
      </c>
      <c r="J55" s="167" t="s">
        <v>9766</v>
      </c>
      <c r="K55" s="403" t="str">
        <f>IFERROR(__xludf.DUMMYFUNCTION("GOOGLETRANSLATE(A55,""zh-tw"",""KO"")"),"바이헤헤헤헤헤")</f>
        <v>바이헤헤헤헤헤</v>
      </c>
      <c r="L55" s="167" t="s">
        <v>9296</v>
      </c>
      <c r="M55" s="403" t="s">
        <v>9767</v>
      </c>
      <c r="N55" s="155" t="s">
        <v>9768</v>
      </c>
      <c r="O55" s="399" t="s">
        <v>9299</v>
      </c>
      <c r="P55" s="167" t="s">
        <v>9300</v>
      </c>
      <c r="Q55" s="404" t="s">
        <v>9769</v>
      </c>
      <c r="R55" s="155" t="s">
        <v>9770</v>
      </c>
      <c r="S55" s="403" t="s">
        <v>9769</v>
      </c>
      <c r="T55" s="167" t="s">
        <v>9771</v>
      </c>
      <c r="U55" s="399" t="s">
        <v>9763</v>
      </c>
      <c r="V55" s="167" t="s">
        <v>9772</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9773</v>
      </c>
      <c r="B56" s="167" t="s">
        <v>9760</v>
      </c>
      <c r="C56" s="399" t="s">
        <v>9774</v>
      </c>
      <c r="D56" s="167" t="s">
        <v>9775</v>
      </c>
      <c r="E56" s="399" t="s">
        <v>9776</v>
      </c>
      <c r="F56" s="167" t="s">
        <v>9764</v>
      </c>
      <c r="G56" s="399" t="str">
        <f>IFERROR(__xludf.DUMMYFUNCTION("GOOGLETRANSLATE(A56,""zh-tw"",""zh"")"),"萌萌同人本")</f>
        <v>萌萌同人本</v>
      </c>
      <c r="H56" s="167" t="str">
        <f>IFERROR(__xludf.DUMMYFUNCTION("GOOGLETRANSLATE(B56,""zh-tw"",""zh"")"),"提升性欲
(战车商店贩售)")</f>
        <v>提升性欲
(战车商店贩售)</v>
      </c>
      <c r="I56" s="399" t="s">
        <v>9777</v>
      </c>
      <c r="J56" s="167" t="s">
        <v>9766</v>
      </c>
      <c r="K56" s="400" t="s">
        <v>9263</v>
      </c>
      <c r="L56" s="198" t="str">
        <f>IFERROR(__xludf.DUMMYFUNCTION("GOOGLETRANSLATE(B56,""zh-tw"",""KO"")"),"성욕을 증진시켜 줍니다
(탱크샵에서 구입 가능)")</f>
        <v>성욕을 증진시켜 줍니다
(탱크샵에서 구입 가능)</v>
      </c>
      <c r="M56" s="403" t="s">
        <v>9778</v>
      </c>
      <c r="N56" s="155" t="s">
        <v>9768</v>
      </c>
      <c r="O56" s="399" t="s">
        <v>9266</v>
      </c>
      <c r="P56" s="167" t="s">
        <v>9267</v>
      </c>
      <c r="Q56" s="404" t="s">
        <v>9779</v>
      </c>
      <c r="R56" s="155" t="s">
        <v>9770</v>
      </c>
      <c r="S56" s="403" t="s">
        <v>9779</v>
      </c>
      <c r="T56" s="167" t="s">
        <v>9771</v>
      </c>
      <c r="U56" s="399" t="s">
        <v>9776</v>
      </c>
      <c r="V56" s="167" t="s">
        <v>9772</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9780</v>
      </c>
      <c r="B57" s="167" t="s">
        <v>9760</v>
      </c>
      <c r="C57" s="399" t="s">
        <v>9774</v>
      </c>
      <c r="D57" s="167" t="s">
        <v>9775</v>
      </c>
      <c r="E57" s="399" t="s">
        <v>9781</v>
      </c>
      <c r="F57" s="167" t="s">
        <v>9764</v>
      </c>
      <c r="G57" s="399" t="str">
        <f>IFERROR(__xludf.DUMMYFUNCTION("GOOGLETRANSLATE(A57,""zh-tw"",""zh"")"),"猫娘同人本")</f>
        <v>猫娘同人本</v>
      </c>
      <c r="H57" s="167" t="str">
        <f>IFERROR(__xludf.DUMMYFUNCTION("GOOGLETRANSLATE(B57,""zh-tw"",""zh"")"),"提升性欲
(战车商店贩售)")</f>
        <v>提升性欲
(战车商店贩售)</v>
      </c>
      <c r="I57" s="399" t="s">
        <v>9777</v>
      </c>
      <c r="J57" s="167" t="s">
        <v>9766</v>
      </c>
      <c r="K57" s="400" t="s">
        <v>9263</v>
      </c>
      <c r="L57" s="198" t="str">
        <f>IFERROR(__xludf.DUMMYFUNCTION("GOOGLETRANSLATE(B57,""zh-tw"",""KO"")"),"성욕을 증진시켜 줍니다
(탱크샵에서 구입 가능)")</f>
        <v>성욕을 증진시켜 줍니다
(탱크샵에서 구입 가능)</v>
      </c>
      <c r="M57" s="399" t="s">
        <v>9782</v>
      </c>
      <c r="N57" s="155" t="s">
        <v>9768</v>
      </c>
      <c r="O57" s="399" t="s">
        <v>9266</v>
      </c>
      <c r="P57" s="167" t="s">
        <v>9267</v>
      </c>
      <c r="Q57" s="399" t="s">
        <v>9783</v>
      </c>
      <c r="R57" s="155" t="s">
        <v>9770</v>
      </c>
      <c r="S57" s="399" t="s">
        <v>9784</v>
      </c>
      <c r="T57" s="167" t="s">
        <v>9771</v>
      </c>
      <c r="U57" s="399" t="s">
        <v>9776</v>
      </c>
      <c r="V57" s="167" t="s">
        <v>9772</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9785</v>
      </c>
      <c r="B58" s="167" t="s">
        <v>9125</v>
      </c>
      <c r="C58" s="399" t="str">
        <f>IFERROR(__xludf.DUMMYFUNCTION("GOOGLETRANSLATE(A58,""zh-tw"",""ja"")"),"ポラロイド 24～29")</f>
        <v>ポラロイド 24～29</v>
      </c>
      <c r="D58" s="167" t="s">
        <v>9126</v>
      </c>
      <c r="E58" s="399" t="s">
        <v>9786</v>
      </c>
      <c r="F58" s="167" t="s">
        <v>9128</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9129</v>
      </c>
      <c r="K58" s="403" t="str">
        <f>IFERROR(__xludf.DUMMYFUNCTION("GOOGLETRANSLATE(A58,""zh-tw"",""KO"")"),"폴라로이드 24~29")</f>
        <v>폴라로이드 24~29</v>
      </c>
      <c r="L58" s="198" t="str">
        <f>IFERROR(__xludf.DUMMYFUNCTION("GOOGLETRANSLATE(B58,""zh-tw"",""KO"")"),"고화질 사진을 보세요")</f>
        <v>고화질 사진을 보세요</v>
      </c>
      <c r="M58" s="399" t="s">
        <v>9787</v>
      </c>
      <c r="N58" s="198" t="s">
        <v>9131</v>
      </c>
      <c r="O58" s="399" t="s">
        <v>9788</v>
      </c>
      <c r="P58" s="167" t="s">
        <v>9133</v>
      </c>
      <c r="Q58" s="399" t="s">
        <v>9789</v>
      </c>
      <c r="R58" s="155" t="s">
        <v>9134</v>
      </c>
      <c r="S58" s="399" t="s">
        <v>9789</v>
      </c>
      <c r="T58" s="198" t="s">
        <v>9135</v>
      </c>
      <c r="U58" s="399" t="s">
        <v>9789</v>
      </c>
      <c r="V58" s="167" t="s">
        <v>9136</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9790</v>
      </c>
      <c r="B59" s="198" t="s">
        <v>9791</v>
      </c>
      <c r="C59" s="399" t="s">
        <v>9792</v>
      </c>
      <c r="D59" s="167" t="s">
        <v>9793</v>
      </c>
      <c r="E59" s="403" t="s">
        <v>9794</v>
      </c>
      <c r="F59" s="198" t="s">
        <v>9795</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9796</v>
      </c>
      <c r="J59" s="167" t="s">
        <v>9797</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9798</v>
      </c>
      <c r="N59" s="198" t="s">
        <v>9799</v>
      </c>
      <c r="O59" s="399" t="s">
        <v>9800</v>
      </c>
      <c r="P59" s="167" t="s">
        <v>9801</v>
      </c>
      <c r="Q59" s="404" t="s">
        <v>9802</v>
      </c>
      <c r="R59" s="167" t="s">
        <v>9803</v>
      </c>
      <c r="S59" s="403" t="s">
        <v>9804</v>
      </c>
      <c r="T59" s="198" t="s">
        <v>9805</v>
      </c>
      <c r="U59" s="399" t="s">
        <v>9806</v>
      </c>
      <c r="V59" s="167" t="s">
        <v>9807</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9808</v>
      </c>
      <c r="B60" s="167" t="s">
        <v>9809</v>
      </c>
      <c r="C60" s="399" t="s">
        <v>9810</v>
      </c>
      <c r="D60" s="167" t="s">
        <v>9811</v>
      </c>
      <c r="E60" s="399" t="s">
        <v>9812</v>
      </c>
      <c r="F60" s="167" t="s">
        <v>9813</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9814</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9815</v>
      </c>
      <c r="N60" s="198" t="s">
        <v>9816</v>
      </c>
      <c r="O60" s="399" t="s">
        <v>9817</v>
      </c>
      <c r="P60" s="167" t="s">
        <v>9818</v>
      </c>
      <c r="Q60" s="399" t="s">
        <v>9819</v>
      </c>
      <c r="R60" s="167" t="s">
        <v>9820</v>
      </c>
      <c r="S60" s="403" t="s">
        <v>9821</v>
      </c>
      <c r="T60" s="198" t="s">
        <v>9822</v>
      </c>
      <c r="U60" s="399" t="s">
        <v>9823</v>
      </c>
      <c r="V60" s="167" t="s">
        <v>9824</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7742</v>
      </c>
      <c r="C61" s="166" t="str">
        <f>IFERROR(__xludf.DUMMYFUNCTION("GOOGLETRANSLATE(A61,""zh-tw"",""ja"")"),"ゴールド品質")</f>
        <v>ゴールド品質</v>
      </c>
      <c r="E61" s="166" t="s">
        <v>7743</v>
      </c>
      <c r="G61" s="166" t="s">
        <v>7744</v>
      </c>
      <c r="I61" s="166"/>
      <c r="K61" s="166"/>
      <c r="M61" s="166" t="s">
        <v>7745</v>
      </c>
      <c r="O61" s="166"/>
      <c r="Q61" s="166"/>
      <c r="S61" s="166" t="s">
        <v>7746</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9825</v>
      </c>
      <c r="B62" s="167" t="s">
        <v>9826</v>
      </c>
      <c r="C62" s="399" t="s">
        <v>9827</v>
      </c>
      <c r="D62" s="167" t="s">
        <v>9828</v>
      </c>
      <c r="E62" s="399" t="s">
        <v>9829</v>
      </c>
      <c r="F62" s="167" t="s">
        <v>9830</v>
      </c>
      <c r="G62" s="399" t="str">
        <f>IFERROR(__xludf.DUMMYFUNCTION("GOOGLETRANSLATE(A62,""zh-tw"",""zh"")"),"妹妹的任意券")</f>
        <v>妹妹的任意券</v>
      </c>
      <c r="H62" s="167" t="str">
        <f>IFERROR(__xludf.DUMMYFUNCTION("GOOGLETRANSLATE(B62,""zh-tw"",""zh"")"),"使用于SLG相关的事件")</f>
        <v>使用于SLG相关的事件</v>
      </c>
      <c r="I62" s="399" t="s">
        <v>9831</v>
      </c>
      <c r="J62" s="167" t="s">
        <v>9832</v>
      </c>
      <c r="K62" s="403" t="str">
        <f>IFERROR(__xludf.DUMMYFUNCTION("GOOGLETRANSLATE(A62,""zh-tw"",""KO"")"),"여동생 쿠폰")</f>
        <v>여동생 쿠폰</v>
      </c>
      <c r="L62" s="198" t="str">
        <f>IFERROR(__xludf.DUMMYFUNCTION("GOOGLETRANSLATE(B62,""zh-tw"",""KO"")"),"SLG 관련 이벤트")</f>
        <v>SLG 관련 이벤트</v>
      </c>
      <c r="M62" s="403" t="s">
        <v>9833</v>
      </c>
      <c r="N62" s="198" t="s">
        <v>9834</v>
      </c>
      <c r="O62" s="399" t="s">
        <v>9835</v>
      </c>
      <c r="P62" s="167" t="s">
        <v>9836</v>
      </c>
      <c r="Q62" s="399" t="s">
        <v>9837</v>
      </c>
      <c r="R62" s="167" t="s">
        <v>9838</v>
      </c>
      <c r="S62" s="403" t="s">
        <v>9839</v>
      </c>
      <c r="T62" s="198" t="s">
        <v>9840</v>
      </c>
      <c r="U62" s="399" t="s">
        <v>9841</v>
      </c>
      <c r="V62" s="167" t="s">
        <v>9842</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9843</v>
      </c>
      <c r="B63" s="391" t="s">
        <v>9844</v>
      </c>
      <c r="C63" s="399" t="s">
        <v>3537</v>
      </c>
      <c r="D63" s="167" t="s">
        <v>9845</v>
      </c>
      <c r="E63" s="399" t="s">
        <v>9843</v>
      </c>
      <c r="F63" s="167" t="s">
        <v>9846</v>
      </c>
      <c r="G63" s="399" t="s">
        <v>9843</v>
      </c>
      <c r="H63" s="167" t="s">
        <v>9847</v>
      </c>
      <c r="I63" s="399"/>
      <c r="J63" s="167"/>
      <c r="K63" s="403"/>
      <c r="L63" s="198"/>
      <c r="M63" s="399" t="s">
        <v>9843</v>
      </c>
      <c r="N63" s="167" t="s">
        <v>9848</v>
      </c>
      <c r="O63" s="399" t="s">
        <v>9843</v>
      </c>
      <c r="P63" s="167"/>
      <c r="Q63" s="399" t="s">
        <v>9843</v>
      </c>
      <c r="R63" s="167" t="s">
        <v>9849</v>
      </c>
      <c r="S63" s="437" t="s">
        <v>9843</v>
      </c>
      <c r="T63" s="167" t="s">
        <v>9850</v>
      </c>
      <c r="U63" s="399" t="s">
        <v>9843</v>
      </c>
      <c r="V63" s="167" t="s">
        <v>9851</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9852</v>
      </c>
      <c r="B64" s="167" t="s">
        <v>9125</v>
      </c>
      <c r="C64" s="399" t="str">
        <f>IFERROR(__xludf.DUMMYFUNCTION("GOOGLETRANSLATE(A64,""zh-tw"",""ja"")"),"ポラロイドカメラ 30～35")</f>
        <v>ポラロイドカメラ 30～35</v>
      </c>
      <c r="D64" s="167" t="s">
        <v>9126</v>
      </c>
      <c r="E64" s="399" t="s">
        <v>9853</v>
      </c>
      <c r="F64" s="167" t="s">
        <v>9128</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9129</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9854</v>
      </c>
      <c r="N64" s="198" t="s">
        <v>9131</v>
      </c>
      <c r="O64" s="399" t="s">
        <v>9855</v>
      </c>
      <c r="P64" s="167" t="s">
        <v>9133</v>
      </c>
      <c r="Q64" s="399" t="s">
        <v>9853</v>
      </c>
      <c r="R64" s="155" t="s">
        <v>9134</v>
      </c>
      <c r="S64" s="399" t="s">
        <v>9853</v>
      </c>
      <c r="T64" s="198" t="s">
        <v>9135</v>
      </c>
      <c r="U64" s="399" t="s">
        <v>9853</v>
      </c>
      <c r="V64" s="167" t="s">
        <v>9136</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9856</v>
      </c>
      <c r="B65" s="167" t="s">
        <v>9857</v>
      </c>
      <c r="C65" s="399" t="s">
        <v>9858</v>
      </c>
      <c r="D65" s="167" t="s">
        <v>9859</v>
      </c>
      <c r="E65" s="399" t="s">
        <v>9860</v>
      </c>
      <c r="F65" s="167" t="s">
        <v>9861</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9862</v>
      </c>
      <c r="J65" s="167" t="s">
        <v>9863</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9864</v>
      </c>
      <c r="N65" s="198" t="s">
        <v>9865</v>
      </c>
      <c r="O65" s="399" t="s">
        <v>9866</v>
      </c>
      <c r="P65" s="167" t="s">
        <v>9867</v>
      </c>
      <c r="Q65" s="399" t="s">
        <v>9868</v>
      </c>
      <c r="R65" s="167" t="s">
        <v>9869</v>
      </c>
      <c r="S65" s="403" t="s">
        <v>9870</v>
      </c>
      <c r="T65" s="198" t="s">
        <v>9871</v>
      </c>
      <c r="U65" s="399" t="s">
        <v>9872</v>
      </c>
      <c r="V65" s="167" t="s">
        <v>9873</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9874</v>
      </c>
      <c r="C66" s="166"/>
      <c r="E66" s="166" t="s">
        <v>9875</v>
      </c>
      <c r="G66" s="166" t="s">
        <v>9876</v>
      </c>
      <c r="I66" s="166"/>
      <c r="K66" s="166"/>
      <c r="M66" s="166" t="s">
        <v>9877</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9878</v>
      </c>
      <c r="B67" s="167" t="s">
        <v>9879</v>
      </c>
      <c r="C67" s="399" t="s">
        <v>9880</v>
      </c>
      <c r="D67" s="167" t="s">
        <v>9881</v>
      </c>
      <c r="E67" s="399" t="s">
        <v>9882</v>
      </c>
      <c r="F67" s="167" t="s">
        <v>9883</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9884</v>
      </c>
      <c r="J67" s="167" t="s">
        <v>9885</v>
      </c>
      <c r="K67" s="403" t="str">
        <f>IFERROR(__xludf.DUMMYFUNCTION("GOOGLETRANSLATE(A67,""zh-tw"",""KO"")"),"천상의 돌 조각들")</f>
        <v>천상의 돌 조각들</v>
      </c>
      <c r="L67" s="167" t="s">
        <v>9886</v>
      </c>
      <c r="M67" s="403" t="s">
        <v>9887</v>
      </c>
      <c r="N67" s="198" t="s">
        <v>9888</v>
      </c>
      <c r="O67" s="399" t="s">
        <v>9889</v>
      </c>
      <c r="P67" s="167" t="s">
        <v>9890</v>
      </c>
      <c r="Q67" s="404" t="s">
        <v>9891</v>
      </c>
      <c r="R67" s="167" t="s">
        <v>9892</v>
      </c>
      <c r="S67" s="399" t="s">
        <v>9893</v>
      </c>
      <c r="T67" s="167" t="s">
        <v>9894</v>
      </c>
      <c r="U67" s="399" t="s">
        <v>9895</v>
      </c>
      <c r="V67" s="167" t="s">
        <v>9896</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9897</v>
      </c>
      <c r="B68" s="167" t="s">
        <v>9898</v>
      </c>
      <c r="C68" s="399" t="s">
        <v>9899</v>
      </c>
      <c r="D68" s="167" t="s">
        <v>9900</v>
      </c>
      <c r="E68" s="399" t="s">
        <v>9901</v>
      </c>
      <c r="F68" s="167" t="s">
        <v>9902</v>
      </c>
      <c r="G68" s="399" t="str">
        <f>IFERROR(__xludf.DUMMYFUNCTION("GOOGLETRANSLATE(A68,""zh-tw"",""zh"")"),"红髓液")</f>
        <v>红髓液</v>
      </c>
      <c r="H68" s="167" t="str">
        <f>IFERROR(__xludf.DUMMYFUNCTION("GOOGLETRANSLATE(B68,""zh-tw"",""zh"")"),"使用于治疗妹妹")</f>
        <v>使用于治疗妹妹</v>
      </c>
      <c r="I68" s="399" t="s">
        <v>9903</v>
      </c>
      <c r="J68" s="167" t="s">
        <v>9904</v>
      </c>
      <c r="K68" s="403" t="str">
        <f>IFERROR(__xludf.DUMMYFUNCTION("GOOGLETRANSLATE(A68,""zh-tw"",""KO"")"),"적골수액")</f>
        <v>적골수액</v>
      </c>
      <c r="L68" s="198" t="str">
        <f>IFERROR(__xludf.DUMMYFUNCTION("GOOGLETRANSLATE(B68,""zh-tw"",""KO"")"),"제 여동생을 치료해 주곤 했어요.")</f>
        <v>제 여동생을 치료해 주곤 했어요.</v>
      </c>
      <c r="M68" s="403" t="s">
        <v>9905</v>
      </c>
      <c r="N68" s="198" t="s">
        <v>9906</v>
      </c>
      <c r="O68" s="399" t="s">
        <v>9907</v>
      </c>
      <c r="P68" s="167" t="s">
        <v>9908</v>
      </c>
      <c r="Q68" s="399" t="s">
        <v>9909</v>
      </c>
      <c r="R68" s="167" t="s">
        <v>9910</v>
      </c>
      <c r="S68" s="403" t="s">
        <v>9911</v>
      </c>
      <c r="T68" s="198" t="s">
        <v>9912</v>
      </c>
      <c r="U68" s="399" t="s">
        <v>9913</v>
      </c>
      <c r="V68" s="167" t="s">
        <v>9914</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1"/>
      <c r="J69" s="142"/>
      <c r="K69" s="411"/>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1"/>
      <c r="J70" s="142"/>
      <c r="K70" s="411"/>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1"/>
      <c r="J71" s="142"/>
      <c r="K71" s="411"/>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1"/>
      <c r="J72" s="142"/>
      <c r="K72" s="411"/>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1"/>
      <c r="J73" s="142"/>
      <c r="K73" s="411"/>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1"/>
      <c r="J74" s="142"/>
      <c r="K74" s="411"/>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1"/>
      <c r="J75" s="142"/>
      <c r="K75" s="411"/>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1"/>
      <c r="J76" s="142"/>
      <c r="K76" s="411"/>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1"/>
      <c r="J77" s="142"/>
      <c r="K77" s="411"/>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1"/>
      <c r="J78" s="142"/>
      <c r="K78" s="411"/>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1"/>
      <c r="J79" s="142"/>
      <c r="K79" s="411"/>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1"/>
      <c r="J80" s="142"/>
      <c r="K80" s="411"/>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1"/>
      <c r="J81" s="142"/>
      <c r="K81" s="411"/>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1"/>
      <c r="J82" s="142"/>
      <c r="K82" s="411"/>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1"/>
      <c r="J83" s="142"/>
      <c r="K83" s="411"/>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1"/>
      <c r="J84" s="142"/>
      <c r="K84" s="411"/>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1"/>
      <c r="J85" s="142"/>
      <c r="K85" s="411"/>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1"/>
      <c r="J86" s="142"/>
      <c r="K86" s="411"/>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1"/>
      <c r="J87" s="142"/>
      <c r="K87" s="411"/>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1"/>
      <c r="J88" s="142"/>
      <c r="K88" s="411"/>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1"/>
      <c r="J89" s="142"/>
      <c r="K89" s="411"/>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1"/>
      <c r="J90" s="142"/>
      <c r="K90" s="411"/>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1"/>
      <c r="J91" s="142"/>
      <c r="K91" s="411"/>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1"/>
      <c r="J92" s="142"/>
      <c r="K92" s="411"/>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1"/>
      <c r="J93" s="142"/>
      <c r="K93" s="411"/>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1"/>
      <c r="J94" s="142"/>
      <c r="K94" s="411"/>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1"/>
      <c r="J95" s="142"/>
      <c r="K95" s="411"/>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1"/>
      <c r="J96" s="142"/>
      <c r="K96" s="411"/>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1"/>
      <c r="J97" s="142"/>
      <c r="K97" s="411"/>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1"/>
      <c r="J98" s="142"/>
      <c r="K98" s="411"/>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1"/>
      <c r="J99" s="142"/>
      <c r="K99" s="411"/>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1"/>
      <c r="J100" s="142"/>
      <c r="K100" s="411"/>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1"/>
      <c r="J101" s="142"/>
      <c r="K101" s="411"/>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1"/>
      <c r="J102" s="142"/>
      <c r="K102" s="411"/>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1"/>
      <c r="J103" s="142"/>
      <c r="K103" s="411"/>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1"/>
      <c r="J104" s="142"/>
      <c r="K104" s="411"/>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1"/>
      <c r="J105" s="142"/>
      <c r="K105" s="411"/>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1"/>
      <c r="J106" s="142"/>
      <c r="K106" s="411"/>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1"/>
      <c r="J107" s="142"/>
      <c r="K107" s="411"/>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1"/>
      <c r="J108" s="142"/>
      <c r="K108" s="411"/>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1"/>
      <c r="J109" s="142"/>
      <c r="K109" s="411"/>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1"/>
      <c r="J110" s="142"/>
      <c r="K110" s="411"/>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1"/>
      <c r="J111" s="142"/>
      <c r="K111" s="411"/>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1"/>
      <c r="J112" s="142"/>
      <c r="K112" s="411"/>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1"/>
      <c r="J113" s="142"/>
      <c r="K113" s="411"/>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1"/>
      <c r="J114" s="142"/>
      <c r="K114" s="411"/>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1"/>
      <c r="J115" s="142"/>
      <c r="K115" s="411"/>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1"/>
      <c r="J116" s="142"/>
      <c r="K116" s="411"/>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1"/>
      <c r="J117" s="142"/>
      <c r="K117" s="411"/>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1"/>
      <c r="J118" s="142"/>
      <c r="K118" s="411"/>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1"/>
      <c r="J119" s="142"/>
      <c r="K119" s="411"/>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1"/>
      <c r="J120" s="142"/>
      <c r="K120" s="411"/>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1"/>
      <c r="J121" s="142"/>
      <c r="K121" s="411"/>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1"/>
      <c r="J122" s="142"/>
      <c r="K122" s="411"/>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1"/>
      <c r="J123" s="142"/>
      <c r="K123" s="411"/>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1"/>
      <c r="J124" s="142"/>
      <c r="K124" s="411"/>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1"/>
      <c r="J125" s="142"/>
      <c r="K125" s="411"/>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1"/>
      <c r="J126" s="142"/>
      <c r="K126" s="411"/>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1"/>
      <c r="J127" s="142"/>
      <c r="K127" s="411"/>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1"/>
      <c r="J128" s="142"/>
      <c r="K128" s="411"/>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1"/>
      <c r="J129" s="142"/>
      <c r="K129" s="411"/>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1"/>
      <c r="J130" s="142"/>
      <c r="K130" s="411"/>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1"/>
      <c r="J131" s="142"/>
      <c r="K131" s="411"/>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1"/>
      <c r="J132" s="142"/>
      <c r="K132" s="411"/>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1"/>
      <c r="J133" s="142"/>
      <c r="K133" s="411"/>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1"/>
      <c r="J134" s="142"/>
      <c r="K134" s="411"/>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1"/>
      <c r="J135" s="142"/>
      <c r="K135" s="411"/>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1"/>
      <c r="J136" s="142"/>
      <c r="K136" s="411"/>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1"/>
      <c r="J137" s="142"/>
      <c r="K137" s="411"/>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1"/>
      <c r="J138" s="142"/>
      <c r="K138" s="411"/>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1"/>
      <c r="J139" s="142"/>
      <c r="K139" s="411"/>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1"/>
      <c r="J140" s="142"/>
      <c r="K140" s="411"/>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1"/>
      <c r="J141" s="142"/>
      <c r="K141" s="411"/>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1"/>
      <c r="J142" s="142"/>
      <c r="K142" s="411"/>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1"/>
      <c r="J143" s="142"/>
      <c r="K143" s="411"/>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1"/>
      <c r="J144" s="142"/>
      <c r="K144" s="411"/>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1"/>
      <c r="J145" s="142"/>
      <c r="K145" s="411"/>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1"/>
      <c r="J146" s="142"/>
      <c r="K146" s="411"/>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1"/>
      <c r="J147" s="142"/>
      <c r="K147" s="411"/>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1"/>
      <c r="J148" s="142"/>
      <c r="K148" s="411"/>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1"/>
      <c r="J149" s="142"/>
      <c r="K149" s="411"/>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1"/>
      <c r="J150" s="142"/>
      <c r="K150" s="411"/>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1"/>
      <c r="J151" s="142"/>
      <c r="K151" s="411"/>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1"/>
      <c r="J152" s="142"/>
      <c r="K152" s="411"/>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1"/>
      <c r="J153" s="142"/>
      <c r="K153" s="411"/>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1"/>
      <c r="J154" s="142"/>
      <c r="K154" s="411"/>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1"/>
      <c r="J155" s="142"/>
      <c r="K155" s="411"/>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1"/>
      <c r="J156" s="142"/>
      <c r="K156" s="411"/>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1"/>
      <c r="J157" s="142"/>
      <c r="K157" s="411"/>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1"/>
      <c r="J158" s="142"/>
      <c r="K158" s="411"/>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1"/>
      <c r="J159" s="142"/>
      <c r="K159" s="411"/>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1"/>
      <c r="J160" s="142"/>
      <c r="K160" s="411"/>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1"/>
      <c r="J161" s="142"/>
      <c r="K161" s="411"/>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1"/>
      <c r="J162" s="142"/>
      <c r="K162" s="411"/>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1"/>
      <c r="J163" s="142"/>
      <c r="K163" s="411"/>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1"/>
      <c r="J164" s="142"/>
      <c r="K164" s="411"/>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1"/>
      <c r="J165" s="142"/>
      <c r="K165" s="411"/>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1"/>
      <c r="J166" s="142"/>
      <c r="K166" s="411"/>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1"/>
      <c r="J167" s="142"/>
      <c r="K167" s="411"/>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1"/>
      <c r="J168" s="142"/>
      <c r="K168" s="411"/>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1"/>
      <c r="J169" s="142"/>
      <c r="K169" s="411"/>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1"/>
      <c r="J170" s="142"/>
      <c r="K170" s="411"/>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1"/>
      <c r="J171" s="142"/>
      <c r="K171" s="411"/>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1"/>
      <c r="J172" s="142"/>
      <c r="K172" s="411"/>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1"/>
      <c r="J173" s="142"/>
      <c r="K173" s="411"/>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1"/>
      <c r="J174" s="142"/>
      <c r="K174" s="411"/>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1"/>
      <c r="J175" s="142"/>
      <c r="K175" s="411"/>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1"/>
      <c r="J176" s="142"/>
      <c r="K176" s="411"/>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1"/>
      <c r="J177" s="142"/>
      <c r="K177" s="411"/>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1"/>
      <c r="J178" s="142"/>
      <c r="K178" s="411"/>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1"/>
      <c r="J179" s="142"/>
      <c r="K179" s="411"/>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1"/>
      <c r="J180" s="142"/>
      <c r="K180" s="411"/>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1"/>
      <c r="J181" s="142"/>
      <c r="K181" s="411"/>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1"/>
      <c r="J182" s="142"/>
      <c r="K182" s="411"/>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1"/>
      <c r="J183" s="142"/>
      <c r="K183" s="411"/>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1"/>
      <c r="J184" s="142"/>
      <c r="K184" s="411"/>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1"/>
      <c r="J185" s="142"/>
      <c r="K185" s="411"/>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1"/>
      <c r="J186" s="142"/>
      <c r="K186" s="411"/>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1"/>
      <c r="J187" s="142"/>
      <c r="K187" s="411"/>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1"/>
      <c r="J188" s="142"/>
      <c r="K188" s="411"/>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1"/>
      <c r="J189" s="142"/>
      <c r="K189" s="411"/>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1"/>
      <c r="J190" s="142"/>
      <c r="K190" s="411"/>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1"/>
      <c r="J191" s="142"/>
      <c r="K191" s="411"/>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1"/>
      <c r="J192" s="142"/>
      <c r="K192" s="411"/>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1"/>
      <c r="J193" s="142"/>
      <c r="K193" s="411"/>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1"/>
      <c r="J194" s="142"/>
      <c r="K194" s="411"/>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1"/>
      <c r="J195" s="142"/>
      <c r="K195" s="411"/>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1"/>
      <c r="J196" s="142"/>
      <c r="K196" s="411"/>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1"/>
      <c r="J197" s="142"/>
      <c r="K197" s="411"/>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1"/>
      <c r="J198" s="142"/>
      <c r="K198" s="411"/>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1"/>
      <c r="J199" s="142"/>
      <c r="K199" s="411"/>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1"/>
      <c r="J200" s="142"/>
      <c r="K200" s="411"/>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1"/>
      <c r="J201" s="142"/>
      <c r="K201" s="411"/>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1"/>
      <c r="J202" s="142"/>
      <c r="K202" s="411"/>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1"/>
      <c r="J203" s="142"/>
      <c r="K203" s="411"/>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1"/>
      <c r="J204" s="142"/>
      <c r="K204" s="411"/>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1"/>
      <c r="J205" s="142"/>
      <c r="K205" s="411"/>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1"/>
      <c r="J206" s="142"/>
      <c r="K206" s="411"/>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1"/>
      <c r="J207" s="142"/>
      <c r="K207" s="411"/>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1"/>
      <c r="J208" s="142"/>
      <c r="K208" s="411"/>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1"/>
      <c r="J209" s="142"/>
      <c r="K209" s="411"/>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1"/>
      <c r="J210" s="142"/>
      <c r="K210" s="411"/>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1"/>
      <c r="J211" s="142"/>
      <c r="K211" s="411"/>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1"/>
      <c r="J212" s="142"/>
      <c r="K212" s="411"/>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1"/>
      <c r="J213" s="142"/>
      <c r="K213" s="411"/>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1"/>
      <c r="J214" s="142"/>
      <c r="K214" s="411"/>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1"/>
      <c r="J215" s="142"/>
      <c r="K215" s="411"/>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1"/>
      <c r="J216" s="142"/>
      <c r="K216" s="411"/>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1"/>
      <c r="J217" s="142"/>
      <c r="K217" s="411"/>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1"/>
      <c r="J218" s="142"/>
      <c r="K218" s="411"/>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1"/>
      <c r="J219" s="142"/>
      <c r="K219" s="411"/>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1"/>
      <c r="J220" s="142"/>
      <c r="K220" s="411"/>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1"/>
      <c r="J221" s="142"/>
      <c r="K221" s="411"/>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1"/>
      <c r="J222" s="142"/>
      <c r="K222" s="411"/>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1"/>
      <c r="J223" s="142"/>
      <c r="K223" s="411"/>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1"/>
      <c r="J224" s="142"/>
      <c r="K224" s="411"/>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1"/>
      <c r="J225" s="142"/>
      <c r="K225" s="411"/>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1"/>
      <c r="J226" s="142"/>
      <c r="K226" s="411"/>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1"/>
      <c r="J227" s="142"/>
      <c r="K227" s="411"/>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1"/>
      <c r="J228" s="142"/>
      <c r="K228" s="411"/>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1"/>
      <c r="J229" s="142"/>
      <c r="K229" s="411"/>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1"/>
      <c r="J230" s="142"/>
      <c r="K230" s="411"/>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1"/>
      <c r="J231" s="142"/>
      <c r="K231" s="411"/>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1"/>
      <c r="J232" s="142"/>
      <c r="K232" s="411"/>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1"/>
      <c r="J233" s="142"/>
      <c r="K233" s="411"/>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1"/>
      <c r="J234" s="142"/>
      <c r="K234" s="411"/>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1"/>
      <c r="J235" s="142"/>
      <c r="K235" s="411"/>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1"/>
      <c r="J236" s="142"/>
      <c r="K236" s="411"/>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1"/>
      <c r="J237" s="142"/>
      <c r="K237" s="411"/>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1"/>
      <c r="J238" s="142"/>
      <c r="K238" s="411"/>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1"/>
      <c r="J239" s="142"/>
      <c r="K239" s="411"/>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1"/>
      <c r="J240" s="142"/>
      <c r="K240" s="411"/>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1"/>
      <c r="J241" s="142"/>
      <c r="K241" s="411"/>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1"/>
      <c r="J242" s="142"/>
      <c r="K242" s="411"/>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1"/>
      <c r="J243" s="142"/>
      <c r="K243" s="411"/>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1"/>
      <c r="J244" s="142"/>
      <c r="K244" s="411"/>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1"/>
      <c r="J245" s="142"/>
      <c r="K245" s="411"/>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1"/>
      <c r="J246" s="142"/>
      <c r="K246" s="411"/>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1"/>
      <c r="J247" s="142"/>
      <c r="K247" s="411"/>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1"/>
      <c r="J248" s="142"/>
      <c r="K248" s="411"/>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1"/>
      <c r="J249" s="142"/>
      <c r="K249" s="411"/>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1"/>
      <c r="J250" s="142"/>
      <c r="K250" s="411"/>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1"/>
      <c r="J251" s="142"/>
      <c r="K251" s="411"/>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1"/>
      <c r="J252" s="142"/>
      <c r="K252" s="411"/>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1"/>
      <c r="J253" s="142"/>
      <c r="K253" s="411"/>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1"/>
      <c r="J254" s="142"/>
      <c r="K254" s="411"/>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1"/>
      <c r="J255" s="142"/>
      <c r="K255" s="411"/>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1"/>
      <c r="J256" s="142"/>
      <c r="K256" s="411"/>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1"/>
      <c r="J257" s="142"/>
      <c r="K257" s="411"/>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1"/>
      <c r="J258" s="142"/>
      <c r="K258" s="411"/>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1"/>
      <c r="J259" s="142"/>
      <c r="K259" s="411"/>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1"/>
      <c r="J260" s="142"/>
      <c r="K260" s="411"/>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1"/>
      <c r="J261" s="142"/>
      <c r="K261" s="411"/>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1"/>
      <c r="J262" s="142"/>
      <c r="K262" s="411"/>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1"/>
      <c r="J263" s="142"/>
      <c r="K263" s="411"/>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1"/>
      <c r="J264" s="142"/>
      <c r="K264" s="411"/>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1"/>
      <c r="J265" s="142"/>
      <c r="K265" s="411"/>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1"/>
      <c r="J266" s="142"/>
      <c r="K266" s="411"/>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1"/>
      <c r="J267" s="142"/>
      <c r="K267" s="411"/>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1"/>
      <c r="J268" s="142"/>
      <c r="K268" s="411"/>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1"/>
      <c r="J269" s="142"/>
      <c r="K269" s="411"/>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1"/>
      <c r="J270" s="142"/>
      <c r="K270" s="411"/>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1"/>
      <c r="J271" s="142"/>
      <c r="K271" s="411"/>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1"/>
      <c r="J272" s="142"/>
      <c r="K272" s="411"/>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1"/>
      <c r="J273" s="142"/>
      <c r="K273" s="411"/>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1"/>
      <c r="J274" s="142"/>
      <c r="K274" s="411"/>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1"/>
      <c r="J275" s="142"/>
      <c r="K275" s="411"/>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1"/>
      <c r="J276" s="142"/>
      <c r="K276" s="411"/>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1"/>
      <c r="J277" s="142"/>
      <c r="K277" s="411"/>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1"/>
      <c r="J278" s="142"/>
      <c r="K278" s="411"/>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1"/>
      <c r="J279" s="142"/>
      <c r="K279" s="411"/>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1"/>
      <c r="J280" s="142"/>
      <c r="K280" s="411"/>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1"/>
      <c r="J281" s="142"/>
      <c r="K281" s="411"/>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1"/>
      <c r="J282" s="142"/>
      <c r="K282" s="411"/>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1"/>
      <c r="J283" s="142"/>
      <c r="K283" s="411"/>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1"/>
      <c r="J284" s="142"/>
      <c r="K284" s="411"/>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1"/>
      <c r="J285" s="142"/>
      <c r="K285" s="411"/>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1"/>
      <c r="J286" s="142"/>
      <c r="K286" s="411"/>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1"/>
      <c r="J287" s="142"/>
      <c r="K287" s="411"/>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1"/>
      <c r="J288" s="142"/>
      <c r="K288" s="411"/>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1"/>
      <c r="J289" s="142"/>
      <c r="K289" s="411"/>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1"/>
      <c r="J290" s="142"/>
      <c r="K290" s="411"/>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1"/>
      <c r="J291" s="142"/>
      <c r="K291" s="411"/>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1"/>
      <c r="J292" s="142"/>
      <c r="K292" s="411"/>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1"/>
      <c r="J293" s="142"/>
      <c r="K293" s="411"/>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1"/>
      <c r="J294" s="142"/>
      <c r="K294" s="411"/>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1"/>
      <c r="J295" s="142"/>
      <c r="K295" s="411"/>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1"/>
      <c r="J296" s="142"/>
      <c r="K296" s="411"/>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1"/>
      <c r="J297" s="142"/>
      <c r="K297" s="411"/>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1"/>
      <c r="J298" s="142"/>
      <c r="K298" s="411"/>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1"/>
      <c r="J299" s="142"/>
      <c r="K299" s="411"/>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1"/>
      <c r="J300" s="142"/>
      <c r="K300" s="411"/>
      <c r="L300" s="142"/>
      <c r="M300" s="403"/>
      <c r="N300" s="198"/>
      <c r="O300" s="403"/>
      <c r="P300" s="198"/>
      <c r="Q300" s="411"/>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1"/>
      <c r="J301" s="142"/>
      <c r="K301" s="411"/>
      <c r="L301" s="142"/>
      <c r="M301" s="403"/>
      <c r="N301" s="198"/>
      <c r="O301" s="403"/>
      <c r="P301" s="198"/>
      <c r="Q301" s="411"/>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1"/>
      <c r="J302" s="142"/>
      <c r="K302" s="411"/>
      <c r="L302" s="142"/>
      <c r="M302" s="403"/>
      <c r="N302" s="198"/>
      <c r="O302" s="403"/>
      <c r="P302" s="198"/>
      <c r="Q302" s="411"/>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1"/>
      <c r="J303" s="142"/>
      <c r="K303" s="411"/>
      <c r="L303" s="142"/>
      <c r="M303" s="403"/>
      <c r="N303" s="198"/>
      <c r="O303" s="403"/>
      <c r="P303" s="198"/>
      <c r="Q303" s="411"/>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1"/>
      <c r="J304" s="142"/>
      <c r="K304" s="411"/>
      <c r="L304" s="142"/>
      <c r="M304" s="403"/>
      <c r="N304" s="198"/>
      <c r="O304" s="403"/>
      <c r="P304" s="198"/>
      <c r="Q304" s="411"/>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1"/>
      <c r="J305" s="142"/>
      <c r="K305" s="411"/>
      <c r="L305" s="142"/>
      <c r="M305" s="403"/>
      <c r="N305" s="198"/>
      <c r="O305" s="403"/>
      <c r="P305" s="198"/>
      <c r="Q305" s="411"/>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1"/>
      <c r="J306" s="142"/>
      <c r="K306" s="411"/>
      <c r="L306" s="142"/>
      <c r="M306" s="403"/>
      <c r="N306" s="198"/>
      <c r="O306" s="403"/>
      <c r="P306" s="198"/>
      <c r="Q306" s="411"/>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1"/>
      <c r="J307" s="142"/>
      <c r="K307" s="411"/>
      <c r="L307" s="142"/>
      <c r="M307" s="403"/>
      <c r="N307" s="198"/>
      <c r="O307" s="403"/>
      <c r="P307" s="198"/>
      <c r="Q307" s="411"/>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1"/>
      <c r="J308" s="142"/>
      <c r="K308" s="411"/>
      <c r="L308" s="142"/>
      <c r="M308" s="403"/>
      <c r="N308" s="198"/>
      <c r="O308" s="403"/>
      <c r="P308" s="198"/>
      <c r="Q308" s="411"/>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1"/>
      <c r="J309" s="142"/>
      <c r="K309" s="411"/>
      <c r="L309" s="142"/>
      <c r="M309" s="403"/>
      <c r="N309" s="198"/>
      <c r="O309" s="403"/>
      <c r="P309" s="198"/>
      <c r="Q309" s="411"/>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1"/>
      <c r="J310" s="142"/>
      <c r="K310" s="411"/>
      <c r="L310" s="142"/>
      <c r="M310" s="403"/>
      <c r="N310" s="198"/>
      <c r="O310" s="403"/>
      <c r="P310" s="198"/>
      <c r="Q310" s="411"/>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1"/>
      <c r="J311" s="142"/>
      <c r="K311" s="411"/>
      <c r="L311" s="142"/>
      <c r="M311" s="403"/>
      <c r="N311" s="198"/>
      <c r="O311" s="403"/>
      <c r="P311" s="198"/>
      <c r="Q311" s="411"/>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1"/>
      <c r="J312" s="142"/>
      <c r="K312" s="411"/>
      <c r="L312" s="142"/>
      <c r="M312" s="403"/>
      <c r="N312" s="198"/>
      <c r="O312" s="403"/>
      <c r="P312" s="198"/>
      <c r="Q312" s="411"/>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1"/>
      <c r="J313" s="142"/>
      <c r="K313" s="411"/>
      <c r="L313" s="142"/>
      <c r="M313" s="403"/>
      <c r="N313" s="198"/>
      <c r="O313" s="403"/>
      <c r="P313" s="198"/>
      <c r="Q313" s="411"/>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1"/>
      <c r="J314" s="142"/>
      <c r="K314" s="411"/>
      <c r="L314" s="142"/>
      <c r="M314" s="403"/>
      <c r="N314" s="198"/>
      <c r="O314" s="403"/>
      <c r="P314" s="198"/>
      <c r="Q314" s="411"/>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1"/>
      <c r="J315" s="142"/>
      <c r="K315" s="411"/>
      <c r="L315" s="142"/>
      <c r="M315" s="403"/>
      <c r="N315" s="198"/>
      <c r="O315" s="403"/>
      <c r="P315" s="198"/>
      <c r="Q315" s="411"/>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1"/>
      <c r="J316" s="142"/>
      <c r="K316" s="411"/>
      <c r="L316" s="142"/>
      <c r="M316" s="403"/>
      <c r="N316" s="198"/>
      <c r="O316" s="403"/>
      <c r="P316" s="198"/>
      <c r="Q316" s="411"/>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1"/>
      <c r="J317" s="142"/>
      <c r="K317" s="411"/>
      <c r="L317" s="142"/>
      <c r="M317" s="403"/>
      <c r="N317" s="198"/>
      <c r="O317" s="403"/>
      <c r="P317" s="198"/>
      <c r="Q317" s="411"/>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1"/>
      <c r="J318" s="142"/>
      <c r="K318" s="411"/>
      <c r="L318" s="142"/>
      <c r="M318" s="403"/>
      <c r="N318" s="198"/>
      <c r="O318" s="403"/>
      <c r="P318" s="198"/>
      <c r="Q318" s="411"/>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1"/>
      <c r="J319" s="142"/>
      <c r="K319" s="411"/>
      <c r="L319" s="142"/>
      <c r="M319" s="403"/>
      <c r="N319" s="198"/>
      <c r="O319" s="403"/>
      <c r="P319" s="198"/>
      <c r="Q319" s="411"/>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1"/>
      <c r="J320" s="142"/>
      <c r="K320" s="411"/>
      <c r="L320" s="142"/>
      <c r="M320" s="403"/>
      <c r="N320" s="198"/>
      <c r="O320" s="403"/>
      <c r="P320" s="198"/>
      <c r="Q320" s="411"/>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1"/>
      <c r="J321" s="142"/>
      <c r="K321" s="411"/>
      <c r="L321" s="142"/>
      <c r="M321" s="403"/>
      <c r="N321" s="198"/>
      <c r="O321" s="403"/>
      <c r="P321" s="198"/>
      <c r="Q321" s="411"/>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1"/>
      <c r="J322" s="142"/>
      <c r="K322" s="411"/>
      <c r="L322" s="142"/>
      <c r="M322" s="403"/>
      <c r="N322" s="198"/>
      <c r="O322" s="403"/>
      <c r="P322" s="198"/>
      <c r="Q322" s="411"/>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1"/>
      <c r="J323" s="142"/>
      <c r="K323" s="411"/>
      <c r="L323" s="142"/>
      <c r="M323" s="403"/>
      <c r="N323" s="198"/>
      <c r="O323" s="403"/>
      <c r="P323" s="198"/>
      <c r="Q323" s="411"/>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1"/>
      <c r="J324" s="142"/>
      <c r="K324" s="411"/>
      <c r="L324" s="142"/>
      <c r="M324" s="403"/>
      <c r="N324" s="198"/>
      <c r="O324" s="403"/>
      <c r="P324" s="198"/>
      <c r="Q324" s="411"/>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1"/>
      <c r="J325" s="142"/>
      <c r="K325" s="411"/>
      <c r="L325" s="142"/>
      <c r="M325" s="403"/>
      <c r="N325" s="198"/>
      <c r="O325" s="403"/>
      <c r="P325" s="198"/>
      <c r="Q325" s="411"/>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1"/>
      <c r="J326" s="142"/>
      <c r="K326" s="411"/>
      <c r="L326" s="142"/>
      <c r="M326" s="403"/>
      <c r="N326" s="198"/>
      <c r="O326" s="403"/>
      <c r="P326" s="198"/>
      <c r="Q326" s="411"/>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1"/>
      <c r="J327" s="142"/>
      <c r="K327" s="411"/>
      <c r="L327" s="142"/>
      <c r="M327" s="403"/>
      <c r="N327" s="198"/>
      <c r="O327" s="403"/>
      <c r="P327" s="198"/>
      <c r="Q327" s="411"/>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1"/>
      <c r="J328" s="142"/>
      <c r="K328" s="411"/>
      <c r="L328" s="142"/>
      <c r="M328" s="403"/>
      <c r="N328" s="198"/>
      <c r="O328" s="403"/>
      <c r="P328" s="198"/>
      <c r="Q328" s="411"/>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1"/>
      <c r="J329" s="142"/>
      <c r="K329" s="411"/>
      <c r="L329" s="142"/>
      <c r="M329" s="403"/>
      <c r="N329" s="198"/>
      <c r="O329" s="403"/>
      <c r="P329" s="198"/>
      <c r="Q329" s="411"/>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1"/>
      <c r="J330" s="142"/>
      <c r="K330" s="411"/>
      <c r="L330" s="142"/>
      <c r="M330" s="403"/>
      <c r="N330" s="198"/>
      <c r="O330" s="403"/>
      <c r="P330" s="198"/>
      <c r="Q330" s="411"/>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1"/>
      <c r="J331" s="142"/>
      <c r="K331" s="411"/>
      <c r="L331" s="142"/>
      <c r="M331" s="403"/>
      <c r="N331" s="198"/>
      <c r="O331" s="403"/>
      <c r="P331" s="198"/>
      <c r="Q331" s="411"/>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1"/>
      <c r="J332" s="142"/>
      <c r="K332" s="411"/>
      <c r="L332" s="142"/>
      <c r="M332" s="403"/>
      <c r="N332" s="198"/>
      <c r="O332" s="403"/>
      <c r="P332" s="198"/>
      <c r="Q332" s="411"/>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1"/>
      <c r="J333" s="142"/>
      <c r="K333" s="411"/>
      <c r="L333" s="142"/>
      <c r="M333" s="403"/>
      <c r="N333" s="198"/>
      <c r="O333" s="403"/>
      <c r="P333" s="198"/>
      <c r="Q333" s="411"/>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1"/>
      <c r="J334" s="142"/>
      <c r="K334" s="411"/>
      <c r="L334" s="142"/>
      <c r="M334" s="403"/>
      <c r="N334" s="198"/>
      <c r="O334" s="403"/>
      <c r="P334" s="198"/>
      <c r="Q334" s="411"/>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1"/>
      <c r="J335" s="142"/>
      <c r="K335" s="411"/>
      <c r="L335" s="142"/>
      <c r="M335" s="403"/>
      <c r="N335" s="198"/>
      <c r="O335" s="403"/>
      <c r="P335" s="198"/>
      <c r="Q335" s="411"/>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1"/>
      <c r="J336" s="142"/>
      <c r="K336" s="411"/>
      <c r="L336" s="142"/>
      <c r="M336" s="403"/>
      <c r="N336" s="198"/>
      <c r="O336" s="403"/>
      <c r="P336" s="198"/>
      <c r="Q336" s="411"/>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1"/>
      <c r="J337" s="142"/>
      <c r="K337" s="411"/>
      <c r="L337" s="142"/>
      <c r="M337" s="403"/>
      <c r="N337" s="198"/>
      <c r="O337" s="403"/>
      <c r="P337" s="198"/>
      <c r="Q337" s="411"/>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1"/>
      <c r="J338" s="142"/>
      <c r="K338" s="411"/>
      <c r="L338" s="142"/>
      <c r="M338" s="403"/>
      <c r="N338" s="198"/>
      <c r="O338" s="403"/>
      <c r="P338" s="198"/>
      <c r="Q338" s="411"/>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1"/>
      <c r="J339" s="142"/>
      <c r="K339" s="411"/>
      <c r="L339" s="142"/>
      <c r="M339" s="403"/>
      <c r="N339" s="198"/>
      <c r="O339" s="403"/>
      <c r="P339" s="198"/>
      <c r="Q339" s="411"/>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1"/>
      <c r="J340" s="142"/>
      <c r="K340" s="411"/>
      <c r="L340" s="142"/>
      <c r="M340" s="403"/>
      <c r="N340" s="198"/>
      <c r="O340" s="403"/>
      <c r="P340" s="198"/>
      <c r="Q340" s="411"/>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1"/>
      <c r="J341" s="142"/>
      <c r="K341" s="411"/>
      <c r="L341" s="142"/>
      <c r="M341" s="403"/>
      <c r="N341" s="198"/>
      <c r="O341" s="403"/>
      <c r="P341" s="198"/>
      <c r="Q341" s="411"/>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1"/>
      <c r="J342" s="142"/>
      <c r="K342" s="411"/>
      <c r="L342" s="142"/>
      <c r="M342" s="403"/>
      <c r="N342" s="198"/>
      <c r="O342" s="403"/>
      <c r="P342" s="198"/>
      <c r="Q342" s="411"/>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1"/>
      <c r="J343" s="142"/>
      <c r="K343" s="411"/>
      <c r="L343" s="142"/>
      <c r="M343" s="403"/>
      <c r="N343" s="198"/>
      <c r="O343" s="403"/>
      <c r="P343" s="198"/>
      <c r="Q343" s="411"/>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1"/>
      <c r="J344" s="142"/>
      <c r="K344" s="411"/>
      <c r="L344" s="142"/>
      <c r="M344" s="403"/>
      <c r="N344" s="198"/>
      <c r="O344" s="403"/>
      <c r="P344" s="198"/>
      <c r="Q344" s="411"/>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1"/>
      <c r="J345" s="142"/>
      <c r="K345" s="411"/>
      <c r="L345" s="142"/>
      <c r="M345" s="403"/>
      <c r="N345" s="198"/>
      <c r="O345" s="403"/>
      <c r="P345" s="198"/>
      <c r="Q345" s="411"/>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1"/>
      <c r="J346" s="142"/>
      <c r="K346" s="411"/>
      <c r="L346" s="142"/>
      <c r="M346" s="403"/>
      <c r="N346" s="198"/>
      <c r="O346" s="403"/>
      <c r="P346" s="198"/>
      <c r="Q346" s="411"/>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1"/>
      <c r="J347" s="142"/>
      <c r="K347" s="411"/>
      <c r="L347" s="142"/>
      <c r="M347" s="403"/>
      <c r="N347" s="198"/>
      <c r="O347" s="403"/>
      <c r="P347" s="198"/>
      <c r="Q347" s="411"/>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1"/>
      <c r="J348" s="142"/>
      <c r="K348" s="411"/>
      <c r="L348" s="142"/>
      <c r="M348" s="403"/>
      <c r="N348" s="198"/>
      <c r="O348" s="403"/>
      <c r="P348" s="198"/>
      <c r="Q348" s="411"/>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1"/>
      <c r="J349" s="142"/>
      <c r="K349" s="411"/>
      <c r="L349" s="142"/>
      <c r="M349" s="403"/>
      <c r="N349" s="198"/>
      <c r="O349" s="403"/>
      <c r="P349" s="198"/>
      <c r="Q349" s="411"/>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1"/>
      <c r="J350" s="142"/>
      <c r="K350" s="411"/>
      <c r="L350" s="142"/>
      <c r="M350" s="403"/>
      <c r="N350" s="198"/>
      <c r="O350" s="403"/>
      <c r="P350" s="198"/>
      <c r="Q350" s="411"/>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1"/>
      <c r="J351" s="142"/>
      <c r="K351" s="411"/>
      <c r="L351" s="142"/>
      <c r="M351" s="403"/>
      <c r="N351" s="198"/>
      <c r="O351" s="403"/>
      <c r="P351" s="198"/>
      <c r="Q351" s="411"/>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1"/>
      <c r="J352" s="142"/>
      <c r="K352" s="411"/>
      <c r="L352" s="142"/>
      <c r="M352" s="403"/>
      <c r="N352" s="198"/>
      <c r="O352" s="403"/>
      <c r="P352" s="198"/>
      <c r="Q352" s="411"/>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1"/>
      <c r="J353" s="142"/>
      <c r="K353" s="411"/>
      <c r="L353" s="142"/>
      <c r="M353" s="403"/>
      <c r="N353" s="198"/>
      <c r="O353" s="403"/>
      <c r="P353" s="198"/>
      <c r="Q353" s="411"/>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1"/>
      <c r="J354" s="142"/>
      <c r="K354" s="411"/>
      <c r="L354" s="142"/>
      <c r="M354" s="403"/>
      <c r="N354" s="198"/>
      <c r="O354" s="403"/>
      <c r="P354" s="198"/>
      <c r="Q354" s="411"/>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1"/>
      <c r="J355" s="142"/>
      <c r="K355" s="411"/>
      <c r="L355" s="142"/>
      <c r="M355" s="403"/>
      <c r="N355" s="198"/>
      <c r="O355" s="403"/>
      <c r="P355" s="198"/>
      <c r="Q355" s="411"/>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1"/>
      <c r="J356" s="142"/>
      <c r="K356" s="411"/>
      <c r="L356" s="142"/>
      <c r="M356" s="403"/>
      <c r="N356" s="198"/>
      <c r="O356" s="403"/>
      <c r="P356" s="198"/>
      <c r="Q356" s="411"/>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1"/>
      <c r="J357" s="142"/>
      <c r="K357" s="411"/>
      <c r="L357" s="142"/>
      <c r="M357" s="403"/>
      <c r="N357" s="198"/>
      <c r="O357" s="403"/>
      <c r="P357" s="198"/>
      <c r="Q357" s="411"/>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1"/>
      <c r="J358" s="142"/>
      <c r="K358" s="411"/>
      <c r="L358" s="142"/>
      <c r="M358" s="403"/>
      <c r="N358" s="198"/>
      <c r="O358" s="403"/>
      <c r="P358" s="198"/>
      <c r="Q358" s="411"/>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1"/>
      <c r="J359" s="142"/>
      <c r="K359" s="411"/>
      <c r="L359" s="142"/>
      <c r="M359" s="403"/>
      <c r="N359" s="198"/>
      <c r="O359" s="403"/>
      <c r="P359" s="198"/>
      <c r="Q359" s="411"/>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1"/>
      <c r="J360" s="142"/>
      <c r="K360" s="411"/>
      <c r="L360" s="142"/>
      <c r="M360" s="403"/>
      <c r="N360" s="198"/>
      <c r="O360" s="403"/>
      <c r="P360" s="198"/>
      <c r="Q360" s="411"/>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1"/>
      <c r="J361" s="142"/>
      <c r="K361" s="411"/>
      <c r="L361" s="142"/>
      <c r="M361" s="403"/>
      <c r="N361" s="198"/>
      <c r="O361" s="403"/>
      <c r="P361" s="198"/>
      <c r="Q361" s="411"/>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1"/>
      <c r="J362" s="142"/>
      <c r="K362" s="411"/>
      <c r="L362" s="142"/>
      <c r="M362" s="403"/>
      <c r="N362" s="198"/>
      <c r="O362" s="403"/>
      <c r="P362" s="198"/>
      <c r="Q362" s="411"/>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1"/>
      <c r="J363" s="142"/>
      <c r="K363" s="411"/>
      <c r="L363" s="142"/>
      <c r="M363" s="403"/>
      <c r="N363" s="198"/>
      <c r="O363" s="403"/>
      <c r="P363" s="198"/>
      <c r="Q363" s="411"/>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1"/>
      <c r="J364" s="142"/>
      <c r="K364" s="411"/>
      <c r="L364" s="142"/>
      <c r="M364" s="403"/>
      <c r="N364" s="198"/>
      <c r="O364" s="403"/>
      <c r="P364" s="198"/>
      <c r="Q364" s="411"/>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1"/>
      <c r="J365" s="142"/>
      <c r="K365" s="411"/>
      <c r="L365" s="142"/>
      <c r="M365" s="403"/>
      <c r="N365" s="198"/>
      <c r="O365" s="403"/>
      <c r="P365" s="198"/>
      <c r="Q365" s="411"/>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1"/>
      <c r="J366" s="142"/>
      <c r="K366" s="411"/>
      <c r="L366" s="142"/>
      <c r="M366" s="403"/>
      <c r="N366" s="198"/>
      <c r="O366" s="403"/>
      <c r="P366" s="198"/>
      <c r="Q366" s="411"/>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1"/>
      <c r="J367" s="142"/>
      <c r="K367" s="411"/>
      <c r="L367" s="142"/>
      <c r="M367" s="403"/>
      <c r="N367" s="198"/>
      <c r="O367" s="403"/>
      <c r="P367" s="198"/>
      <c r="Q367" s="411"/>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1"/>
      <c r="J368" s="142"/>
      <c r="K368" s="411"/>
      <c r="L368" s="142"/>
      <c r="M368" s="403"/>
      <c r="N368" s="198"/>
      <c r="O368" s="403"/>
      <c r="P368" s="198"/>
      <c r="Q368" s="411"/>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1"/>
      <c r="J369" s="142"/>
      <c r="K369" s="411"/>
      <c r="L369" s="142"/>
      <c r="M369" s="403"/>
      <c r="N369" s="198"/>
      <c r="O369" s="403"/>
      <c r="P369" s="198"/>
      <c r="Q369" s="411"/>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1"/>
      <c r="J370" s="142"/>
      <c r="K370" s="411"/>
      <c r="L370" s="142"/>
      <c r="M370" s="403"/>
      <c r="N370" s="198"/>
      <c r="O370" s="403"/>
      <c r="P370" s="198"/>
      <c r="Q370" s="411"/>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1"/>
      <c r="J371" s="142"/>
      <c r="K371" s="411"/>
      <c r="L371" s="142"/>
      <c r="M371" s="403"/>
      <c r="N371" s="198"/>
      <c r="O371" s="403"/>
      <c r="P371" s="198"/>
      <c r="Q371" s="411"/>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1"/>
      <c r="J372" s="142"/>
      <c r="K372" s="411"/>
      <c r="L372" s="142"/>
      <c r="M372" s="403"/>
      <c r="N372" s="198"/>
      <c r="O372" s="403"/>
      <c r="P372" s="198"/>
      <c r="Q372" s="411"/>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1"/>
      <c r="J373" s="142"/>
      <c r="K373" s="411"/>
      <c r="L373" s="142"/>
      <c r="M373" s="403"/>
      <c r="N373" s="198"/>
      <c r="O373" s="403"/>
      <c r="P373" s="198"/>
      <c r="Q373" s="411"/>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1"/>
      <c r="J374" s="142"/>
      <c r="K374" s="411"/>
      <c r="L374" s="142"/>
      <c r="M374" s="403"/>
      <c r="N374" s="198"/>
      <c r="O374" s="403"/>
      <c r="P374" s="198"/>
      <c r="Q374" s="411"/>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1"/>
      <c r="J375" s="142"/>
      <c r="K375" s="411"/>
      <c r="L375" s="142"/>
      <c r="M375" s="403"/>
      <c r="N375" s="198"/>
      <c r="O375" s="403"/>
      <c r="P375" s="198"/>
      <c r="Q375" s="411"/>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1"/>
      <c r="J376" s="142"/>
      <c r="K376" s="411"/>
      <c r="L376" s="142"/>
      <c r="M376" s="403"/>
      <c r="N376" s="198"/>
      <c r="O376" s="403"/>
      <c r="P376" s="198"/>
      <c r="Q376" s="411"/>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1"/>
      <c r="J377" s="142"/>
      <c r="K377" s="411"/>
      <c r="L377" s="142"/>
      <c r="M377" s="403"/>
      <c r="N377" s="198"/>
      <c r="O377" s="403"/>
      <c r="P377" s="198"/>
      <c r="Q377" s="411"/>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1"/>
      <c r="J378" s="142"/>
      <c r="K378" s="411"/>
      <c r="L378" s="142"/>
      <c r="M378" s="403"/>
      <c r="N378" s="198"/>
      <c r="O378" s="403"/>
      <c r="P378" s="198"/>
      <c r="Q378" s="411"/>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1"/>
      <c r="J379" s="142"/>
      <c r="K379" s="411"/>
      <c r="L379" s="142"/>
      <c r="M379" s="403"/>
      <c r="N379" s="198"/>
      <c r="O379" s="403"/>
      <c r="P379" s="198"/>
      <c r="Q379" s="411"/>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1"/>
      <c r="J380" s="142"/>
      <c r="K380" s="411"/>
      <c r="L380" s="142"/>
      <c r="M380" s="403"/>
      <c r="N380" s="198"/>
      <c r="O380" s="403"/>
      <c r="P380" s="198"/>
      <c r="Q380" s="411"/>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1"/>
      <c r="J381" s="142"/>
      <c r="K381" s="411"/>
      <c r="L381" s="142"/>
      <c r="M381" s="403"/>
      <c r="N381" s="198"/>
      <c r="O381" s="403"/>
      <c r="P381" s="198"/>
      <c r="Q381" s="411"/>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1"/>
      <c r="J382" s="142"/>
      <c r="K382" s="411"/>
      <c r="L382" s="142"/>
      <c r="M382" s="403"/>
      <c r="N382" s="198"/>
      <c r="O382" s="403"/>
      <c r="P382" s="198"/>
      <c r="Q382" s="411"/>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1"/>
      <c r="J383" s="142"/>
      <c r="K383" s="411"/>
      <c r="L383" s="142"/>
      <c r="M383" s="403"/>
      <c r="N383" s="198"/>
      <c r="O383" s="403"/>
      <c r="P383" s="198"/>
      <c r="Q383" s="411"/>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1"/>
      <c r="J384" s="142"/>
      <c r="K384" s="411"/>
      <c r="L384" s="142"/>
      <c r="M384" s="403"/>
      <c r="N384" s="198"/>
      <c r="O384" s="403"/>
      <c r="P384" s="198"/>
      <c r="Q384" s="411"/>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1"/>
      <c r="J385" s="142"/>
      <c r="K385" s="411"/>
      <c r="L385" s="142"/>
      <c r="M385" s="403"/>
      <c r="N385" s="198"/>
      <c r="O385" s="403"/>
      <c r="P385" s="198"/>
      <c r="Q385" s="411"/>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1"/>
      <c r="J386" s="142"/>
      <c r="K386" s="411"/>
      <c r="L386" s="142"/>
      <c r="M386" s="403"/>
      <c r="N386" s="198"/>
      <c r="O386" s="403"/>
      <c r="P386" s="198"/>
      <c r="Q386" s="411"/>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1"/>
      <c r="J387" s="142"/>
      <c r="K387" s="411"/>
      <c r="L387" s="142"/>
      <c r="M387" s="403"/>
      <c r="N387" s="198"/>
      <c r="O387" s="403"/>
      <c r="P387" s="198"/>
      <c r="Q387" s="411"/>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1"/>
      <c r="J388" s="142"/>
      <c r="K388" s="411"/>
      <c r="L388" s="142"/>
      <c r="M388" s="403"/>
      <c r="N388" s="198"/>
      <c r="O388" s="403"/>
      <c r="P388" s="198"/>
      <c r="Q388" s="411"/>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1"/>
      <c r="J389" s="142"/>
      <c r="K389" s="411"/>
      <c r="L389" s="142"/>
      <c r="M389" s="403"/>
      <c r="N389" s="198"/>
      <c r="O389" s="403"/>
      <c r="P389" s="198"/>
      <c r="Q389" s="411"/>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1"/>
      <c r="J390" s="142"/>
      <c r="K390" s="411"/>
      <c r="L390" s="142"/>
      <c r="M390" s="403"/>
      <c r="N390" s="198"/>
      <c r="O390" s="403"/>
      <c r="P390" s="198"/>
      <c r="Q390" s="411"/>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1"/>
      <c r="J391" s="142"/>
      <c r="K391" s="411"/>
      <c r="L391" s="142"/>
      <c r="M391" s="403"/>
      <c r="N391" s="198"/>
      <c r="O391" s="403"/>
      <c r="P391" s="198"/>
      <c r="Q391" s="411"/>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1"/>
      <c r="J392" s="142"/>
      <c r="K392" s="411"/>
      <c r="L392" s="142"/>
      <c r="M392" s="403"/>
      <c r="N392" s="198"/>
      <c r="O392" s="403"/>
      <c r="P392" s="198"/>
      <c r="Q392" s="411"/>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1"/>
      <c r="J393" s="142"/>
      <c r="K393" s="411"/>
      <c r="L393" s="142"/>
      <c r="M393" s="403"/>
      <c r="N393" s="198"/>
      <c r="O393" s="403"/>
      <c r="P393" s="198"/>
      <c r="Q393" s="411"/>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1"/>
      <c r="J394" s="142"/>
      <c r="K394" s="411"/>
      <c r="L394" s="142"/>
      <c r="M394" s="403"/>
      <c r="N394" s="198"/>
      <c r="O394" s="403"/>
      <c r="P394" s="198"/>
      <c r="Q394" s="411"/>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1"/>
      <c r="J395" s="142"/>
      <c r="K395" s="411"/>
      <c r="L395" s="142"/>
      <c r="M395" s="403"/>
      <c r="N395" s="198"/>
      <c r="O395" s="403"/>
      <c r="P395" s="198"/>
      <c r="Q395" s="411"/>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1"/>
      <c r="J396" s="142"/>
      <c r="K396" s="411"/>
      <c r="L396" s="142"/>
      <c r="M396" s="403"/>
      <c r="N396" s="198"/>
      <c r="O396" s="403"/>
      <c r="P396" s="198"/>
      <c r="Q396" s="411"/>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1"/>
      <c r="J397" s="142"/>
      <c r="K397" s="411"/>
      <c r="L397" s="142"/>
      <c r="M397" s="403"/>
      <c r="N397" s="198"/>
      <c r="O397" s="403"/>
      <c r="P397" s="198"/>
      <c r="Q397" s="411"/>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1"/>
      <c r="J398" s="142"/>
      <c r="K398" s="411"/>
      <c r="L398" s="142"/>
      <c r="M398" s="403"/>
      <c r="N398" s="198"/>
      <c r="O398" s="403"/>
      <c r="P398" s="198"/>
      <c r="Q398" s="411"/>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1"/>
      <c r="J399" s="142"/>
      <c r="K399" s="411"/>
      <c r="L399" s="142"/>
      <c r="M399" s="403"/>
      <c r="N399" s="198"/>
      <c r="O399" s="403"/>
      <c r="P399" s="198"/>
      <c r="Q399" s="411"/>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1"/>
      <c r="J400" s="142"/>
      <c r="K400" s="411"/>
      <c r="L400" s="142"/>
      <c r="M400" s="403"/>
      <c r="N400" s="198"/>
      <c r="O400" s="403"/>
      <c r="P400" s="198"/>
      <c r="Q400" s="411"/>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1"/>
      <c r="J401" s="142"/>
      <c r="K401" s="411"/>
      <c r="L401" s="142"/>
      <c r="M401" s="403"/>
      <c r="N401" s="198"/>
      <c r="O401" s="403"/>
      <c r="P401" s="198"/>
      <c r="Q401" s="411"/>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1"/>
      <c r="J402" s="142"/>
      <c r="K402" s="411"/>
      <c r="L402" s="142"/>
      <c r="M402" s="403"/>
      <c r="N402" s="198"/>
      <c r="O402" s="403"/>
      <c r="P402" s="198"/>
      <c r="Q402" s="411"/>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1"/>
      <c r="J403" s="142"/>
      <c r="K403" s="411"/>
      <c r="L403" s="142"/>
      <c r="M403" s="403"/>
      <c r="N403" s="198"/>
      <c r="O403" s="403"/>
      <c r="P403" s="198"/>
      <c r="Q403" s="411"/>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1"/>
      <c r="J404" s="142"/>
      <c r="K404" s="411"/>
      <c r="L404" s="142"/>
      <c r="M404" s="403"/>
      <c r="N404" s="198"/>
      <c r="O404" s="403"/>
      <c r="P404" s="198"/>
      <c r="Q404" s="411"/>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1"/>
      <c r="J405" s="142"/>
      <c r="K405" s="411"/>
      <c r="L405" s="142"/>
      <c r="M405" s="403"/>
      <c r="N405" s="198"/>
      <c r="O405" s="403"/>
      <c r="P405" s="198"/>
      <c r="Q405" s="411"/>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1"/>
      <c r="J406" s="142"/>
      <c r="K406" s="411"/>
      <c r="L406" s="142"/>
      <c r="M406" s="403"/>
      <c r="N406" s="198"/>
      <c r="O406" s="403"/>
      <c r="P406" s="198"/>
      <c r="Q406" s="411"/>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1"/>
      <c r="J407" s="142"/>
      <c r="K407" s="411"/>
      <c r="L407" s="142"/>
      <c r="M407" s="403"/>
      <c r="N407" s="198"/>
      <c r="O407" s="403"/>
      <c r="P407" s="198"/>
      <c r="Q407" s="411"/>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1"/>
      <c r="J408" s="142"/>
      <c r="K408" s="411"/>
      <c r="L408" s="142"/>
      <c r="M408" s="403"/>
      <c r="N408" s="198"/>
      <c r="O408" s="403"/>
      <c r="P408" s="198"/>
      <c r="Q408" s="411"/>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1"/>
      <c r="J409" s="142"/>
      <c r="K409" s="411"/>
      <c r="L409" s="142"/>
      <c r="M409" s="403"/>
      <c r="N409" s="198"/>
      <c r="O409" s="403"/>
      <c r="P409" s="198"/>
      <c r="Q409" s="411"/>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1"/>
      <c r="J410" s="142"/>
      <c r="K410" s="411"/>
      <c r="L410" s="142"/>
      <c r="M410" s="403"/>
      <c r="N410" s="198"/>
      <c r="O410" s="403"/>
      <c r="P410" s="198"/>
      <c r="Q410" s="411"/>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1"/>
      <c r="J411" s="142"/>
      <c r="K411" s="411"/>
      <c r="L411" s="142"/>
      <c r="M411" s="403"/>
      <c r="N411" s="198"/>
      <c r="O411" s="403"/>
      <c r="P411" s="198"/>
      <c r="Q411" s="411"/>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1"/>
      <c r="J412" s="142"/>
      <c r="K412" s="411"/>
      <c r="L412" s="142"/>
      <c r="M412" s="403"/>
      <c r="N412" s="198"/>
      <c r="O412" s="403"/>
      <c r="P412" s="198"/>
      <c r="Q412" s="411"/>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1"/>
      <c r="J413" s="142"/>
      <c r="K413" s="411"/>
      <c r="L413" s="142"/>
      <c r="M413" s="403"/>
      <c r="N413" s="198"/>
      <c r="O413" s="403"/>
      <c r="P413" s="198"/>
      <c r="Q413" s="411"/>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1"/>
      <c r="J414" s="142"/>
      <c r="K414" s="411"/>
      <c r="L414" s="142"/>
      <c r="M414" s="403"/>
      <c r="N414" s="198"/>
      <c r="O414" s="403"/>
      <c r="P414" s="198"/>
      <c r="Q414" s="411"/>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1"/>
      <c r="J415" s="142"/>
      <c r="K415" s="411"/>
      <c r="L415" s="142"/>
      <c r="M415" s="403"/>
      <c r="N415" s="198"/>
      <c r="O415" s="403"/>
      <c r="P415" s="198"/>
      <c r="Q415" s="411"/>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1"/>
      <c r="J416" s="142"/>
      <c r="K416" s="411"/>
      <c r="L416" s="142"/>
      <c r="M416" s="403"/>
      <c r="N416" s="198"/>
      <c r="O416" s="403"/>
      <c r="P416" s="198"/>
      <c r="Q416" s="411"/>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1"/>
      <c r="J417" s="142"/>
      <c r="K417" s="411"/>
      <c r="L417" s="142"/>
      <c r="M417" s="403"/>
      <c r="N417" s="198"/>
      <c r="O417" s="403"/>
      <c r="P417" s="198"/>
      <c r="Q417" s="411"/>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1"/>
      <c r="J418" s="142"/>
      <c r="K418" s="411"/>
      <c r="L418" s="142"/>
      <c r="M418" s="403"/>
      <c r="N418" s="198"/>
      <c r="O418" s="403"/>
      <c r="P418" s="198"/>
      <c r="Q418" s="411"/>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1"/>
      <c r="J419" s="142"/>
      <c r="K419" s="411"/>
      <c r="L419" s="142"/>
      <c r="M419" s="403"/>
      <c r="N419" s="198"/>
      <c r="O419" s="403"/>
      <c r="P419" s="198"/>
      <c r="Q419" s="411"/>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1"/>
      <c r="J420" s="142"/>
      <c r="K420" s="411"/>
      <c r="L420" s="142"/>
      <c r="M420" s="403"/>
      <c r="N420" s="198"/>
      <c r="O420" s="403"/>
      <c r="P420" s="198"/>
      <c r="Q420" s="411"/>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1"/>
      <c r="J421" s="142"/>
      <c r="K421" s="411"/>
      <c r="L421" s="142"/>
      <c r="M421" s="403"/>
      <c r="N421" s="198"/>
      <c r="O421" s="403"/>
      <c r="P421" s="198"/>
      <c r="Q421" s="411"/>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1"/>
      <c r="J422" s="142"/>
      <c r="K422" s="411"/>
      <c r="L422" s="142"/>
      <c r="M422" s="403"/>
      <c r="N422" s="198"/>
      <c r="O422" s="403"/>
      <c r="P422" s="198"/>
      <c r="Q422" s="411"/>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1"/>
      <c r="J423" s="142"/>
      <c r="K423" s="411"/>
      <c r="L423" s="142"/>
      <c r="M423" s="403"/>
      <c r="N423" s="198"/>
      <c r="O423" s="403"/>
      <c r="P423" s="198"/>
      <c r="Q423" s="411"/>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1"/>
      <c r="J424" s="142"/>
      <c r="K424" s="411"/>
      <c r="L424" s="142"/>
      <c r="M424" s="403"/>
      <c r="N424" s="198"/>
      <c r="O424" s="403"/>
      <c r="P424" s="198"/>
      <c r="Q424" s="411"/>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1"/>
      <c r="J425" s="142"/>
      <c r="K425" s="411"/>
      <c r="L425" s="142"/>
      <c r="M425" s="403"/>
      <c r="N425" s="198"/>
      <c r="O425" s="403"/>
      <c r="P425" s="198"/>
      <c r="Q425" s="411"/>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1"/>
      <c r="J426" s="142"/>
      <c r="K426" s="411"/>
      <c r="L426" s="142"/>
      <c r="M426" s="403"/>
      <c r="N426" s="198"/>
      <c r="O426" s="403"/>
      <c r="P426" s="198"/>
      <c r="Q426" s="411"/>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1"/>
      <c r="J427" s="142"/>
      <c r="K427" s="411"/>
      <c r="L427" s="142"/>
      <c r="M427" s="403"/>
      <c r="N427" s="198"/>
      <c r="O427" s="403"/>
      <c r="P427" s="198"/>
      <c r="Q427" s="411"/>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1"/>
      <c r="J428" s="142"/>
      <c r="K428" s="411"/>
      <c r="L428" s="142"/>
      <c r="M428" s="403"/>
      <c r="N428" s="198"/>
      <c r="O428" s="403"/>
      <c r="P428" s="198"/>
      <c r="Q428" s="411"/>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1"/>
      <c r="J429" s="142"/>
      <c r="K429" s="411"/>
      <c r="L429" s="142"/>
      <c r="M429" s="403"/>
      <c r="N429" s="198"/>
      <c r="O429" s="403"/>
      <c r="P429" s="198"/>
      <c r="Q429" s="411"/>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1"/>
      <c r="J430" s="142"/>
      <c r="K430" s="411"/>
      <c r="L430" s="142"/>
      <c r="M430" s="403"/>
      <c r="N430" s="198"/>
      <c r="O430" s="403"/>
      <c r="P430" s="198"/>
      <c r="Q430" s="411"/>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1"/>
      <c r="J431" s="142"/>
      <c r="K431" s="411"/>
      <c r="L431" s="142"/>
      <c r="M431" s="403"/>
      <c r="N431" s="198"/>
      <c r="O431" s="403"/>
      <c r="P431" s="198"/>
      <c r="Q431" s="411"/>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1"/>
      <c r="J432" s="142"/>
      <c r="K432" s="411"/>
      <c r="L432" s="142"/>
      <c r="M432" s="403"/>
      <c r="N432" s="198"/>
      <c r="O432" s="403"/>
      <c r="P432" s="198"/>
      <c r="Q432" s="411"/>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1"/>
      <c r="J433" s="142"/>
      <c r="K433" s="411"/>
      <c r="L433" s="142"/>
      <c r="M433" s="403"/>
      <c r="N433" s="198"/>
      <c r="O433" s="403"/>
      <c r="P433" s="198"/>
      <c r="Q433" s="411"/>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1"/>
      <c r="J434" s="142"/>
      <c r="K434" s="411"/>
      <c r="L434" s="142"/>
      <c r="M434" s="403"/>
      <c r="N434" s="198"/>
      <c r="O434" s="403"/>
      <c r="P434" s="198"/>
      <c r="Q434" s="411"/>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1"/>
      <c r="J435" s="142"/>
      <c r="K435" s="411"/>
      <c r="L435" s="142"/>
      <c r="M435" s="403"/>
      <c r="N435" s="198"/>
      <c r="O435" s="403"/>
      <c r="P435" s="198"/>
      <c r="Q435" s="411"/>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1"/>
      <c r="J436" s="142"/>
      <c r="K436" s="411"/>
      <c r="L436" s="142"/>
      <c r="M436" s="403"/>
      <c r="N436" s="198"/>
      <c r="O436" s="403"/>
      <c r="P436" s="198"/>
      <c r="Q436" s="411"/>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1"/>
      <c r="J437" s="142"/>
      <c r="K437" s="411"/>
      <c r="L437" s="142"/>
      <c r="M437" s="403"/>
      <c r="N437" s="198"/>
      <c r="O437" s="403"/>
      <c r="P437" s="198"/>
      <c r="Q437" s="411"/>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1"/>
      <c r="J438" s="142"/>
      <c r="K438" s="411"/>
      <c r="L438" s="142"/>
      <c r="M438" s="403"/>
      <c r="N438" s="198"/>
      <c r="O438" s="403"/>
      <c r="P438" s="198"/>
      <c r="Q438" s="411"/>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1"/>
      <c r="J439" s="142"/>
      <c r="K439" s="411"/>
      <c r="L439" s="142"/>
      <c r="M439" s="403"/>
      <c r="N439" s="198"/>
      <c r="O439" s="403"/>
      <c r="P439" s="198"/>
      <c r="Q439" s="411"/>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1"/>
      <c r="J440" s="142"/>
      <c r="K440" s="411"/>
      <c r="L440" s="142"/>
      <c r="M440" s="403"/>
      <c r="N440" s="198"/>
      <c r="O440" s="403"/>
      <c r="P440" s="198"/>
      <c r="Q440" s="411"/>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1"/>
      <c r="J441" s="142"/>
      <c r="K441" s="411"/>
      <c r="L441" s="142"/>
      <c r="M441" s="403"/>
      <c r="N441" s="198"/>
      <c r="O441" s="403"/>
      <c r="P441" s="198"/>
      <c r="Q441" s="411"/>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1"/>
      <c r="J442" s="142"/>
      <c r="K442" s="411"/>
      <c r="L442" s="142"/>
      <c r="M442" s="403"/>
      <c r="N442" s="198"/>
      <c r="O442" s="403"/>
      <c r="P442" s="198"/>
      <c r="Q442" s="411"/>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1"/>
      <c r="J443" s="142"/>
      <c r="K443" s="411"/>
      <c r="L443" s="142"/>
      <c r="M443" s="403"/>
      <c r="N443" s="198"/>
      <c r="O443" s="403"/>
      <c r="P443" s="198"/>
      <c r="Q443" s="411"/>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1"/>
      <c r="J444" s="142"/>
      <c r="K444" s="411"/>
      <c r="L444" s="142"/>
      <c r="M444" s="403"/>
      <c r="N444" s="198"/>
      <c r="O444" s="403"/>
      <c r="P444" s="198"/>
      <c r="Q444" s="411"/>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1"/>
      <c r="J445" s="142"/>
      <c r="K445" s="411"/>
      <c r="L445" s="142"/>
      <c r="M445" s="403"/>
      <c r="N445" s="198"/>
      <c r="O445" s="403"/>
      <c r="P445" s="198"/>
      <c r="Q445" s="411"/>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1"/>
      <c r="J446" s="142"/>
      <c r="K446" s="411"/>
      <c r="L446" s="142"/>
      <c r="M446" s="403"/>
      <c r="N446" s="198"/>
      <c r="O446" s="403"/>
      <c r="P446" s="198"/>
      <c r="Q446" s="411"/>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1"/>
      <c r="J447" s="142"/>
      <c r="K447" s="411"/>
      <c r="L447" s="142"/>
      <c r="M447" s="403"/>
      <c r="N447" s="198"/>
      <c r="O447" s="403"/>
      <c r="P447" s="198"/>
      <c r="Q447" s="411"/>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1"/>
      <c r="J448" s="142"/>
      <c r="K448" s="411"/>
      <c r="L448" s="142"/>
      <c r="M448" s="403"/>
      <c r="N448" s="198"/>
      <c r="O448" s="403"/>
      <c r="P448" s="198"/>
      <c r="Q448" s="411"/>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1"/>
      <c r="J449" s="142"/>
      <c r="K449" s="411"/>
      <c r="L449" s="142"/>
      <c r="M449" s="403"/>
      <c r="N449" s="198"/>
      <c r="O449" s="403"/>
      <c r="P449" s="198"/>
      <c r="Q449" s="411"/>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1"/>
      <c r="J450" s="142"/>
      <c r="K450" s="411"/>
      <c r="L450" s="142"/>
      <c r="M450" s="403"/>
      <c r="N450" s="198"/>
      <c r="O450" s="403"/>
      <c r="P450" s="198"/>
      <c r="Q450" s="411"/>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1"/>
      <c r="J451" s="142"/>
      <c r="K451" s="411"/>
      <c r="L451" s="142"/>
      <c r="M451" s="403"/>
      <c r="N451" s="198"/>
      <c r="O451" s="403"/>
      <c r="P451" s="198"/>
      <c r="Q451" s="411"/>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1"/>
      <c r="J452" s="142"/>
      <c r="K452" s="411"/>
      <c r="L452" s="142"/>
      <c r="M452" s="403"/>
      <c r="N452" s="198"/>
      <c r="O452" s="403"/>
      <c r="P452" s="198"/>
      <c r="Q452" s="411"/>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1"/>
      <c r="J453" s="142"/>
      <c r="K453" s="411"/>
      <c r="L453" s="142"/>
      <c r="M453" s="403"/>
      <c r="N453" s="198"/>
      <c r="O453" s="403"/>
      <c r="P453" s="198"/>
      <c r="Q453" s="411"/>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1"/>
      <c r="J454" s="142"/>
      <c r="K454" s="411"/>
      <c r="L454" s="142"/>
      <c r="M454" s="403"/>
      <c r="N454" s="198"/>
      <c r="O454" s="403"/>
      <c r="P454" s="198"/>
      <c r="Q454" s="411"/>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1"/>
      <c r="J455" s="142"/>
      <c r="K455" s="411"/>
      <c r="L455" s="142"/>
      <c r="M455" s="403"/>
      <c r="N455" s="198"/>
      <c r="O455" s="403"/>
      <c r="P455" s="198"/>
      <c r="Q455" s="411"/>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1"/>
      <c r="J456" s="142"/>
      <c r="K456" s="411"/>
      <c r="L456" s="142"/>
      <c r="M456" s="403"/>
      <c r="N456" s="198"/>
      <c r="O456" s="403"/>
      <c r="P456" s="198"/>
      <c r="Q456" s="411"/>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1"/>
      <c r="J457" s="142"/>
      <c r="K457" s="411"/>
      <c r="L457" s="142"/>
      <c r="M457" s="403"/>
      <c r="N457" s="198"/>
      <c r="O457" s="403"/>
      <c r="P457" s="198"/>
      <c r="Q457" s="411"/>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1"/>
      <c r="J458" s="142"/>
      <c r="K458" s="411"/>
      <c r="L458" s="142"/>
      <c r="M458" s="403"/>
      <c r="N458" s="198"/>
      <c r="O458" s="403"/>
      <c r="P458" s="198"/>
      <c r="Q458" s="411"/>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1"/>
      <c r="J459" s="142"/>
      <c r="K459" s="411"/>
      <c r="L459" s="142"/>
      <c r="M459" s="403"/>
      <c r="N459" s="198"/>
      <c r="O459" s="403"/>
      <c r="P459" s="198"/>
      <c r="Q459" s="411"/>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1"/>
      <c r="J460" s="142"/>
      <c r="K460" s="411"/>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1"/>
      <c r="J461" s="142"/>
      <c r="K461" s="411"/>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1"/>
      <c r="J462" s="142"/>
      <c r="K462" s="411"/>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1"/>
      <c r="J463" s="142"/>
      <c r="K463" s="411"/>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1"/>
      <c r="J464" s="142"/>
      <c r="K464" s="411"/>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1"/>
      <c r="J465" s="142"/>
      <c r="K465" s="411"/>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1"/>
      <c r="J466" s="142"/>
      <c r="K466" s="411"/>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1"/>
      <c r="J467" s="142"/>
      <c r="K467" s="411"/>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1"/>
      <c r="J468" s="142"/>
      <c r="K468" s="411"/>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1"/>
      <c r="J469" s="142"/>
      <c r="K469" s="411"/>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1"/>
      <c r="J470" s="142"/>
      <c r="K470" s="411"/>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1"/>
      <c r="J471" s="142"/>
      <c r="K471" s="411"/>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1"/>
      <c r="J472" s="142"/>
      <c r="K472" s="411"/>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1"/>
      <c r="J473" s="142"/>
      <c r="K473" s="411"/>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1"/>
      <c r="J474" s="142"/>
      <c r="K474" s="411"/>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1"/>
      <c r="J475" s="142"/>
      <c r="K475" s="411"/>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1"/>
      <c r="J476" s="142"/>
      <c r="K476" s="411"/>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1"/>
      <c r="J477" s="142"/>
      <c r="K477" s="411"/>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1"/>
      <c r="J478" s="142"/>
      <c r="K478" s="411"/>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1"/>
      <c r="J479" s="142"/>
      <c r="K479" s="411"/>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1"/>
      <c r="J480" s="142"/>
      <c r="K480" s="411"/>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1"/>
      <c r="J481" s="142"/>
      <c r="K481" s="411"/>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1"/>
      <c r="J482" s="142"/>
      <c r="K482" s="411"/>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1"/>
      <c r="J483" s="142"/>
      <c r="K483" s="411"/>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1"/>
      <c r="J484" s="142"/>
      <c r="K484" s="411"/>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1"/>
      <c r="J485" s="142"/>
      <c r="K485" s="411"/>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1"/>
      <c r="J486" s="142"/>
      <c r="K486" s="411"/>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1"/>
      <c r="J487" s="142"/>
      <c r="K487" s="411"/>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1"/>
      <c r="J488" s="142"/>
      <c r="K488" s="411"/>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1"/>
      <c r="J489" s="142"/>
      <c r="K489" s="411"/>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1"/>
      <c r="J490" s="142"/>
      <c r="K490" s="411"/>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1"/>
      <c r="J491" s="142"/>
      <c r="K491" s="411"/>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1"/>
      <c r="J492" s="142"/>
      <c r="K492" s="411"/>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1"/>
      <c r="J493" s="142"/>
      <c r="K493" s="411"/>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1"/>
      <c r="J494" s="142"/>
      <c r="K494" s="411"/>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1"/>
      <c r="J495" s="142"/>
      <c r="K495" s="411"/>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1"/>
      <c r="J496" s="142"/>
      <c r="K496" s="411"/>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1"/>
      <c r="J497" s="142"/>
      <c r="K497" s="411"/>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1"/>
      <c r="J498" s="142"/>
      <c r="K498" s="411"/>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1"/>
      <c r="J499" s="142"/>
      <c r="K499" s="411"/>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1"/>
      <c r="J500" s="142"/>
      <c r="K500" s="411"/>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1"/>
      <c r="J501" s="142"/>
      <c r="K501" s="411"/>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1"/>
      <c r="J502" s="142"/>
      <c r="K502" s="411"/>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1"/>
      <c r="J503" s="142"/>
      <c r="K503" s="411"/>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1"/>
      <c r="J504" s="142"/>
      <c r="K504" s="411"/>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1"/>
      <c r="J505" s="142"/>
      <c r="K505" s="411"/>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1"/>
      <c r="J506" s="142"/>
      <c r="K506" s="411"/>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1"/>
      <c r="J507" s="142"/>
      <c r="K507" s="411"/>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1"/>
      <c r="J508" s="142"/>
      <c r="K508" s="411"/>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1"/>
      <c r="J509" s="142"/>
      <c r="K509" s="411"/>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1"/>
      <c r="J510" s="142"/>
      <c r="K510" s="411"/>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1"/>
      <c r="J511" s="142"/>
      <c r="K511" s="411"/>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1"/>
      <c r="J512" s="142"/>
      <c r="K512" s="411"/>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1"/>
      <c r="J513" s="142"/>
      <c r="K513" s="411"/>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1"/>
      <c r="J514" s="142"/>
      <c r="K514" s="411"/>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1"/>
      <c r="J515" s="142"/>
      <c r="K515" s="411"/>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1"/>
      <c r="J516" s="142"/>
      <c r="K516" s="411"/>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1"/>
      <c r="J517" s="142"/>
      <c r="K517" s="411"/>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1"/>
      <c r="J518" s="142"/>
      <c r="K518" s="411"/>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1"/>
      <c r="J519" s="142"/>
      <c r="K519" s="411"/>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1"/>
      <c r="J520" s="142"/>
      <c r="K520" s="411"/>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1"/>
      <c r="J521" s="142"/>
      <c r="K521" s="411"/>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1"/>
      <c r="J522" s="142"/>
      <c r="K522" s="411"/>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1"/>
      <c r="J523" s="142"/>
      <c r="K523" s="411"/>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1"/>
      <c r="J524" s="142"/>
      <c r="K524" s="411"/>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1"/>
      <c r="J525" s="142"/>
      <c r="K525" s="411"/>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1"/>
      <c r="J526" s="142"/>
      <c r="K526" s="411"/>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1"/>
      <c r="J527" s="142"/>
      <c r="K527" s="411"/>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1"/>
      <c r="J528" s="142"/>
      <c r="K528" s="411"/>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1"/>
      <c r="J529" s="142"/>
      <c r="K529" s="411"/>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1"/>
      <c r="J530" s="142"/>
      <c r="K530" s="411"/>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1"/>
      <c r="J531" s="142"/>
      <c r="K531" s="411"/>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1"/>
      <c r="J532" s="142"/>
      <c r="K532" s="411"/>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1"/>
      <c r="J533" s="142"/>
      <c r="K533" s="411"/>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1"/>
      <c r="J534" s="142"/>
      <c r="K534" s="411"/>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1"/>
      <c r="J535" s="142"/>
      <c r="K535" s="411"/>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1"/>
      <c r="J536" s="142"/>
      <c r="K536" s="411"/>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1"/>
      <c r="J537" s="142"/>
      <c r="K537" s="411"/>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1"/>
      <c r="J538" s="142"/>
      <c r="K538" s="411"/>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1"/>
      <c r="J539" s="142"/>
      <c r="K539" s="411"/>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1"/>
      <c r="J540" s="142"/>
      <c r="K540" s="411"/>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1"/>
      <c r="J541" s="142"/>
      <c r="K541" s="411"/>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1"/>
      <c r="J542" s="142"/>
      <c r="K542" s="411"/>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1"/>
      <c r="J543" s="142"/>
      <c r="K543" s="411"/>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1"/>
      <c r="J544" s="142"/>
      <c r="K544" s="411"/>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1"/>
      <c r="J545" s="142"/>
      <c r="K545" s="411"/>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1"/>
      <c r="J546" s="142"/>
      <c r="K546" s="411"/>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1"/>
      <c r="J547" s="142"/>
      <c r="K547" s="411"/>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1"/>
      <c r="J548" s="142"/>
      <c r="K548" s="411"/>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1"/>
      <c r="J549" s="142"/>
      <c r="K549" s="411"/>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1"/>
      <c r="J550" s="142"/>
      <c r="K550" s="411"/>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1"/>
      <c r="J551" s="142"/>
      <c r="K551" s="411"/>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1"/>
      <c r="J552" s="142"/>
      <c r="K552" s="411"/>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1"/>
      <c r="J553" s="142"/>
      <c r="K553" s="411"/>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1"/>
      <c r="J554" s="142"/>
      <c r="K554" s="411"/>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1"/>
      <c r="J555" s="142"/>
      <c r="K555" s="411"/>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1"/>
      <c r="J556" s="142"/>
      <c r="K556" s="411"/>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1"/>
      <c r="J557" s="142"/>
      <c r="K557" s="411"/>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1"/>
      <c r="J558" s="142"/>
      <c r="K558" s="411"/>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1"/>
      <c r="J559" s="142"/>
      <c r="K559" s="411"/>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1"/>
      <c r="J560" s="142"/>
      <c r="K560" s="411"/>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1"/>
      <c r="J561" s="142"/>
      <c r="K561" s="411"/>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1"/>
      <c r="J562" s="142"/>
      <c r="K562" s="411"/>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1"/>
      <c r="J563" s="142"/>
      <c r="K563" s="411"/>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1"/>
      <c r="J564" s="142"/>
      <c r="K564" s="411"/>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1"/>
      <c r="J565" s="142"/>
      <c r="K565" s="411"/>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1"/>
      <c r="J566" s="142"/>
      <c r="K566" s="411"/>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1"/>
      <c r="J567" s="142"/>
      <c r="K567" s="411"/>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1"/>
      <c r="J568" s="142"/>
      <c r="K568" s="411"/>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1"/>
      <c r="J569" s="142"/>
      <c r="K569" s="411"/>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1"/>
      <c r="J570" s="142"/>
      <c r="K570" s="411"/>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1"/>
      <c r="J571" s="142"/>
      <c r="K571" s="411"/>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1"/>
      <c r="J572" s="142"/>
      <c r="K572" s="411"/>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1"/>
      <c r="J573" s="142"/>
      <c r="K573" s="411"/>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1"/>
      <c r="J574" s="142"/>
      <c r="K574" s="411"/>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1"/>
      <c r="J575" s="142"/>
      <c r="K575" s="411"/>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1"/>
      <c r="J576" s="142"/>
      <c r="K576" s="411"/>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1"/>
      <c r="J577" s="142"/>
      <c r="K577" s="411"/>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1"/>
      <c r="J578" s="142"/>
      <c r="K578" s="411"/>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1"/>
      <c r="J579" s="142"/>
      <c r="K579" s="411"/>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1"/>
      <c r="J580" s="142"/>
      <c r="K580" s="411"/>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1"/>
      <c r="J581" s="142"/>
      <c r="K581" s="411"/>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1"/>
      <c r="J582" s="142"/>
      <c r="K582" s="411"/>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1"/>
      <c r="J583" s="142"/>
      <c r="K583" s="411"/>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1"/>
      <c r="J584" s="142"/>
      <c r="K584" s="411"/>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1"/>
      <c r="J585" s="142"/>
      <c r="K585" s="411"/>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1"/>
      <c r="J586" s="142"/>
      <c r="K586" s="411"/>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1"/>
      <c r="J587" s="142"/>
      <c r="K587" s="411"/>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1"/>
      <c r="J588" s="142"/>
      <c r="K588" s="411"/>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1"/>
      <c r="J589" s="142"/>
      <c r="K589" s="411"/>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1"/>
      <c r="J590" s="142"/>
      <c r="K590" s="411"/>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1"/>
      <c r="J591" s="142"/>
      <c r="K591" s="411"/>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1"/>
      <c r="J592" s="142"/>
      <c r="K592" s="411"/>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1"/>
      <c r="J593" s="142"/>
      <c r="K593" s="411"/>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1"/>
      <c r="J594" s="142"/>
      <c r="K594" s="411"/>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1"/>
      <c r="J595" s="142"/>
      <c r="K595" s="411"/>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1"/>
      <c r="J596" s="142"/>
      <c r="K596" s="411"/>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1"/>
      <c r="J597" s="142"/>
      <c r="K597" s="411"/>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1"/>
      <c r="J598" s="142"/>
      <c r="K598" s="411"/>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1"/>
      <c r="J599" s="142"/>
      <c r="K599" s="411"/>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1"/>
      <c r="J600" s="142"/>
      <c r="K600" s="411"/>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1"/>
      <c r="J601" s="142"/>
      <c r="K601" s="411"/>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1"/>
      <c r="J602" s="142"/>
      <c r="K602" s="411"/>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1"/>
      <c r="J603" s="142"/>
      <c r="K603" s="411"/>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1"/>
      <c r="J604" s="142"/>
      <c r="K604" s="411"/>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1"/>
      <c r="J605" s="142"/>
      <c r="K605" s="411"/>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1"/>
      <c r="J606" s="142"/>
      <c r="K606" s="411"/>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1"/>
      <c r="J607" s="142"/>
      <c r="K607" s="411"/>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1"/>
      <c r="J608" s="142"/>
      <c r="K608" s="411"/>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1"/>
      <c r="J609" s="142"/>
      <c r="K609" s="411"/>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1"/>
      <c r="J610" s="142"/>
      <c r="K610" s="411"/>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1"/>
      <c r="J611" s="142"/>
      <c r="K611" s="411"/>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1"/>
      <c r="J612" s="142"/>
      <c r="K612" s="411"/>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1"/>
      <c r="J613" s="142"/>
      <c r="K613" s="411"/>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1"/>
      <c r="J614" s="142"/>
      <c r="K614" s="411"/>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1"/>
      <c r="J615" s="142"/>
      <c r="K615" s="411"/>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1"/>
      <c r="J616" s="142"/>
      <c r="K616" s="411"/>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1"/>
      <c r="J617" s="142"/>
      <c r="K617" s="411"/>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1"/>
      <c r="J618" s="142"/>
      <c r="K618" s="411"/>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1"/>
      <c r="J619" s="142"/>
      <c r="K619" s="411"/>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1"/>
      <c r="J620" s="142"/>
      <c r="K620" s="411"/>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1"/>
      <c r="J621" s="142"/>
      <c r="K621" s="411"/>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1"/>
      <c r="J622" s="142"/>
      <c r="K622" s="411"/>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1"/>
      <c r="J623" s="142"/>
      <c r="K623" s="411"/>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1"/>
      <c r="J624" s="142"/>
      <c r="K624" s="411"/>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1"/>
      <c r="J625" s="142"/>
      <c r="K625" s="411"/>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1"/>
      <c r="J626" s="142"/>
      <c r="K626" s="411"/>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1"/>
      <c r="J627" s="142"/>
      <c r="K627" s="411"/>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1"/>
      <c r="J628" s="142"/>
      <c r="K628" s="411"/>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1"/>
      <c r="J629" s="142"/>
      <c r="K629" s="411"/>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1"/>
      <c r="J630" s="142"/>
      <c r="K630" s="411"/>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1"/>
      <c r="J631" s="142"/>
      <c r="K631" s="411"/>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1"/>
      <c r="J632" s="142"/>
      <c r="K632" s="411"/>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1"/>
      <c r="J633" s="142"/>
      <c r="K633" s="411"/>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1"/>
      <c r="J634" s="142"/>
      <c r="K634" s="411"/>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1"/>
      <c r="J635" s="142"/>
      <c r="K635" s="411"/>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1"/>
      <c r="J636" s="142"/>
      <c r="K636" s="411"/>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1"/>
      <c r="J637" s="142"/>
      <c r="K637" s="411"/>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1"/>
      <c r="J638" s="142"/>
      <c r="K638" s="411"/>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1"/>
      <c r="J639" s="142"/>
      <c r="K639" s="411"/>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1"/>
      <c r="J640" s="142"/>
      <c r="K640" s="411"/>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1"/>
      <c r="J641" s="142"/>
      <c r="K641" s="411"/>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1"/>
      <c r="J642" s="142"/>
      <c r="K642" s="411"/>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1"/>
      <c r="J643" s="142"/>
      <c r="K643" s="411"/>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1"/>
      <c r="J644" s="142"/>
      <c r="K644" s="411"/>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1"/>
      <c r="J645" s="142"/>
      <c r="K645" s="411"/>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1"/>
      <c r="J646" s="142"/>
      <c r="K646" s="411"/>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1"/>
      <c r="J647" s="142"/>
      <c r="K647" s="411"/>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1"/>
      <c r="J648" s="142"/>
      <c r="K648" s="411"/>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1"/>
      <c r="J649" s="142"/>
      <c r="K649" s="411"/>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1"/>
      <c r="J650" s="142"/>
      <c r="K650" s="411"/>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1"/>
      <c r="J651" s="142"/>
      <c r="K651" s="411"/>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1"/>
      <c r="J652" s="142"/>
      <c r="K652" s="411"/>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1"/>
      <c r="J653" s="142"/>
      <c r="K653" s="411"/>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1"/>
      <c r="J654" s="142"/>
      <c r="K654" s="411"/>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1"/>
      <c r="J655" s="142"/>
      <c r="K655" s="411"/>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1"/>
      <c r="J656" s="142"/>
      <c r="K656" s="411"/>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1"/>
      <c r="J657" s="142"/>
      <c r="K657" s="411"/>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1"/>
      <c r="J658" s="142"/>
      <c r="K658" s="411"/>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1"/>
      <c r="J659" s="142"/>
      <c r="K659" s="411"/>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1"/>
      <c r="J660" s="142"/>
      <c r="K660" s="411"/>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1"/>
      <c r="J661" s="142"/>
      <c r="K661" s="411"/>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1"/>
      <c r="J662" s="142"/>
      <c r="K662" s="411"/>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1"/>
      <c r="J663" s="142"/>
      <c r="K663" s="411"/>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1"/>
      <c r="J664" s="142"/>
      <c r="K664" s="411"/>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1"/>
      <c r="J665" s="142"/>
      <c r="K665" s="411"/>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1"/>
      <c r="J666" s="142"/>
      <c r="K666" s="411"/>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1"/>
      <c r="J667" s="142"/>
      <c r="K667" s="411"/>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1"/>
      <c r="J668" s="142"/>
      <c r="K668" s="411"/>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1"/>
      <c r="J669" s="142"/>
      <c r="K669" s="411"/>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1"/>
      <c r="J670" s="142"/>
      <c r="K670" s="411"/>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1"/>
      <c r="J671" s="142"/>
      <c r="K671" s="411"/>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1"/>
      <c r="J672" s="142"/>
      <c r="K672" s="411"/>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1"/>
      <c r="J673" s="142"/>
      <c r="K673" s="411"/>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1"/>
      <c r="J674" s="142"/>
      <c r="K674" s="411"/>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1"/>
      <c r="J675" s="142"/>
      <c r="K675" s="411"/>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1"/>
      <c r="J676" s="142"/>
      <c r="K676" s="411"/>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1"/>
      <c r="J677" s="142"/>
      <c r="K677" s="411"/>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1"/>
      <c r="J678" s="142"/>
      <c r="K678" s="411"/>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1"/>
      <c r="J679" s="142"/>
      <c r="K679" s="411"/>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1"/>
      <c r="J680" s="142"/>
      <c r="K680" s="411"/>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1"/>
      <c r="J681" s="142"/>
      <c r="K681" s="411"/>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1"/>
      <c r="J682" s="142"/>
      <c r="K682" s="411"/>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1"/>
      <c r="J683" s="142"/>
      <c r="K683" s="411"/>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1"/>
      <c r="J684" s="142"/>
      <c r="K684" s="411"/>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1"/>
      <c r="J685" s="142"/>
      <c r="K685" s="411"/>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1"/>
      <c r="J686" s="142"/>
      <c r="K686" s="411"/>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1"/>
      <c r="J687" s="142"/>
      <c r="K687" s="411"/>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1"/>
      <c r="J688" s="142"/>
      <c r="K688" s="411"/>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1"/>
      <c r="J689" s="142"/>
      <c r="K689" s="411"/>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1"/>
      <c r="J690" s="142"/>
      <c r="K690" s="411"/>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1"/>
      <c r="J691" s="142"/>
      <c r="K691" s="411"/>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1"/>
      <c r="J692" s="142"/>
      <c r="K692" s="411"/>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1"/>
      <c r="J693" s="142"/>
      <c r="K693" s="411"/>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1"/>
      <c r="J694" s="142"/>
      <c r="K694" s="411"/>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1"/>
      <c r="J695" s="142"/>
      <c r="K695" s="411"/>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1"/>
      <c r="J696" s="142"/>
      <c r="K696" s="411"/>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1"/>
      <c r="J697" s="142"/>
      <c r="K697" s="411"/>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1"/>
      <c r="J698" s="142"/>
      <c r="K698" s="411"/>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1"/>
      <c r="J699" s="142"/>
      <c r="K699" s="411"/>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1"/>
      <c r="J700" s="142"/>
      <c r="K700" s="411"/>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1"/>
      <c r="J701" s="142"/>
      <c r="K701" s="411"/>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1"/>
      <c r="J702" s="142"/>
      <c r="K702" s="411"/>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1"/>
      <c r="J703" s="142"/>
      <c r="K703" s="411"/>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1"/>
      <c r="J704" s="142"/>
      <c r="K704" s="411"/>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1"/>
      <c r="J705" s="142"/>
      <c r="K705" s="411"/>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1"/>
      <c r="J706" s="142"/>
      <c r="K706" s="411"/>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1"/>
      <c r="J707" s="142"/>
      <c r="K707" s="411"/>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1"/>
      <c r="J708" s="142"/>
      <c r="K708" s="411"/>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1"/>
      <c r="J709" s="142"/>
      <c r="K709" s="411"/>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1"/>
      <c r="J710" s="142"/>
      <c r="K710" s="411"/>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1"/>
      <c r="J711" s="142"/>
      <c r="K711" s="411"/>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1"/>
      <c r="J712" s="142"/>
      <c r="K712" s="411"/>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1"/>
      <c r="J713" s="142"/>
      <c r="K713" s="411"/>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1"/>
      <c r="J714" s="142"/>
      <c r="K714" s="411"/>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1"/>
      <c r="J715" s="142"/>
      <c r="K715" s="411"/>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1"/>
      <c r="J716" s="142"/>
      <c r="K716" s="411"/>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1"/>
      <c r="J717" s="142"/>
      <c r="K717" s="411"/>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1"/>
      <c r="J718" s="142"/>
      <c r="K718" s="411"/>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1"/>
      <c r="J719" s="142"/>
      <c r="K719" s="411"/>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1"/>
      <c r="J720" s="142"/>
      <c r="K720" s="411"/>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1"/>
      <c r="J721" s="142"/>
      <c r="K721" s="411"/>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1"/>
      <c r="J722" s="142"/>
      <c r="K722" s="411"/>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1"/>
      <c r="J723" s="142"/>
      <c r="K723" s="411"/>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1"/>
      <c r="J724" s="142"/>
      <c r="K724" s="411"/>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1"/>
      <c r="J725" s="142"/>
      <c r="K725" s="411"/>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1"/>
      <c r="J726" s="142"/>
      <c r="K726" s="411"/>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1"/>
      <c r="J727" s="142"/>
      <c r="K727" s="411"/>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1"/>
      <c r="J728" s="142"/>
      <c r="K728" s="411"/>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1"/>
      <c r="J729" s="142"/>
      <c r="K729" s="411"/>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1"/>
      <c r="J730" s="142"/>
      <c r="K730" s="411"/>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1"/>
      <c r="J731" s="142"/>
      <c r="K731" s="411"/>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1"/>
      <c r="J732" s="142"/>
      <c r="K732" s="411"/>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1"/>
      <c r="J733" s="142"/>
      <c r="K733" s="411"/>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1"/>
      <c r="J734" s="142"/>
      <c r="K734" s="411"/>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1"/>
      <c r="J735" s="142"/>
      <c r="K735" s="411"/>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1"/>
      <c r="J736" s="142"/>
      <c r="K736" s="411"/>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1"/>
      <c r="J737" s="142"/>
      <c r="K737" s="411"/>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1"/>
      <c r="J738" s="142"/>
      <c r="K738" s="411"/>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1"/>
      <c r="J739" s="142"/>
      <c r="K739" s="411"/>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1"/>
      <c r="J740" s="142"/>
      <c r="K740" s="411"/>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1"/>
      <c r="J741" s="142"/>
      <c r="K741" s="411"/>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1"/>
      <c r="J742" s="142"/>
      <c r="K742" s="411"/>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1"/>
      <c r="J743" s="142"/>
      <c r="K743" s="411"/>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1"/>
      <c r="J744" s="142"/>
      <c r="K744" s="411"/>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1"/>
      <c r="J745" s="142"/>
      <c r="K745" s="411"/>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1"/>
      <c r="J746" s="142"/>
      <c r="K746" s="411"/>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1"/>
      <c r="J747" s="142"/>
      <c r="K747" s="411"/>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1"/>
      <c r="J748" s="142"/>
      <c r="K748" s="411"/>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1"/>
      <c r="J749" s="142"/>
      <c r="K749" s="411"/>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1"/>
      <c r="J750" s="142"/>
      <c r="K750" s="411"/>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1"/>
      <c r="J751" s="142"/>
      <c r="K751" s="411"/>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1"/>
      <c r="J752" s="142"/>
      <c r="K752" s="411"/>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1"/>
      <c r="J753" s="142"/>
      <c r="K753" s="411"/>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1"/>
      <c r="J754" s="142"/>
      <c r="K754" s="411"/>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1"/>
      <c r="J755" s="142"/>
      <c r="K755" s="411"/>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1"/>
      <c r="J756" s="142"/>
      <c r="K756" s="411"/>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1"/>
      <c r="J757" s="142"/>
      <c r="K757" s="411"/>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1"/>
      <c r="J758" s="142"/>
      <c r="K758" s="411"/>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1"/>
      <c r="J759" s="142"/>
      <c r="K759" s="411"/>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1"/>
      <c r="J760" s="142"/>
      <c r="K760" s="411"/>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1"/>
      <c r="J761" s="142"/>
      <c r="K761" s="411"/>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1"/>
      <c r="J762" s="142"/>
      <c r="K762" s="411"/>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1"/>
      <c r="J763" s="142"/>
      <c r="K763" s="411"/>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1"/>
      <c r="J764" s="142"/>
      <c r="K764" s="411"/>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1"/>
      <c r="J765" s="142"/>
      <c r="K765" s="411"/>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1"/>
      <c r="J766" s="142"/>
      <c r="K766" s="411"/>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1"/>
      <c r="J767" s="142"/>
      <c r="K767" s="411"/>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1"/>
      <c r="J768" s="142"/>
      <c r="K768" s="411"/>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1"/>
      <c r="J769" s="142"/>
      <c r="K769" s="411"/>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1"/>
      <c r="J770" s="142"/>
      <c r="K770" s="411"/>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1"/>
      <c r="J771" s="142"/>
      <c r="K771" s="411"/>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1"/>
      <c r="J772" s="142"/>
      <c r="K772" s="411"/>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1"/>
      <c r="J773" s="142"/>
      <c r="K773" s="411"/>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1"/>
      <c r="J774" s="142"/>
      <c r="K774" s="411"/>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1"/>
      <c r="J775" s="142"/>
      <c r="K775" s="411"/>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1"/>
      <c r="J776" s="142"/>
      <c r="K776" s="411"/>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1"/>
      <c r="J777" s="142"/>
      <c r="K777" s="411"/>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1"/>
      <c r="J778" s="142"/>
      <c r="K778" s="411"/>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1"/>
      <c r="J779" s="142"/>
      <c r="K779" s="411"/>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1"/>
      <c r="J780" s="142"/>
      <c r="K780" s="411"/>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1"/>
      <c r="J781" s="142"/>
      <c r="K781" s="411"/>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1"/>
      <c r="J782" s="142"/>
      <c r="K782" s="411"/>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1"/>
      <c r="J783" s="142"/>
      <c r="K783" s="411"/>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1"/>
      <c r="J784" s="142"/>
      <c r="K784" s="411"/>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1"/>
      <c r="J785" s="142"/>
      <c r="K785" s="411"/>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1"/>
      <c r="J786" s="142"/>
      <c r="K786" s="411"/>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1"/>
      <c r="J787" s="142"/>
      <c r="K787" s="411"/>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1"/>
      <c r="J788" s="142"/>
      <c r="K788" s="411"/>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1"/>
      <c r="J789" s="142"/>
      <c r="K789" s="411"/>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1"/>
      <c r="J790" s="142"/>
      <c r="K790" s="411"/>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1"/>
      <c r="J791" s="142"/>
      <c r="K791" s="411"/>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1"/>
      <c r="J792" s="142"/>
      <c r="K792" s="411"/>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1"/>
      <c r="J793" s="142"/>
      <c r="K793" s="411"/>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1"/>
      <c r="J794" s="142"/>
      <c r="K794" s="411"/>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1"/>
      <c r="J795" s="142"/>
      <c r="K795" s="411"/>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1"/>
      <c r="J796" s="142"/>
      <c r="K796" s="411"/>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1"/>
      <c r="J797" s="142"/>
      <c r="K797" s="411"/>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1"/>
      <c r="J798" s="142"/>
      <c r="K798" s="411"/>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1"/>
      <c r="J799" s="142"/>
      <c r="K799" s="411"/>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1"/>
      <c r="J800" s="142"/>
      <c r="K800" s="411"/>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1"/>
      <c r="J801" s="142"/>
      <c r="K801" s="411"/>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1"/>
      <c r="J802" s="142"/>
      <c r="K802" s="411"/>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1"/>
      <c r="J803" s="142"/>
      <c r="K803" s="411"/>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1"/>
      <c r="J804" s="142"/>
      <c r="K804" s="411"/>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1"/>
      <c r="J805" s="142"/>
      <c r="K805" s="411"/>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1"/>
      <c r="J806" s="142"/>
      <c r="K806" s="411"/>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1"/>
      <c r="J807" s="142"/>
      <c r="K807" s="411"/>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1"/>
      <c r="J808" s="142"/>
      <c r="K808" s="411"/>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1"/>
      <c r="J809" s="142"/>
      <c r="K809" s="411"/>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1"/>
      <c r="J810" s="142"/>
      <c r="K810" s="411"/>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1"/>
      <c r="J811" s="142"/>
      <c r="K811" s="411"/>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1"/>
      <c r="J812" s="142"/>
      <c r="K812" s="411"/>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1"/>
      <c r="J813" s="142"/>
      <c r="K813" s="411"/>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1"/>
      <c r="J814" s="142"/>
      <c r="K814" s="411"/>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1"/>
      <c r="J815" s="142"/>
      <c r="K815" s="411"/>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1"/>
      <c r="J816" s="142"/>
      <c r="K816" s="411"/>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1"/>
      <c r="J817" s="142"/>
      <c r="K817" s="411"/>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1"/>
      <c r="J818" s="142"/>
      <c r="K818" s="411"/>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1"/>
      <c r="J819" s="142"/>
      <c r="K819" s="411"/>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1"/>
      <c r="J820" s="142"/>
      <c r="K820" s="411"/>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1"/>
      <c r="J821" s="142"/>
      <c r="K821" s="411"/>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1"/>
      <c r="J822" s="142"/>
      <c r="K822" s="411"/>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1"/>
      <c r="J823" s="142"/>
      <c r="K823" s="411"/>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1"/>
      <c r="J824" s="142"/>
      <c r="K824" s="411"/>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1"/>
      <c r="J825" s="142"/>
      <c r="K825" s="411"/>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1"/>
      <c r="J826" s="142"/>
      <c r="K826" s="411"/>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1"/>
      <c r="J827" s="142"/>
      <c r="K827" s="411"/>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1"/>
      <c r="J828" s="142"/>
      <c r="K828" s="411"/>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1"/>
      <c r="J829" s="142"/>
      <c r="K829" s="411"/>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1"/>
      <c r="J830" s="142"/>
      <c r="K830" s="411"/>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1"/>
      <c r="J831" s="142"/>
      <c r="K831" s="411"/>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1"/>
      <c r="J832" s="142"/>
      <c r="K832" s="411"/>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1"/>
      <c r="J833" s="142"/>
      <c r="K833" s="411"/>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1"/>
      <c r="J834" s="142"/>
      <c r="K834" s="411"/>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1"/>
      <c r="J835" s="142"/>
      <c r="K835" s="411"/>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1"/>
      <c r="J836" s="142"/>
      <c r="K836" s="411"/>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1"/>
      <c r="J837" s="142"/>
      <c r="K837" s="411"/>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1"/>
      <c r="J838" s="142"/>
      <c r="K838" s="411"/>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1"/>
      <c r="J839" s="142"/>
      <c r="K839" s="411"/>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1"/>
      <c r="J840" s="142"/>
      <c r="K840" s="411"/>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1"/>
      <c r="J841" s="142"/>
      <c r="K841" s="411"/>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1"/>
      <c r="J842" s="142"/>
      <c r="K842" s="411"/>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1"/>
      <c r="J843" s="142"/>
      <c r="K843" s="411"/>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1"/>
      <c r="J844" s="142"/>
      <c r="K844" s="411"/>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1"/>
      <c r="J845" s="142"/>
      <c r="K845" s="411"/>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1"/>
      <c r="J846" s="142"/>
      <c r="K846" s="411"/>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1"/>
      <c r="J847" s="142"/>
      <c r="K847" s="411"/>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1"/>
      <c r="J848" s="142"/>
      <c r="K848" s="411"/>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1"/>
      <c r="J849" s="142"/>
      <c r="K849" s="411"/>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1"/>
      <c r="J850" s="142"/>
      <c r="K850" s="411"/>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1"/>
      <c r="J851" s="142"/>
      <c r="K851" s="411"/>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1"/>
      <c r="J852" s="142"/>
      <c r="K852" s="411"/>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1"/>
      <c r="J853" s="142"/>
      <c r="K853" s="411"/>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1"/>
      <c r="J854" s="142"/>
      <c r="K854" s="411"/>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1"/>
      <c r="J855" s="142"/>
      <c r="K855" s="411"/>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1"/>
      <c r="J856" s="142"/>
      <c r="K856" s="411"/>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1"/>
      <c r="J857" s="142"/>
      <c r="K857" s="411"/>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1"/>
      <c r="J858" s="142"/>
      <c r="K858" s="411"/>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1"/>
      <c r="J859" s="142"/>
      <c r="K859" s="411"/>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1"/>
      <c r="J860" s="142"/>
      <c r="K860" s="411"/>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1"/>
      <c r="J861" s="142"/>
      <c r="K861" s="411"/>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1"/>
      <c r="J862" s="142"/>
      <c r="K862" s="411"/>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1"/>
      <c r="J863" s="142"/>
      <c r="K863" s="411"/>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1"/>
      <c r="J864" s="142"/>
      <c r="K864" s="411"/>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1"/>
      <c r="J865" s="142"/>
      <c r="K865" s="411"/>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1"/>
      <c r="J866" s="142"/>
      <c r="K866" s="411"/>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1"/>
      <c r="J867" s="142"/>
      <c r="K867" s="411"/>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1"/>
      <c r="J868" s="142"/>
      <c r="K868" s="411"/>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1"/>
      <c r="J869" s="142"/>
      <c r="K869" s="411"/>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1"/>
      <c r="J870" s="142"/>
      <c r="K870" s="411"/>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1"/>
      <c r="J871" s="142"/>
      <c r="K871" s="411"/>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1"/>
      <c r="J872" s="142"/>
      <c r="K872" s="411"/>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1"/>
      <c r="J873" s="142"/>
      <c r="K873" s="411"/>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1"/>
      <c r="J874" s="142"/>
      <c r="K874" s="411"/>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1"/>
      <c r="J875" s="142"/>
      <c r="K875" s="411"/>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1"/>
      <c r="J876" s="142"/>
      <c r="K876" s="411"/>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1"/>
      <c r="J877" s="142"/>
      <c r="K877" s="411"/>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1"/>
      <c r="J878" s="142"/>
      <c r="K878" s="411"/>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1"/>
      <c r="J879" s="142"/>
      <c r="K879" s="411"/>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1"/>
      <c r="J880" s="142"/>
      <c r="K880" s="411"/>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1"/>
      <c r="J881" s="142"/>
      <c r="K881" s="411"/>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1"/>
      <c r="J882" s="142"/>
      <c r="K882" s="411"/>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1"/>
      <c r="J883" s="142"/>
      <c r="K883" s="411"/>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1"/>
      <c r="J884" s="142"/>
      <c r="K884" s="411"/>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1"/>
      <c r="J885" s="142"/>
      <c r="K885" s="411"/>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1"/>
      <c r="J886" s="142"/>
      <c r="K886" s="411"/>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1"/>
      <c r="J887" s="142"/>
      <c r="K887" s="411"/>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1"/>
      <c r="J888" s="142"/>
      <c r="K888" s="411"/>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1"/>
      <c r="J889" s="142"/>
      <c r="K889" s="411"/>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1"/>
      <c r="J890" s="142"/>
      <c r="K890" s="411"/>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1"/>
      <c r="J891" s="142"/>
      <c r="K891" s="411"/>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1"/>
      <c r="J892" s="142"/>
      <c r="K892" s="411"/>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1"/>
      <c r="J893" s="142"/>
      <c r="K893" s="411"/>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1"/>
      <c r="J894" s="142"/>
      <c r="K894" s="411"/>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1"/>
      <c r="J895" s="142"/>
      <c r="K895" s="411"/>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1"/>
      <c r="J896" s="142"/>
      <c r="K896" s="411"/>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1"/>
      <c r="J897" s="142"/>
      <c r="K897" s="411"/>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1"/>
      <c r="J898" s="142"/>
      <c r="K898" s="411"/>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1"/>
      <c r="J899" s="142"/>
      <c r="K899" s="411"/>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1"/>
      <c r="J900" s="142"/>
      <c r="K900" s="411"/>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1"/>
      <c r="J901" s="142"/>
      <c r="K901" s="411"/>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1"/>
      <c r="J902" s="142"/>
      <c r="K902" s="411"/>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1"/>
      <c r="J903" s="142"/>
      <c r="K903" s="411"/>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1"/>
      <c r="J904" s="142"/>
      <c r="K904" s="411"/>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1"/>
      <c r="J905" s="142"/>
      <c r="K905" s="411"/>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1"/>
      <c r="J906" s="142"/>
      <c r="K906" s="411"/>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1"/>
      <c r="J907" s="142"/>
      <c r="K907" s="411"/>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1"/>
      <c r="J908" s="142"/>
      <c r="K908" s="411"/>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1"/>
      <c r="J909" s="142"/>
      <c r="K909" s="411"/>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1"/>
      <c r="J910" s="142"/>
      <c r="K910" s="411"/>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1"/>
      <c r="J911" s="142"/>
      <c r="K911" s="411"/>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1"/>
      <c r="J912" s="142"/>
      <c r="K912" s="411"/>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1"/>
      <c r="J913" s="142"/>
      <c r="K913" s="411"/>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1"/>
      <c r="J914" s="142"/>
      <c r="K914" s="411"/>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1"/>
      <c r="J915" s="142"/>
      <c r="K915" s="411"/>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1"/>
      <c r="J916" s="142"/>
      <c r="K916" s="411"/>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1"/>
      <c r="J917" s="142"/>
      <c r="K917" s="411"/>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1"/>
      <c r="J918" s="142"/>
      <c r="K918" s="411"/>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1"/>
      <c r="J919" s="142"/>
      <c r="K919" s="411"/>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1"/>
      <c r="J920" s="142"/>
      <c r="K920" s="411"/>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1"/>
      <c r="J921" s="142"/>
      <c r="K921" s="411"/>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1"/>
      <c r="J922" s="142"/>
      <c r="K922" s="411"/>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1"/>
      <c r="J923" s="142"/>
      <c r="K923" s="411"/>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1"/>
      <c r="J924" s="142"/>
      <c r="K924" s="411"/>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1"/>
      <c r="J925" s="142"/>
      <c r="K925" s="411"/>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1"/>
      <c r="J926" s="142"/>
      <c r="K926" s="411"/>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1"/>
      <c r="J927" s="142"/>
      <c r="K927" s="411"/>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1"/>
      <c r="J928" s="142"/>
      <c r="K928" s="411"/>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1"/>
      <c r="J929" s="142"/>
      <c r="K929" s="411"/>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1"/>
      <c r="J930" s="142"/>
      <c r="K930" s="411"/>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1"/>
      <c r="J931" s="142"/>
      <c r="K931" s="411"/>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1"/>
      <c r="J932" s="142"/>
      <c r="K932" s="411"/>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1"/>
      <c r="J933" s="142"/>
      <c r="K933" s="411"/>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1"/>
      <c r="J934" s="142"/>
      <c r="K934" s="411"/>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1"/>
      <c r="J935" s="142"/>
      <c r="K935" s="411"/>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1"/>
      <c r="J936" s="142"/>
      <c r="K936" s="411"/>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1"/>
      <c r="J937" s="142"/>
      <c r="K937" s="411"/>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1"/>
      <c r="J938" s="142"/>
      <c r="K938" s="411"/>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1"/>
      <c r="J939" s="142"/>
      <c r="K939" s="411"/>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1"/>
      <c r="J940" s="142"/>
      <c r="K940" s="411"/>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1"/>
      <c r="J941" s="142"/>
      <c r="K941" s="411"/>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1"/>
      <c r="J942" s="142"/>
      <c r="K942" s="411"/>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1"/>
      <c r="J943" s="142"/>
      <c r="K943" s="411"/>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1"/>
      <c r="J944" s="142"/>
      <c r="K944" s="411"/>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1"/>
      <c r="J945" s="142"/>
      <c r="K945" s="411"/>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1"/>
      <c r="J946" s="142"/>
      <c r="K946" s="411"/>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1"/>
      <c r="J947" s="142"/>
      <c r="K947" s="411"/>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1"/>
      <c r="J948" s="142"/>
      <c r="K948" s="411"/>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1"/>
      <c r="J949" s="142"/>
      <c r="K949" s="411"/>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1"/>
      <c r="J950" s="142"/>
      <c r="K950" s="411"/>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1"/>
      <c r="J951" s="142"/>
      <c r="K951" s="411"/>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1"/>
      <c r="J952" s="142"/>
      <c r="K952" s="411"/>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1"/>
      <c r="J953" s="142"/>
      <c r="K953" s="411"/>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1"/>
      <c r="J954" s="142"/>
      <c r="K954" s="411"/>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1"/>
      <c r="J955" s="142"/>
      <c r="K955" s="411"/>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1"/>
      <c r="J956" s="142"/>
      <c r="K956" s="411"/>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1"/>
      <c r="J957" s="142"/>
      <c r="K957" s="411"/>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1"/>
      <c r="J958" s="142"/>
      <c r="K958" s="411"/>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1"/>
      <c r="J959" s="142"/>
      <c r="K959" s="411"/>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1"/>
      <c r="J960" s="142"/>
      <c r="K960" s="411"/>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1"/>
      <c r="J961" s="142"/>
      <c r="K961" s="411"/>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1"/>
      <c r="J962" s="142"/>
      <c r="K962" s="411"/>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1"/>
      <c r="J963" s="142"/>
      <c r="K963" s="411"/>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1"/>
      <c r="J964" s="142"/>
      <c r="K964" s="411"/>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1"/>
      <c r="J965" s="142"/>
      <c r="K965" s="411"/>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1"/>
      <c r="J966" s="142"/>
      <c r="K966" s="411"/>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1"/>
      <c r="J967" s="142"/>
      <c r="K967" s="411"/>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1"/>
      <c r="J968" s="142"/>
      <c r="K968" s="411"/>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1"/>
      <c r="J969" s="142"/>
      <c r="K969" s="411"/>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1"/>
      <c r="J970" s="142"/>
      <c r="K970" s="411"/>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1"/>
      <c r="J971" s="142"/>
      <c r="K971" s="411"/>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1"/>
      <c r="J972" s="142"/>
      <c r="K972" s="411"/>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1"/>
      <c r="J973" s="142"/>
      <c r="K973" s="411"/>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1"/>
      <c r="J974" s="142"/>
      <c r="K974" s="411"/>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1"/>
      <c r="J975" s="142"/>
      <c r="K975" s="411"/>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1"/>
      <c r="J976" s="142"/>
      <c r="K976" s="411"/>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1"/>
      <c r="J977" s="142"/>
      <c r="K977" s="411"/>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1"/>
      <c r="J978" s="142"/>
      <c r="K978" s="411"/>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1"/>
      <c r="J979" s="142"/>
      <c r="K979" s="411"/>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1"/>
      <c r="J980" s="142"/>
      <c r="K980" s="411"/>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1"/>
      <c r="J981" s="142"/>
      <c r="K981" s="411"/>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1"/>
      <c r="J982" s="142"/>
      <c r="K982" s="411"/>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1"/>
      <c r="J983" s="142"/>
      <c r="K983" s="411"/>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1"/>
      <c r="J984" s="142"/>
      <c r="K984" s="411"/>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1"/>
      <c r="J985" s="142"/>
      <c r="K985" s="411"/>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1"/>
      <c r="J986" s="142"/>
      <c r="K986" s="411"/>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1"/>
      <c r="J987" s="142"/>
      <c r="K987" s="411"/>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1"/>
      <c r="J988" s="142"/>
      <c r="K988" s="411"/>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1"/>
      <c r="J989" s="142"/>
      <c r="K989" s="411"/>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1"/>
      <c r="J990" s="142"/>
      <c r="K990" s="411"/>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1"/>
      <c r="J991" s="142"/>
      <c r="K991" s="411"/>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1"/>
      <c r="J992" s="142"/>
      <c r="K992" s="411"/>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1"/>
      <c r="J993" s="142"/>
      <c r="K993" s="411"/>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1"/>
      <c r="J994" s="142"/>
      <c r="K994" s="411"/>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1"/>
      <c r="J995" s="142"/>
      <c r="K995" s="411"/>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1"/>
      <c r="J996" s="142"/>
      <c r="K996" s="411"/>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1"/>
      <c r="J997" s="142"/>
      <c r="K997" s="411"/>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1"/>
      <c r="J998" s="142"/>
      <c r="K998" s="411"/>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1"/>
      <c r="J999" s="142"/>
      <c r="K999" s="411"/>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1"/>
      <c r="J1000" s="142"/>
      <c r="K1000" s="411"/>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1"/>
      <c r="J1001" s="142"/>
      <c r="K1001" s="411"/>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1"/>
      <c r="J1002" s="142"/>
      <c r="K1002" s="411"/>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1"/>
      <c r="J1003" s="142"/>
      <c r="K1003" s="411"/>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1"/>
      <c r="J1004" s="142"/>
      <c r="K1004" s="411"/>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1"/>
      <c r="J1005" s="142"/>
      <c r="K1005" s="411"/>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1"/>
      <c r="J1006" s="142"/>
      <c r="K1006" s="411"/>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1"/>
      <c r="J1007" s="142"/>
      <c r="K1007" s="411"/>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1"/>
      <c r="J1008" s="142"/>
      <c r="K1008" s="411"/>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1"/>
      <c r="J1009" s="142"/>
      <c r="K1009" s="411"/>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1"/>
      <c r="J1010" s="142"/>
      <c r="K1010" s="411"/>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1"/>
      <c r="J1011" s="142"/>
      <c r="K1011" s="411"/>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1"/>
      <c r="J1012" s="142"/>
      <c r="K1012" s="411"/>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1"/>
      <c r="J1013" s="142"/>
      <c r="K1013" s="411"/>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1"/>
      <c r="J1014" s="142"/>
      <c r="K1014" s="411"/>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1"/>
      <c r="J1015" s="142"/>
      <c r="K1015" s="411"/>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1"/>
      <c r="J1016" s="142"/>
      <c r="K1016" s="411"/>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1"/>
      <c r="J1017" s="142"/>
      <c r="K1017" s="411"/>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9915</v>
      </c>
      <c r="B1" s="440" t="s">
        <v>9916</v>
      </c>
      <c r="C1" s="72" t="s">
        <v>9917</v>
      </c>
      <c r="D1" s="440" t="s">
        <v>9918</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9919</v>
      </c>
      <c r="H1" s="440" t="s">
        <v>9920</v>
      </c>
      <c r="I1" s="188" t="s">
        <v>9921</v>
      </c>
      <c r="J1" s="441" t="s">
        <v>9922</v>
      </c>
      <c r="K1" s="110" t="s">
        <v>9923</v>
      </c>
      <c r="L1" s="66"/>
      <c r="M1" s="66"/>
      <c r="N1" s="66"/>
      <c r="O1" s="66"/>
      <c r="P1" s="66"/>
      <c r="Q1" s="66"/>
      <c r="R1" s="66"/>
      <c r="S1" s="66"/>
      <c r="T1" s="66"/>
      <c r="U1" s="66"/>
      <c r="V1" s="66"/>
      <c r="W1" s="66"/>
      <c r="X1" s="66"/>
    </row>
    <row r="2">
      <c r="A2" s="72" t="s">
        <v>9924</v>
      </c>
      <c r="B2" s="440" t="s">
        <v>9925</v>
      </c>
      <c r="C2" s="72" t="s">
        <v>9926</v>
      </c>
      <c r="D2" s="44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9927</v>
      </c>
      <c r="H2" s="442" t="s">
        <v>9928</v>
      </c>
      <c r="I2" s="134" t="s">
        <v>9929</v>
      </c>
      <c r="J2" s="441" t="s">
        <v>9930</v>
      </c>
      <c r="K2" s="110" t="s">
        <v>9931</v>
      </c>
      <c r="L2" s="66"/>
      <c r="M2" s="66"/>
      <c r="N2" s="66"/>
      <c r="O2" s="66"/>
      <c r="P2" s="66"/>
      <c r="Q2" s="66"/>
      <c r="R2" s="66"/>
      <c r="S2" s="66"/>
      <c r="T2" s="66"/>
      <c r="U2" s="66"/>
      <c r="V2" s="66"/>
      <c r="W2" s="66"/>
      <c r="X2" s="66"/>
    </row>
    <row r="3">
      <c r="A3" s="72" t="s">
        <v>9932</v>
      </c>
      <c r="B3" s="440" t="s">
        <v>9933</v>
      </c>
      <c r="C3" s="72" t="s">
        <v>9934</v>
      </c>
      <c r="D3" s="440" t="str">
        <f>IFERROR(__xludf.DUMMYFUNCTION("GOOGLETRANSLATE(A3,""zh-tw"",""zh"")"),"CTRL可加速对话")</f>
        <v>CTRL可加速对话</v>
      </c>
      <c r="E3" s="75" t="str">
        <f>IFERROR(__xludf.DUMMYFUNCTION("GOOGLETRANSLATE(A3,""zh-tw"",""es-MX"")"),"CTRL puede acelerar las conversaciones.")</f>
        <v>CTRL puede acelerar las conversaciones.</v>
      </c>
      <c r="F3" s="441" t="str">
        <f>IFERROR(__xludf.DUMMYFUNCTION("GOOGLETRANSLATE(A3,""zh-tw"",""KO"")"),"CTRL 키를 누르면 대화 속도가 빨라집니다.")</f>
        <v>CTRL 키를 누르면 대화 속도가 빨라집니다.</v>
      </c>
      <c r="G3" s="123" t="s">
        <v>9935</v>
      </c>
      <c r="H3" s="440" t="s">
        <v>9936</v>
      </c>
      <c r="I3" s="188" t="s">
        <v>9937</v>
      </c>
      <c r="J3" s="441" t="s">
        <v>9938</v>
      </c>
      <c r="K3" s="110" t="s">
        <v>9939</v>
      </c>
      <c r="L3" s="66"/>
      <c r="M3" s="66"/>
      <c r="N3" s="66"/>
      <c r="O3" s="66"/>
      <c r="P3" s="66"/>
      <c r="Q3" s="66"/>
      <c r="R3" s="66"/>
      <c r="S3" s="66"/>
      <c r="T3" s="66"/>
      <c r="U3" s="66"/>
      <c r="V3" s="66"/>
      <c r="W3" s="66"/>
      <c r="X3" s="66"/>
    </row>
    <row r="4">
      <c r="A4" s="72" t="s">
        <v>9940</v>
      </c>
      <c r="B4" s="440" t="s">
        <v>9941</v>
      </c>
      <c r="C4" s="72" t="s">
        <v>9942</v>
      </c>
      <c r="D4" s="440" t="str">
        <f>IFERROR(__xludf.DUMMYFUNCTION("GOOGLETRANSLATE(A4,""zh-tw"",""zh"")"),"Z键可以推进对话")</f>
        <v>Z键可以推进对话</v>
      </c>
      <c r="E4" s="75" t="str">
        <f>IFERROR(__xludf.DUMMYFUNCTION("GOOGLETRANSLATE(A4,""zh-tw"",""es-MX"")"),"La tecla Z avanza el diálogo.")</f>
        <v>La tecla Z avanza el diálogo.</v>
      </c>
      <c r="F4" s="441" t="str">
        <f>IFERROR(__xludf.DUMMYFUNCTION("GOOGLETRANSLATE(A4,""zh-tw"",""KO"")"),"Z 키를 누르면 대화가 진행됩니다.")</f>
        <v>Z 키를 누르면 대화가 진행됩니다.</v>
      </c>
      <c r="G4" s="142" t="s">
        <v>9943</v>
      </c>
      <c r="H4" s="440" t="s">
        <v>9944</v>
      </c>
      <c r="I4" s="188" t="s">
        <v>9945</v>
      </c>
      <c r="J4" s="441" t="s">
        <v>9946</v>
      </c>
      <c r="K4" s="110" t="s">
        <v>9947</v>
      </c>
      <c r="L4" s="66"/>
      <c r="M4" s="66"/>
      <c r="N4" s="66"/>
      <c r="O4" s="66"/>
      <c r="P4" s="66"/>
      <c r="Q4" s="66"/>
      <c r="R4" s="66"/>
      <c r="S4" s="66"/>
      <c r="T4" s="66"/>
      <c r="U4" s="66"/>
      <c r="V4" s="66"/>
      <c r="W4" s="66"/>
      <c r="X4" s="66"/>
    </row>
    <row r="5">
      <c r="A5" s="72" t="s">
        <v>9948</v>
      </c>
      <c r="B5" s="440" t="s">
        <v>9949</v>
      </c>
      <c r="C5" s="72" t="s">
        <v>9950</v>
      </c>
      <c r="D5" s="44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9951</v>
      </c>
      <c r="H5" s="440" t="s">
        <v>9952</v>
      </c>
      <c r="I5" s="188" t="s">
        <v>9953</v>
      </c>
      <c r="J5" s="441" t="s">
        <v>9954</v>
      </c>
      <c r="K5" s="110" t="s">
        <v>9955</v>
      </c>
      <c r="L5" s="66"/>
      <c r="M5" s="66"/>
      <c r="N5" s="66"/>
      <c r="O5" s="66"/>
      <c r="P5" s="66"/>
      <c r="Q5" s="66"/>
      <c r="R5" s="66"/>
      <c r="S5" s="66"/>
      <c r="T5" s="66"/>
      <c r="U5" s="66"/>
      <c r="V5" s="66"/>
      <c r="W5" s="66"/>
      <c r="X5" s="66"/>
    </row>
    <row r="6">
      <c r="A6" s="72" t="s">
        <v>9956</v>
      </c>
      <c r="B6" s="440" t="s">
        <v>9957</v>
      </c>
      <c r="C6" s="72" t="s">
        <v>9958</v>
      </c>
      <c r="D6" s="440" t="str">
        <f>IFERROR(__xludf.DUMMYFUNCTION("GOOGLETRANSLATE(A6,""zh-tw"",""zh"")"),"F12可显示控制台")</f>
        <v>F12可显示控制台</v>
      </c>
      <c r="E6" s="75" t="str">
        <f>IFERROR(__xludf.DUMMYFUNCTION("GOOGLETRANSLATE(A6,""zh-tw"",""es-MX"")"),"Presione F12 para mostrar la consola.")</f>
        <v>Presione F12 para mostrar la consola.</v>
      </c>
      <c r="F6" s="441" t="str">
        <f>IFERROR(__xludf.DUMMYFUNCTION("GOOGLETRANSLATE(A6,""zh-tw"",""KO"")"),"F12 키를 눌러 콘솔을 표시하십시오.")</f>
        <v>F12 키를 눌러 콘솔을 표시하십시오.</v>
      </c>
      <c r="G6" s="142" t="s">
        <v>9959</v>
      </c>
      <c r="H6" s="440" t="s">
        <v>9960</v>
      </c>
      <c r="I6" s="188" t="s">
        <v>9961</v>
      </c>
      <c r="J6" s="441" t="s">
        <v>9962</v>
      </c>
      <c r="K6" s="110" t="s">
        <v>9963</v>
      </c>
      <c r="L6" s="66"/>
      <c r="M6" s="66"/>
      <c r="N6" s="66"/>
      <c r="O6" s="66"/>
      <c r="P6" s="66"/>
      <c r="Q6" s="66"/>
      <c r="R6" s="66"/>
      <c r="S6" s="66"/>
      <c r="T6" s="66"/>
      <c r="U6" s="66"/>
      <c r="V6" s="66"/>
      <c r="W6" s="66"/>
      <c r="X6" s="66"/>
    </row>
    <row r="7">
      <c r="A7" s="72" t="s">
        <v>9964</v>
      </c>
      <c r="B7" s="440" t="s">
        <v>9965</v>
      </c>
      <c r="C7" s="72" t="s">
        <v>9966</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9967</v>
      </c>
      <c r="H7" s="440" t="s">
        <v>9968</v>
      </c>
      <c r="I7" s="188" t="s">
        <v>9969</v>
      </c>
      <c r="J7" s="441" t="s">
        <v>9970</v>
      </c>
      <c r="K7" s="72" t="s">
        <v>9971</v>
      </c>
      <c r="L7" s="66"/>
      <c r="M7" s="66"/>
      <c r="N7" s="66"/>
      <c r="O7" s="66"/>
      <c r="P7" s="66"/>
      <c r="Q7" s="66"/>
      <c r="R7" s="66"/>
      <c r="S7" s="66"/>
      <c r="T7" s="66"/>
      <c r="U7" s="66"/>
      <c r="V7" s="66"/>
      <c r="W7" s="66"/>
      <c r="X7" s="66"/>
    </row>
    <row r="8">
      <c r="A8" s="72" t="s">
        <v>9972</v>
      </c>
      <c r="B8" s="440" t="s">
        <v>9973</v>
      </c>
      <c r="C8" s="72" t="s">
        <v>9974</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9975</v>
      </c>
      <c r="H8" s="440" t="s">
        <v>9976</v>
      </c>
      <c r="I8" s="188" t="s">
        <v>9977</v>
      </c>
      <c r="J8" s="441" t="s">
        <v>9978</v>
      </c>
      <c r="K8" s="110" t="s">
        <v>9979</v>
      </c>
      <c r="L8" s="66"/>
      <c r="M8" s="66"/>
      <c r="N8" s="66"/>
      <c r="O8" s="66"/>
      <c r="P8" s="66"/>
      <c r="Q8" s="66"/>
      <c r="R8" s="66"/>
      <c r="S8" s="66"/>
      <c r="T8" s="66"/>
      <c r="U8" s="66"/>
      <c r="V8" s="66"/>
      <c r="W8" s="66"/>
      <c r="X8" s="66"/>
    </row>
    <row r="9">
      <c r="A9" s="72" t="s">
        <v>9980</v>
      </c>
      <c r="B9" s="440" t="s">
        <v>9981</v>
      </c>
      <c r="C9" s="72" t="s">
        <v>9982</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9983</v>
      </c>
      <c r="H9" s="440" t="s">
        <v>9984</v>
      </c>
      <c r="I9" s="188" t="s">
        <v>9985</v>
      </c>
      <c r="J9" s="441" t="s">
        <v>9986</v>
      </c>
      <c r="K9" s="72" t="s">
        <v>9987</v>
      </c>
      <c r="L9" s="66"/>
      <c r="M9" s="66"/>
      <c r="N9" s="66"/>
      <c r="O9" s="66"/>
      <c r="P9" s="66"/>
      <c r="Q9" s="66"/>
      <c r="R9" s="66"/>
      <c r="S9" s="66"/>
      <c r="T9" s="66"/>
      <c r="U9" s="66"/>
      <c r="V9" s="66"/>
      <c r="W9" s="66"/>
      <c r="X9" s="66"/>
    </row>
    <row r="10">
      <c r="A10" s="72" t="s">
        <v>9988</v>
      </c>
      <c r="B10" s="440" t="s">
        <v>9989</v>
      </c>
      <c r="C10" s="72" t="s">
        <v>9990</v>
      </c>
      <c r="D10" s="44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1" t="str">
        <f>IFERROR(__xludf.DUMMYFUNCTION("GOOGLETRANSLATE(A10,""zh-tw"",""KO"")"),"여동생과 함께 목욕하고 싶으세요? 먼저 하트 2개를 달성하세요.")</f>
        <v>여동생과 함께 목욕하고 싶으세요? 먼저 하트 2개를 달성하세요.</v>
      </c>
      <c r="G10" s="142" t="s">
        <v>9991</v>
      </c>
      <c r="H10" s="440" t="s">
        <v>9992</v>
      </c>
      <c r="I10" s="188" t="s">
        <v>9993</v>
      </c>
      <c r="J10" s="441" t="s">
        <v>9994</v>
      </c>
      <c r="K10" s="110" t="s">
        <v>9995</v>
      </c>
      <c r="L10" s="66"/>
      <c r="M10" s="66"/>
      <c r="N10" s="66"/>
      <c r="O10" s="66"/>
      <c r="P10" s="66"/>
      <c r="Q10" s="66"/>
      <c r="R10" s="66"/>
      <c r="S10" s="66"/>
      <c r="T10" s="66"/>
      <c r="U10" s="66"/>
      <c r="V10" s="66"/>
      <c r="W10" s="66"/>
      <c r="X10" s="66"/>
    </row>
    <row r="11">
      <c r="A11" s="72" t="s">
        <v>9996</v>
      </c>
      <c r="B11" s="440" t="s">
        <v>9997</v>
      </c>
      <c r="C11" s="72" t="s">
        <v>9998</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9999</v>
      </c>
      <c r="H11" s="440" t="s">
        <v>10000</v>
      </c>
      <c r="I11" s="188" t="s">
        <v>10001</v>
      </c>
      <c r="J11" s="441" t="s">
        <v>10002</v>
      </c>
      <c r="K11" s="110" t="s">
        <v>10003</v>
      </c>
      <c r="L11" s="66"/>
      <c r="M11" s="66"/>
      <c r="N11" s="66"/>
      <c r="O11" s="66"/>
      <c r="P11" s="66"/>
      <c r="Q11" s="66"/>
      <c r="R11" s="66"/>
      <c r="S11" s="66"/>
      <c r="T11" s="66"/>
      <c r="U11" s="66"/>
      <c r="V11" s="66"/>
      <c r="W11" s="66"/>
      <c r="X11" s="66"/>
    </row>
    <row r="12">
      <c r="A12" s="72" t="s">
        <v>10004</v>
      </c>
      <c r="B12" s="440" t="s">
        <v>10005</v>
      </c>
      <c r="C12" s="72" t="s">
        <v>10006</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10007</v>
      </c>
      <c r="H12" s="440" t="s">
        <v>10008</v>
      </c>
      <c r="I12" s="188" t="s">
        <v>10009</v>
      </c>
      <c r="J12" s="441" t="s">
        <v>10010</v>
      </c>
      <c r="K12" s="110" t="s">
        <v>10011</v>
      </c>
      <c r="L12" s="66"/>
      <c r="M12" s="66"/>
      <c r="N12" s="66"/>
      <c r="O12" s="66"/>
      <c r="P12" s="66"/>
      <c r="Q12" s="66"/>
      <c r="R12" s="66"/>
      <c r="S12" s="66"/>
      <c r="T12" s="66"/>
      <c r="U12" s="66"/>
      <c r="V12" s="66"/>
      <c r="W12" s="66"/>
      <c r="X12" s="66"/>
    </row>
    <row r="13">
      <c r="A13" s="72" t="s">
        <v>10012</v>
      </c>
      <c r="B13" s="440" t="s">
        <v>10013</v>
      </c>
      <c r="C13" s="72" t="s">
        <v>10014</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10015</v>
      </c>
      <c r="H13" s="440" t="s">
        <v>10016</v>
      </c>
      <c r="I13" s="134" t="s">
        <v>10017</v>
      </c>
      <c r="J13" s="441" t="s">
        <v>10018</v>
      </c>
      <c r="K13" s="110" t="s">
        <v>10019</v>
      </c>
      <c r="L13" s="66"/>
      <c r="M13" s="66"/>
      <c r="N13" s="66"/>
      <c r="O13" s="66"/>
      <c r="P13" s="66"/>
      <c r="Q13" s="66"/>
      <c r="R13" s="66"/>
      <c r="S13" s="66"/>
      <c r="T13" s="66"/>
      <c r="U13" s="66"/>
      <c r="V13" s="66"/>
      <c r="W13" s="66"/>
      <c r="X13" s="66"/>
    </row>
    <row r="14">
      <c r="A14" s="72" t="s">
        <v>10020</v>
      </c>
      <c r="B14" s="440" t="s">
        <v>10021</v>
      </c>
      <c r="C14" s="72" t="s">
        <v>10022</v>
      </c>
      <c r="D14" s="44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1" t="str">
        <f>IFERROR(__xludf.DUMMYFUNCTION("GOOGLETRANSLATE(A14,""zh-tw"",""KO"")"),"가챠 기계 뒤쪽으로 다가가면 팝업으로 나타납니다.")</f>
        <v>가챠 기계 뒤쪽으로 다가가면 팝업으로 나타납니다.</v>
      </c>
      <c r="G14" s="123" t="s">
        <v>10023</v>
      </c>
      <c r="H14" s="440" t="s">
        <v>10024</v>
      </c>
      <c r="I14" s="188" t="s">
        <v>10025</v>
      </c>
      <c r="J14" s="441" t="s">
        <v>10026</v>
      </c>
      <c r="K14" s="110" t="s">
        <v>10027</v>
      </c>
      <c r="L14" s="66"/>
      <c r="M14" s="66"/>
      <c r="N14" s="66"/>
      <c r="O14" s="66"/>
      <c r="P14" s="66"/>
      <c r="Q14" s="66"/>
      <c r="R14" s="66"/>
      <c r="S14" s="66"/>
      <c r="T14" s="66"/>
      <c r="U14" s="66"/>
      <c r="V14" s="66"/>
      <c r="W14" s="66"/>
      <c r="X14" s="66"/>
    </row>
    <row r="15">
      <c r="A15" s="72" t="s">
        <v>10028</v>
      </c>
      <c r="B15" s="440" t="s">
        <v>10029</v>
      </c>
      <c r="C15" s="72" t="s">
        <v>10030</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10031</v>
      </c>
      <c r="H15" s="440" t="s">
        <v>10032</v>
      </c>
      <c r="I15" s="188" t="s">
        <v>10033</v>
      </c>
      <c r="J15" s="441" t="s">
        <v>10034</v>
      </c>
      <c r="K15" s="110" t="s">
        <v>10035</v>
      </c>
      <c r="L15" s="66"/>
      <c r="M15" s="66"/>
      <c r="N15" s="66"/>
      <c r="O15" s="66"/>
      <c r="P15" s="66"/>
      <c r="Q15" s="66"/>
      <c r="R15" s="66"/>
      <c r="S15" s="66"/>
      <c r="T15" s="66"/>
      <c r="U15" s="66"/>
      <c r="V15" s="66"/>
      <c r="W15" s="66"/>
      <c r="X15" s="66"/>
    </row>
    <row r="16">
      <c r="A16" s="72" t="s">
        <v>10036</v>
      </c>
      <c r="B16" s="440" t="s">
        <v>10037</v>
      </c>
      <c r="C16" s="72" t="s">
        <v>10038</v>
      </c>
      <c r="D16" s="44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1" t="str">
        <f>IFERROR(__xludf.DUMMYFUNCTION("GOOGLETRANSLATE(A16,""zh-tw"",""KO"")"),"가샤폰 기계에서 황금알이 나올 확률은 단 2%입니다.")</f>
        <v>가샤폰 기계에서 황금알이 나올 확률은 단 2%입니다.</v>
      </c>
      <c r="G16" s="123" t="s">
        <v>10039</v>
      </c>
      <c r="H16" s="440" t="s">
        <v>10040</v>
      </c>
      <c r="I16" s="188" t="s">
        <v>10041</v>
      </c>
      <c r="J16" s="441" t="s">
        <v>10042</v>
      </c>
      <c r="K16" s="110" t="s">
        <v>10043</v>
      </c>
      <c r="L16" s="66"/>
      <c r="M16" s="66"/>
      <c r="N16" s="66"/>
      <c r="O16" s="66"/>
      <c r="P16" s="66"/>
      <c r="Q16" s="66"/>
      <c r="R16" s="66"/>
      <c r="S16" s="66"/>
      <c r="T16" s="66"/>
      <c r="U16" s="66"/>
      <c r="V16" s="66"/>
      <c r="W16" s="66"/>
      <c r="X16" s="66"/>
    </row>
    <row r="17">
      <c r="A17" s="72" t="s">
        <v>10044</v>
      </c>
      <c r="B17" s="440" t="s">
        <v>10045</v>
      </c>
      <c r="C17" s="72" t="s">
        <v>10046</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10047</v>
      </c>
      <c r="H17" s="440" t="s">
        <v>10048</v>
      </c>
      <c r="I17" s="188" t="s">
        <v>10049</v>
      </c>
      <c r="J17" s="441" t="s">
        <v>10050</v>
      </c>
      <c r="K17" s="72" t="s">
        <v>10051</v>
      </c>
      <c r="L17" s="66"/>
      <c r="M17" s="66"/>
      <c r="N17" s="66"/>
      <c r="O17" s="66"/>
      <c r="P17" s="66"/>
      <c r="Q17" s="66"/>
      <c r="R17" s="66"/>
      <c r="S17" s="66"/>
      <c r="T17" s="66"/>
      <c r="U17" s="66"/>
      <c r="V17" s="66"/>
      <c r="W17" s="66"/>
      <c r="X17" s="66"/>
    </row>
    <row r="18">
      <c r="A18" s="72" t="s">
        <v>10052</v>
      </c>
      <c r="B18" s="440" t="s">
        <v>10053</v>
      </c>
      <c r="C18" s="72" t="s">
        <v>10054</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10055</v>
      </c>
      <c r="H18" s="440" t="s">
        <v>10056</v>
      </c>
      <c r="I18" s="188" t="s">
        <v>10057</v>
      </c>
      <c r="J18" s="441" t="s">
        <v>10058</v>
      </c>
      <c r="K18" s="110" t="s">
        <v>10059</v>
      </c>
      <c r="L18" s="66"/>
      <c r="M18" s="66"/>
      <c r="N18" s="66"/>
      <c r="O18" s="66"/>
      <c r="P18" s="66"/>
      <c r="Q18" s="66"/>
      <c r="R18" s="66"/>
      <c r="S18" s="66"/>
      <c r="T18" s="66"/>
      <c r="U18" s="66"/>
      <c r="V18" s="66"/>
      <c r="W18" s="66"/>
      <c r="X18" s="66"/>
    </row>
    <row r="19">
      <c r="A19" s="72" t="s">
        <v>10060</v>
      </c>
      <c r="B19" s="440" t="s">
        <v>10061</v>
      </c>
      <c r="C19" s="72" t="s">
        <v>10062</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1" t="str">
        <f>IFERROR(__xludf.DUMMYFUNCTION("GOOGLETRANSLATE(A19,""zh-tw"",""KO"")"),"소환 포털의 위치가 부적절하면 파괴한 후 다시 소환할 수 있습니다.")</f>
        <v>소환 포털의 위치가 부적절하면 파괴한 후 다시 소환할 수 있습니다.</v>
      </c>
      <c r="G19" s="142" t="s">
        <v>10063</v>
      </c>
      <c r="H19" s="440" t="s">
        <v>10064</v>
      </c>
      <c r="I19" s="188" t="s">
        <v>10065</v>
      </c>
      <c r="J19" s="441" t="s">
        <v>10066</v>
      </c>
      <c r="K19" s="110" t="s">
        <v>10067</v>
      </c>
      <c r="L19" s="66"/>
      <c r="M19" s="66"/>
      <c r="N19" s="66"/>
      <c r="O19" s="66"/>
      <c r="P19" s="66"/>
      <c r="Q19" s="66"/>
      <c r="R19" s="66"/>
      <c r="S19" s="66"/>
      <c r="T19" s="66"/>
      <c r="U19" s="66"/>
      <c r="V19" s="66"/>
      <c r="W19" s="66"/>
      <c r="X19" s="66"/>
    </row>
    <row r="20">
      <c r="A20" s="72" t="s">
        <v>10068</v>
      </c>
      <c r="B20" s="440" t="s">
        <v>10069</v>
      </c>
      <c r="C20" s="72" t="s">
        <v>10070</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10071</v>
      </c>
      <c r="H20" s="440" t="s">
        <v>10072</v>
      </c>
      <c r="I20" s="134" t="s">
        <v>10073</v>
      </c>
      <c r="J20" s="441" t="s">
        <v>10074</v>
      </c>
      <c r="K20" s="72" t="s">
        <v>10075</v>
      </c>
      <c r="L20" s="66"/>
      <c r="M20" s="66"/>
      <c r="N20" s="66"/>
      <c r="O20" s="66"/>
      <c r="P20" s="66"/>
      <c r="Q20" s="66"/>
      <c r="R20" s="66"/>
      <c r="S20" s="66"/>
      <c r="T20" s="66"/>
      <c r="U20" s="66"/>
      <c r="V20" s="66"/>
      <c r="W20" s="66"/>
      <c r="X20" s="66"/>
    </row>
    <row r="21">
      <c r="A21" s="72" t="s">
        <v>10076</v>
      </c>
      <c r="B21" s="440" t="s">
        <v>10077</v>
      </c>
      <c r="C21" s="72" t="s">
        <v>10078</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10079</v>
      </c>
      <c r="H21" s="440" t="s">
        <v>10080</v>
      </c>
      <c r="I21" s="134" t="s">
        <v>10081</v>
      </c>
      <c r="J21" s="441" t="s">
        <v>10082</v>
      </c>
      <c r="K21" s="72" t="s">
        <v>10083</v>
      </c>
      <c r="L21" s="66"/>
      <c r="M21" s="66"/>
      <c r="N21" s="66"/>
      <c r="O21" s="66"/>
      <c r="P21" s="66"/>
      <c r="Q21" s="66"/>
      <c r="R21" s="66"/>
      <c r="S21" s="66"/>
      <c r="T21" s="66"/>
      <c r="U21" s="66"/>
      <c r="V21" s="66"/>
      <c r="W21" s="66"/>
      <c r="X21" s="66"/>
    </row>
    <row r="22">
      <c r="A22" s="72" t="s">
        <v>10084</v>
      </c>
      <c r="B22" s="440" t="s">
        <v>10085</v>
      </c>
      <c r="C22" s="72" t="s">
        <v>10086</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10087</v>
      </c>
      <c r="H22" s="440" t="s">
        <v>10088</v>
      </c>
      <c r="I22" s="188" t="s">
        <v>10089</v>
      </c>
      <c r="J22" s="443" t="s">
        <v>10090</v>
      </c>
      <c r="K22" s="110" t="s">
        <v>10091</v>
      </c>
      <c r="L22" s="66"/>
      <c r="M22" s="66"/>
      <c r="N22" s="66"/>
      <c r="O22" s="66"/>
      <c r="P22" s="66"/>
      <c r="Q22" s="66"/>
      <c r="R22" s="66"/>
      <c r="S22" s="66"/>
      <c r="T22" s="66"/>
      <c r="U22" s="66"/>
      <c r="V22" s="66"/>
      <c r="W22" s="66"/>
      <c r="X22" s="66"/>
    </row>
    <row r="23">
      <c r="A23" s="72" t="s">
        <v>10092</v>
      </c>
      <c r="B23" s="440" t="s">
        <v>10093</v>
      </c>
      <c r="C23" s="72" t="s">
        <v>10094</v>
      </c>
      <c r="D23" s="44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10095</v>
      </c>
      <c r="H23" s="440" t="s">
        <v>10096</v>
      </c>
      <c r="I23" s="188" t="s">
        <v>10097</v>
      </c>
      <c r="J23" s="441" t="s">
        <v>10098</v>
      </c>
      <c r="K23" s="110" t="s">
        <v>10099</v>
      </c>
      <c r="L23" s="66"/>
      <c r="M23" s="66"/>
      <c r="N23" s="66"/>
      <c r="O23" s="66"/>
      <c r="P23" s="66"/>
      <c r="Q23" s="66"/>
      <c r="R23" s="66"/>
      <c r="S23" s="66"/>
      <c r="T23" s="66"/>
      <c r="U23" s="66"/>
      <c r="V23" s="66"/>
      <c r="W23" s="66"/>
      <c r="X23" s="66"/>
    </row>
    <row r="24">
      <c r="A24" s="72" t="s">
        <v>10100</v>
      </c>
      <c r="B24" s="440" t="s">
        <v>10101</v>
      </c>
      <c r="C24" s="72" t="s">
        <v>10102</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10103</v>
      </c>
      <c r="H24" s="440" t="s">
        <v>10104</v>
      </c>
      <c r="I24" s="188" t="s">
        <v>10105</v>
      </c>
      <c r="J24" s="441" t="s">
        <v>10106</v>
      </c>
      <c r="K24" s="72" t="s">
        <v>10107</v>
      </c>
      <c r="L24" s="66"/>
      <c r="M24" s="66"/>
      <c r="N24" s="66"/>
      <c r="O24" s="66"/>
      <c r="P24" s="66"/>
      <c r="Q24" s="66"/>
      <c r="R24" s="66"/>
      <c r="S24" s="66"/>
      <c r="T24" s="66"/>
      <c r="U24" s="66"/>
      <c r="V24" s="66"/>
      <c r="W24" s="66"/>
      <c r="X24" s="66"/>
    </row>
    <row r="25">
      <c r="A25" s="72" t="s">
        <v>10108</v>
      </c>
      <c r="B25" s="440" t="s">
        <v>10109</v>
      </c>
      <c r="C25" s="72" t="s">
        <v>10110</v>
      </c>
      <c r="D25" s="440" t="s">
        <v>10111</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10112</v>
      </c>
      <c r="H25" s="440" t="s">
        <v>10113</v>
      </c>
      <c r="I25" s="188" t="s">
        <v>10114</v>
      </c>
      <c r="J25" s="441" t="s">
        <v>10115</v>
      </c>
      <c r="K25" s="110" t="s">
        <v>10116</v>
      </c>
      <c r="L25" s="66"/>
      <c r="M25" s="66"/>
      <c r="N25" s="66"/>
      <c r="O25" s="66"/>
      <c r="P25" s="66"/>
      <c r="Q25" s="66"/>
      <c r="R25" s="66"/>
      <c r="S25" s="66"/>
      <c r="T25" s="66"/>
      <c r="U25" s="66"/>
      <c r="V25" s="66"/>
      <c r="W25" s="66"/>
      <c r="X25" s="66"/>
    </row>
    <row r="26">
      <c r="A26" s="444" t="s">
        <v>10117</v>
      </c>
      <c r="B26" s="440" t="s">
        <v>10118</v>
      </c>
      <c r="C26" s="72" t="s">
        <v>10119</v>
      </c>
      <c r="D26" s="440" t="s">
        <v>10120</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10121</v>
      </c>
      <c r="H26" s="440" t="s">
        <v>10122</v>
      </c>
      <c r="I26" s="188" t="s">
        <v>10123</v>
      </c>
      <c r="J26" s="441" t="s">
        <v>10124</v>
      </c>
      <c r="K26" s="72" t="s">
        <v>10125</v>
      </c>
      <c r="L26" s="66"/>
      <c r="M26" s="66"/>
      <c r="N26" s="66"/>
      <c r="O26" s="66"/>
      <c r="P26" s="66"/>
      <c r="Q26" s="66"/>
      <c r="R26" s="66"/>
      <c r="S26" s="66"/>
      <c r="T26" s="66"/>
      <c r="U26" s="66"/>
      <c r="V26" s="66"/>
      <c r="W26" s="66"/>
      <c r="X26" s="66"/>
    </row>
    <row r="27">
      <c r="A27" s="72" t="s">
        <v>10126</v>
      </c>
      <c r="B27" s="440" t="s">
        <v>10127</v>
      </c>
      <c r="C27" s="72" t="s">
        <v>10128</v>
      </c>
      <c r="D27" s="44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1" t="str">
        <f>IFERROR(__xludf.DUMMYFUNCTION("GOOGLETRANSLATE(A27,""zh-tw"",""KO"")"),"이제 현자가 된 형은 깊은 생각에 잠겨 있었다...")</f>
        <v>이제 현자가 된 형은 깊은 생각에 잠겨 있었다...</v>
      </c>
      <c r="G27" s="142" t="s">
        <v>10129</v>
      </c>
      <c r="H27" s="440" t="s">
        <v>10130</v>
      </c>
      <c r="I27" s="188" t="s">
        <v>10131</v>
      </c>
      <c r="J27" s="441" t="s">
        <v>10132</v>
      </c>
      <c r="K27" s="110" t="s">
        <v>10133</v>
      </c>
      <c r="L27" s="66"/>
      <c r="M27" s="66"/>
      <c r="N27" s="66"/>
      <c r="O27" s="66"/>
      <c r="P27" s="66"/>
      <c r="Q27" s="66"/>
      <c r="R27" s="66"/>
      <c r="S27" s="66"/>
      <c r="T27" s="66"/>
      <c r="U27" s="66"/>
      <c r="V27" s="66"/>
      <c r="W27" s="66"/>
      <c r="X27" s="66"/>
    </row>
    <row r="28">
      <c r="A28" s="72" t="s">
        <v>10134</v>
      </c>
      <c r="B28" s="440" t="s">
        <v>10135</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10136</v>
      </c>
      <c r="H28" s="440" t="s">
        <v>10137</v>
      </c>
      <c r="I28" s="188" t="s">
        <v>10138</v>
      </c>
      <c r="J28" s="441" t="s">
        <v>10139</v>
      </c>
      <c r="K28" s="110" t="s">
        <v>10140</v>
      </c>
      <c r="L28" s="66"/>
      <c r="M28" s="66"/>
      <c r="N28" s="66"/>
      <c r="O28" s="66"/>
      <c r="P28" s="66"/>
      <c r="Q28" s="66"/>
      <c r="R28" s="66"/>
      <c r="S28" s="66"/>
      <c r="T28" s="66"/>
      <c r="U28" s="66"/>
      <c r="V28" s="66"/>
      <c r="W28" s="66"/>
      <c r="X28" s="66"/>
    </row>
    <row r="29">
      <c r="A29" s="72" t="s">
        <v>10141</v>
      </c>
      <c r="B29" s="440" t="s">
        <v>10142</v>
      </c>
      <c r="C29" s="72" t="s">
        <v>10143</v>
      </c>
      <c r="D29" s="440" t="s">
        <v>10144</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10145</v>
      </c>
      <c r="H29" s="440" t="s">
        <v>10146</v>
      </c>
      <c r="I29" s="188" t="s">
        <v>10147</v>
      </c>
      <c r="J29" s="441" t="s">
        <v>10148</v>
      </c>
      <c r="K29" s="110" t="s">
        <v>10149</v>
      </c>
      <c r="L29" s="66"/>
      <c r="M29" s="66"/>
      <c r="N29" s="66"/>
      <c r="O29" s="66"/>
      <c r="P29" s="66"/>
      <c r="Q29" s="66"/>
      <c r="R29" s="66"/>
      <c r="S29" s="66"/>
      <c r="T29" s="66"/>
      <c r="U29" s="66"/>
      <c r="V29" s="66"/>
      <c r="W29" s="66"/>
      <c r="X29" s="66"/>
    </row>
    <row r="30">
      <c r="A30" s="72" t="s">
        <v>10150</v>
      </c>
      <c r="B30" s="440" t="s">
        <v>10151</v>
      </c>
      <c r="C30" s="72" t="s">
        <v>10152</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10153</v>
      </c>
      <c r="H30" s="440" t="s">
        <v>10154</v>
      </c>
      <c r="I30" s="188" t="s">
        <v>10155</v>
      </c>
      <c r="J30" s="441" t="s">
        <v>10156</v>
      </c>
      <c r="K30" s="110" t="s">
        <v>10157</v>
      </c>
      <c r="L30" s="66"/>
      <c r="M30" s="66"/>
      <c r="N30" s="66"/>
      <c r="O30" s="66"/>
      <c r="P30" s="66"/>
      <c r="Q30" s="66"/>
      <c r="R30" s="66"/>
      <c r="S30" s="66"/>
      <c r="T30" s="66"/>
      <c r="U30" s="66"/>
      <c r="V30" s="66"/>
      <c r="W30" s="66"/>
      <c r="X30" s="66"/>
    </row>
    <row r="31">
      <c r="A31" s="72" t="s">
        <v>10158</v>
      </c>
      <c r="B31" s="440" t="s">
        <v>10159</v>
      </c>
      <c r="C31" s="72" t="s">
        <v>10160</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10161</v>
      </c>
      <c r="H31" s="440" t="s">
        <v>10162</v>
      </c>
      <c r="I31" s="188" t="s">
        <v>10163</v>
      </c>
      <c r="J31" s="441" t="s">
        <v>10164</v>
      </c>
      <c r="K31" s="110" t="s">
        <v>10165</v>
      </c>
      <c r="L31" s="66"/>
      <c r="M31" s="66"/>
      <c r="N31" s="66"/>
      <c r="O31" s="66"/>
      <c r="P31" s="66"/>
      <c r="Q31" s="66"/>
      <c r="R31" s="66"/>
      <c r="S31" s="66"/>
      <c r="T31" s="66"/>
      <c r="U31" s="66"/>
      <c r="V31" s="66"/>
      <c r="W31" s="66"/>
      <c r="X31" s="66"/>
    </row>
    <row r="32">
      <c r="A32" s="72" t="s">
        <v>10166</v>
      </c>
      <c r="B32" s="440" t="s">
        <v>10167</v>
      </c>
      <c r="C32" s="72" t="s">
        <v>10168</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10169</v>
      </c>
      <c r="H32" s="440" t="s">
        <v>10170</v>
      </c>
      <c r="I32" s="188" t="s">
        <v>10171</v>
      </c>
      <c r="J32" s="441" t="s">
        <v>10172</v>
      </c>
      <c r="K32" s="110" t="s">
        <v>10173</v>
      </c>
      <c r="L32" s="66"/>
      <c r="M32" s="66"/>
      <c r="N32" s="66"/>
      <c r="O32" s="66"/>
      <c r="P32" s="66"/>
      <c r="Q32" s="66"/>
      <c r="R32" s="66"/>
      <c r="S32" s="66"/>
      <c r="T32" s="66"/>
      <c r="U32" s="66"/>
      <c r="V32" s="66"/>
      <c r="W32" s="66"/>
      <c r="X32" s="66"/>
    </row>
    <row r="33">
      <c r="A33" s="72" t="s">
        <v>10174</v>
      </c>
      <c r="B33" s="440" t="s">
        <v>10175</v>
      </c>
      <c r="C33" s="72" t="s">
        <v>10176</v>
      </c>
      <c r="D33" s="440" t="s">
        <v>10177</v>
      </c>
      <c r="E33" s="75" t="str">
        <f>IFERROR(__xludf.DUMMYFUNCTION("GOOGLETRANSLATE(A33,""zh-tw"",""es-MX"")"),"Cuanto más linda sea la criatura, mayor suele ser su poder de ataque.")</f>
        <v>Cuanto más linda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10178</v>
      </c>
      <c r="H33" s="440" t="s">
        <v>10179</v>
      </c>
      <c r="I33" s="188" t="s">
        <v>10180</v>
      </c>
      <c r="J33" s="441" t="s">
        <v>10181</v>
      </c>
      <c r="K33" s="110" t="s">
        <v>10182</v>
      </c>
      <c r="L33" s="66"/>
      <c r="M33" s="66"/>
      <c r="N33" s="66"/>
      <c r="O33" s="66"/>
      <c r="P33" s="66"/>
      <c r="Q33" s="66"/>
      <c r="R33" s="66"/>
      <c r="S33" s="66"/>
      <c r="T33" s="66"/>
      <c r="U33" s="66"/>
      <c r="V33" s="66"/>
      <c r="W33" s="66"/>
      <c r="X33" s="66"/>
    </row>
    <row r="34">
      <c r="A34" s="72" t="s">
        <v>10183</v>
      </c>
      <c r="B34" s="440" t="s">
        <v>10184</v>
      </c>
      <c r="C34" s="72" t="s">
        <v>10185</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10186</v>
      </c>
      <c r="H34" s="440" t="s">
        <v>10187</v>
      </c>
      <c r="I34" s="134" t="s">
        <v>10188</v>
      </c>
      <c r="J34" s="441" t="s">
        <v>10189</v>
      </c>
      <c r="K34" s="110" t="s">
        <v>10190</v>
      </c>
      <c r="L34" s="66"/>
      <c r="M34" s="66"/>
      <c r="N34" s="66"/>
      <c r="O34" s="66"/>
      <c r="P34" s="66"/>
      <c r="Q34" s="66"/>
      <c r="R34" s="66"/>
      <c r="S34" s="66"/>
      <c r="T34" s="66"/>
      <c r="U34" s="66"/>
      <c r="V34" s="66"/>
      <c r="W34" s="66"/>
      <c r="X34" s="66"/>
    </row>
    <row r="35">
      <c r="A35" s="72" t="s">
        <v>10191</v>
      </c>
      <c r="B35" s="440" t="s">
        <v>10192</v>
      </c>
      <c r="C35" s="72" t="s">
        <v>10193</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10194</v>
      </c>
      <c r="H35" s="440" t="s">
        <v>10195</v>
      </c>
      <c r="I35" s="188" t="s">
        <v>10196</v>
      </c>
      <c r="J35" s="441" t="s">
        <v>10197</v>
      </c>
      <c r="K35" s="110" t="s">
        <v>10198</v>
      </c>
      <c r="L35" s="66"/>
      <c r="M35" s="66"/>
      <c r="N35" s="66"/>
      <c r="O35" s="66"/>
      <c r="P35" s="66"/>
      <c r="Q35" s="66"/>
      <c r="R35" s="66"/>
      <c r="S35" s="66"/>
      <c r="T35" s="66"/>
      <c r="U35" s="66"/>
      <c r="V35" s="66"/>
      <c r="W35" s="66"/>
      <c r="X35" s="66"/>
    </row>
    <row r="36">
      <c r="A36" s="72" t="s">
        <v>10199</v>
      </c>
      <c r="B36" s="440" t="s">
        <v>10200</v>
      </c>
      <c r="C36" s="72" t="s">
        <v>10201</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10202</v>
      </c>
      <c r="H36" s="440" t="s">
        <v>10203</v>
      </c>
      <c r="I36" s="188" t="s">
        <v>10204</v>
      </c>
      <c r="J36" s="441" t="s">
        <v>10205</v>
      </c>
      <c r="K36" s="110" t="s">
        <v>10206</v>
      </c>
      <c r="L36" s="66"/>
      <c r="M36" s="66"/>
      <c r="N36" s="66"/>
      <c r="O36" s="66"/>
      <c r="P36" s="66"/>
      <c r="Q36" s="66"/>
      <c r="R36" s="66"/>
      <c r="S36" s="66"/>
      <c r="T36" s="66"/>
      <c r="U36" s="66"/>
      <c r="V36" s="66"/>
      <c r="W36" s="66"/>
      <c r="X36" s="66"/>
    </row>
    <row r="37">
      <c r="A37" s="72" t="s">
        <v>10207</v>
      </c>
      <c r="B37" s="440" t="s">
        <v>10208</v>
      </c>
      <c r="C37" s="72" t="s">
        <v>10209</v>
      </c>
      <c r="D37" s="440" t="s">
        <v>10210</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10211</v>
      </c>
      <c r="H37" s="440" t="s">
        <v>10212</v>
      </c>
      <c r="I37" s="188" t="s">
        <v>10213</v>
      </c>
      <c r="J37" s="441" t="s">
        <v>10214</v>
      </c>
      <c r="K37" s="110" t="s">
        <v>10215</v>
      </c>
      <c r="L37" s="66"/>
      <c r="M37" s="66"/>
      <c r="N37" s="66"/>
      <c r="O37" s="66"/>
      <c r="P37" s="66"/>
      <c r="Q37" s="66"/>
      <c r="R37" s="66"/>
      <c r="S37" s="66"/>
      <c r="T37" s="66"/>
      <c r="U37" s="66"/>
      <c r="V37" s="66"/>
      <c r="W37" s="66"/>
      <c r="X37" s="66"/>
    </row>
    <row r="38">
      <c r="A38" s="72" t="s">
        <v>10216</v>
      </c>
      <c r="B38" s="440" t="s">
        <v>10217</v>
      </c>
      <c r="C38" s="72" t="s">
        <v>10218</v>
      </c>
      <c r="D38" s="440" t="s">
        <v>10219</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10220</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10221</v>
      </c>
      <c r="J38" s="441" t="s">
        <v>10222</v>
      </c>
      <c r="K38" s="110" t="s">
        <v>10223</v>
      </c>
      <c r="L38" s="66"/>
      <c r="M38" s="66"/>
      <c r="N38" s="66"/>
      <c r="O38" s="66"/>
      <c r="P38" s="66"/>
      <c r="Q38" s="66"/>
      <c r="R38" s="66"/>
      <c r="S38" s="66"/>
      <c r="T38" s="66"/>
      <c r="U38" s="66"/>
      <c r="V38" s="66"/>
      <c r="W38" s="66"/>
      <c r="X38" s="66"/>
    </row>
    <row r="39">
      <c r="A39" s="72" t="s">
        <v>10224</v>
      </c>
      <c r="B39" s="440" t="s">
        <v>10225</v>
      </c>
      <c r="C39" s="72" t="s">
        <v>10226</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10227</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10228</v>
      </c>
      <c r="J39" s="441" t="s">
        <v>10229</v>
      </c>
      <c r="K39" s="110" t="s">
        <v>10230</v>
      </c>
      <c r="L39" s="66"/>
      <c r="M39" s="66"/>
      <c r="N39" s="66"/>
      <c r="O39" s="66"/>
      <c r="P39" s="66"/>
      <c r="Q39" s="66"/>
      <c r="R39" s="66"/>
      <c r="S39" s="66"/>
      <c r="T39" s="66"/>
      <c r="U39" s="66"/>
      <c r="V39" s="66"/>
      <c r="W39" s="66"/>
      <c r="X39" s="66"/>
    </row>
    <row r="40">
      <c r="A40" s="72" t="s">
        <v>10231</v>
      </c>
      <c r="B40" s="440" t="s">
        <v>10232</v>
      </c>
      <c r="C40" s="72" t="s">
        <v>10233</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10234</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10235</v>
      </c>
      <c r="J40" s="441" t="s">
        <v>10236</v>
      </c>
      <c r="K40" s="110" t="s">
        <v>10237</v>
      </c>
      <c r="L40" s="66"/>
      <c r="M40" s="66"/>
      <c r="N40" s="66"/>
      <c r="O40" s="66"/>
      <c r="P40" s="66"/>
      <c r="Q40" s="66"/>
      <c r="R40" s="66"/>
      <c r="S40" s="66"/>
      <c r="T40" s="66"/>
      <c r="U40" s="66"/>
      <c r="V40" s="66"/>
      <c r="W40" s="66"/>
      <c r="X40" s="66"/>
    </row>
    <row r="41">
      <c r="A41" s="72" t="s">
        <v>10238</v>
      </c>
      <c r="B41" s="440" t="s">
        <v>10239</v>
      </c>
      <c r="C41" s="72" t="s">
        <v>10240</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10241</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10242</v>
      </c>
      <c r="J41" s="441" t="s">
        <v>10243</v>
      </c>
      <c r="K41" s="110" t="s">
        <v>10244</v>
      </c>
      <c r="L41" s="66"/>
      <c r="M41" s="66"/>
      <c r="N41" s="66"/>
      <c r="O41" s="66"/>
      <c r="P41" s="66"/>
      <c r="Q41" s="66"/>
      <c r="R41" s="66"/>
      <c r="S41" s="66"/>
      <c r="T41" s="66"/>
      <c r="U41" s="66"/>
      <c r="V41" s="66"/>
      <c r="W41" s="66"/>
      <c r="X41" s="66"/>
    </row>
    <row r="42">
      <c r="A42" s="72" t="s">
        <v>10245</v>
      </c>
      <c r="B42" s="440" t="s">
        <v>10246</v>
      </c>
      <c r="C42" s="72" t="s">
        <v>10247</v>
      </c>
      <c r="D42" s="440" t="s">
        <v>10248</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10249</v>
      </c>
      <c r="H42" s="441" t="str">
        <f>IFERROR(__xludf.DUMMYFUNCTION("GOOGLETRANSLATE(A42,""zh-tw"",""de"")"),"Auch Monster besitzen einen Geruchssinn, und manche Monster fliehen vor einem üblen Geruch.")</f>
        <v>Auch Monster besitzen einen Geruchssinn, und manche Monster fliehen vor einem üblen Geruch.</v>
      </c>
      <c r="I42" s="188" t="s">
        <v>10250</v>
      </c>
      <c r="J42" s="441" t="s">
        <v>10251</v>
      </c>
      <c r="K42" s="110" t="s">
        <v>10252</v>
      </c>
      <c r="L42" s="66"/>
      <c r="M42" s="66"/>
      <c r="N42" s="66"/>
      <c r="O42" s="66"/>
      <c r="P42" s="66"/>
      <c r="Q42" s="66"/>
      <c r="R42" s="66"/>
      <c r="S42" s="66"/>
      <c r="T42" s="66"/>
      <c r="U42" s="66"/>
      <c r="V42" s="66"/>
      <c r="W42" s="66"/>
      <c r="X42" s="66"/>
    </row>
    <row r="43">
      <c r="A43" s="72" t="s">
        <v>10253</v>
      </c>
      <c r="B43" s="440" t="s">
        <v>10254</v>
      </c>
      <c r="C43" s="72" t="s">
        <v>10255</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10256</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10257</v>
      </c>
      <c r="J43" s="441" t="s">
        <v>10258</v>
      </c>
      <c r="K43" s="110" t="s">
        <v>10259</v>
      </c>
      <c r="L43" s="66"/>
      <c r="M43" s="66"/>
      <c r="N43" s="66"/>
      <c r="O43" s="66"/>
      <c r="P43" s="66"/>
      <c r="Q43" s="66"/>
      <c r="R43" s="66"/>
      <c r="S43" s="66"/>
      <c r="T43" s="66"/>
      <c r="U43" s="66"/>
      <c r="V43" s="66"/>
      <c r="W43" s="66"/>
      <c r="X43" s="66"/>
    </row>
    <row r="44">
      <c r="A44" s="72" t="s">
        <v>10260</v>
      </c>
      <c r="B44" s="440" t="s">
        <v>10261</v>
      </c>
      <c r="C44" s="72" t="s">
        <v>10262</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10263</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10264</v>
      </c>
      <c r="J44" s="441" t="s">
        <v>10265</v>
      </c>
      <c r="K44" s="110" t="s">
        <v>10266</v>
      </c>
      <c r="L44" s="66"/>
      <c r="M44" s="66"/>
      <c r="N44" s="66"/>
      <c r="O44" s="66"/>
      <c r="P44" s="66"/>
      <c r="Q44" s="66"/>
      <c r="R44" s="66"/>
      <c r="S44" s="66"/>
      <c r="T44" s="66"/>
      <c r="U44" s="66"/>
      <c r="V44" s="66"/>
      <c r="W44" s="66"/>
      <c r="X44" s="66"/>
    </row>
    <row r="45">
      <c r="A45" s="72" t="s">
        <v>10267</v>
      </c>
      <c r="B45" s="440" t="s">
        <v>10268</v>
      </c>
      <c r="C45" s="72" t="s">
        <v>10269</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10270</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10271</v>
      </c>
      <c r="J45" s="441" t="s">
        <v>10272</v>
      </c>
      <c r="K45" s="72" t="s">
        <v>10273</v>
      </c>
      <c r="L45" s="66"/>
      <c r="M45" s="66"/>
      <c r="N45" s="66"/>
      <c r="O45" s="66"/>
      <c r="P45" s="66"/>
      <c r="Q45" s="66"/>
      <c r="R45" s="66"/>
      <c r="S45" s="66"/>
      <c r="T45" s="66"/>
      <c r="U45" s="66"/>
      <c r="V45" s="66"/>
      <c r="W45" s="66"/>
      <c r="X45" s="66"/>
    </row>
    <row r="46">
      <c r="A46" s="72" t="s">
        <v>10274</v>
      </c>
      <c r="B46" s="440" t="s">
        <v>10275</v>
      </c>
      <c r="C46" s="72" t="s">
        <v>10276</v>
      </c>
      <c r="D46" s="44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1" t="str">
        <f>IFERROR(__xludf.DUMMYFUNCTION("GOOGLETRANSLATE(A46,""zh-tw"",""KO"")"),"가게 주인의 이름은 아키이고, 여동생의 성우도 아키입니다.")</f>
        <v>가게 주인의 이름은 아키이고, 여동생의 성우도 아키입니다.</v>
      </c>
      <c r="G46" s="142" t="s">
        <v>10277</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10278</v>
      </c>
      <c r="J46" s="441" t="s">
        <v>10279</v>
      </c>
      <c r="K46" s="72" t="s">
        <v>10280</v>
      </c>
      <c r="L46" s="66"/>
      <c r="M46" s="66"/>
      <c r="N46" s="66"/>
      <c r="O46" s="66"/>
      <c r="P46" s="66"/>
      <c r="Q46" s="66"/>
      <c r="R46" s="66"/>
      <c r="S46" s="66"/>
      <c r="T46" s="66"/>
      <c r="U46" s="66"/>
      <c r="V46" s="66"/>
      <c r="W46" s="66"/>
      <c r="X46" s="66"/>
    </row>
    <row r="47">
      <c r="A47" s="72" t="s">
        <v>10281</v>
      </c>
      <c r="B47" s="440" t="s">
        <v>10282</v>
      </c>
      <c r="C47" s="75" t="s">
        <v>10283</v>
      </c>
      <c r="D47" s="44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1" t="str">
        <f>IFERROR(__xludf.DUMMYFUNCTION("GOOGLETRANSLATE(A47,""zh-tw"",""KO"")"),"에흐와즈 룬은 던진 후 닿는 모든 적과 위치를 바꿉니다.")</f>
        <v>에흐와즈 룬은 던진 후 닿는 모든 적과 위치를 바꿉니다.</v>
      </c>
      <c r="G47" s="142" t="s">
        <v>10284</v>
      </c>
      <c r="H47" s="441" t="str">
        <f>IFERROR(__xludf.DUMMYFUNCTION("GOOGLETRANSLATE(A47,""zh-tw"",""de"")"),"Die Ehwaz-Rune tauscht nach dem Werfen die Position mit jedem Gegner, den sie berührt.")</f>
        <v>Die Ehwaz-Rune tauscht nach dem Werfen die Position mit jedem Gegner, den sie berührt.</v>
      </c>
      <c r="I47" s="188" t="s">
        <v>10285</v>
      </c>
      <c r="J47" s="441" t="s">
        <v>10286</v>
      </c>
      <c r="K47" s="110" t="s">
        <v>10287</v>
      </c>
      <c r="L47" s="66"/>
      <c r="M47" s="66"/>
      <c r="N47" s="66"/>
      <c r="O47" s="66"/>
      <c r="P47" s="66"/>
      <c r="Q47" s="66"/>
      <c r="R47" s="66"/>
      <c r="S47" s="66"/>
      <c r="T47" s="66"/>
      <c r="U47" s="66"/>
      <c r="V47" s="66"/>
      <c r="W47" s="66"/>
      <c r="X47" s="66"/>
    </row>
    <row r="48">
      <c r="A48" s="72" t="s">
        <v>10288</v>
      </c>
      <c r="B48" s="440" t="s">
        <v>10289</v>
      </c>
      <c r="C48" s="72" t="s">
        <v>10290</v>
      </c>
      <c r="D48" s="440" t="s">
        <v>10291</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10292</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10293</v>
      </c>
      <c r="J48" s="441" t="s">
        <v>10294</v>
      </c>
      <c r="K48" s="72" t="s">
        <v>10295</v>
      </c>
      <c r="L48" s="66"/>
      <c r="M48" s="66"/>
      <c r="N48" s="66"/>
      <c r="O48" s="66"/>
      <c r="P48" s="66"/>
      <c r="Q48" s="66"/>
      <c r="R48" s="66"/>
      <c r="S48" s="66"/>
      <c r="T48" s="66"/>
      <c r="U48" s="66"/>
      <c r="V48" s="66"/>
      <c r="W48" s="66"/>
      <c r="X48" s="66"/>
    </row>
    <row r="49">
      <c r="A49" s="72" t="s">
        <v>10296</v>
      </c>
      <c r="B49" s="440" t="s">
        <v>10297</v>
      </c>
      <c r="C49" s="72" t="s">
        <v>10298</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10299</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10300</v>
      </c>
      <c r="J49" s="441" t="s">
        <v>10301</v>
      </c>
      <c r="K49" s="110" t="s">
        <v>10302</v>
      </c>
      <c r="L49" s="66"/>
      <c r="M49" s="66"/>
      <c r="N49" s="66"/>
      <c r="O49" s="66"/>
      <c r="P49" s="66"/>
      <c r="Q49" s="66"/>
      <c r="R49" s="66"/>
      <c r="S49" s="66"/>
      <c r="T49" s="66"/>
      <c r="U49" s="66"/>
      <c r="V49" s="66"/>
      <c r="W49" s="66"/>
      <c r="X49" s="66"/>
    </row>
    <row r="50">
      <c r="A50" s="72" t="s">
        <v>10303</v>
      </c>
      <c r="B50" s="440" t="s">
        <v>10304</v>
      </c>
      <c r="C50" s="72" t="s">
        <v>10305</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1"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10306</v>
      </c>
      <c r="H50" s="441"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10307</v>
      </c>
      <c r="J50" s="441" t="s">
        <v>10308</v>
      </c>
      <c r="K50" s="110" t="s">
        <v>10309</v>
      </c>
      <c r="L50" s="66"/>
      <c r="M50" s="66"/>
      <c r="N50" s="66"/>
      <c r="O50" s="66"/>
      <c r="P50" s="66"/>
      <c r="Q50" s="66"/>
      <c r="R50" s="66"/>
      <c r="S50" s="66"/>
      <c r="T50" s="66"/>
      <c r="U50" s="66"/>
      <c r="V50" s="66"/>
      <c r="W50" s="66"/>
      <c r="X50" s="66"/>
    </row>
    <row r="51">
      <c r="A51" s="72" t="s">
        <v>10310</v>
      </c>
      <c r="B51" s="440" t="s">
        <v>10311</v>
      </c>
      <c r="C51" s="72" t="s">
        <v>10312</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10313</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10314</v>
      </c>
      <c r="J51" s="441" t="s">
        <v>10315</v>
      </c>
      <c r="K51" s="110" t="s">
        <v>10316</v>
      </c>
      <c r="L51" s="66"/>
      <c r="M51" s="66"/>
      <c r="N51" s="66"/>
      <c r="O51" s="66"/>
      <c r="P51" s="66"/>
      <c r="Q51" s="66"/>
      <c r="R51" s="66"/>
      <c r="S51" s="66"/>
      <c r="T51" s="66"/>
      <c r="U51" s="66"/>
      <c r="V51" s="66"/>
      <c r="W51" s="66"/>
      <c r="X51" s="66"/>
    </row>
    <row r="52">
      <c r="A52" s="72" t="s">
        <v>10317</v>
      </c>
      <c r="B52" s="440" t="s">
        <v>10318</v>
      </c>
      <c r="C52" s="72" t="s">
        <v>10319</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1" t="str">
        <f>IFERROR(__xludf.DUMMYFUNCTION("GOOGLETRANSLATE(A52,""zh-tw"",""KO"")"),"가샤폰이 기사의 발 근처에 떨어지면 기사가 주워줄 것입니다.")</f>
        <v>가샤폰이 기사의 발 근처에 떨어지면 기사가 주워줄 것입니다.</v>
      </c>
      <c r="G52" s="142" t="s">
        <v>10320</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10321</v>
      </c>
      <c r="J52" s="441" t="s">
        <v>10322</v>
      </c>
      <c r="K52" s="110" t="s">
        <v>10323</v>
      </c>
      <c r="L52" s="66"/>
      <c r="M52" s="66"/>
      <c r="N52" s="66"/>
      <c r="O52" s="66"/>
      <c r="P52" s="66"/>
      <c r="Q52" s="66"/>
      <c r="R52" s="66"/>
      <c r="S52" s="66"/>
      <c r="T52" s="66"/>
      <c r="U52" s="66"/>
      <c r="V52" s="66"/>
      <c r="W52" s="66"/>
      <c r="X52" s="66"/>
    </row>
    <row r="53">
      <c r="A53" s="72" t="s">
        <v>10324</v>
      </c>
      <c r="B53" s="440" t="s">
        <v>10325</v>
      </c>
      <c r="C53" s="72" t="s">
        <v>10326</v>
      </c>
      <c r="D53" s="440" t="s">
        <v>10327</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10328</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10329</v>
      </c>
      <c r="J53" s="441" t="s">
        <v>10330</v>
      </c>
      <c r="K53" s="110" t="s">
        <v>10331</v>
      </c>
      <c r="L53" s="66"/>
      <c r="M53" s="66"/>
      <c r="N53" s="66"/>
      <c r="O53" s="66"/>
      <c r="P53" s="66"/>
      <c r="Q53" s="66"/>
      <c r="R53" s="66"/>
      <c r="S53" s="66"/>
      <c r="T53" s="66"/>
      <c r="U53" s="66"/>
      <c r="V53" s="66"/>
      <c r="W53" s="66"/>
      <c r="X53" s="66"/>
    </row>
    <row r="54">
      <c r="A54" s="72" t="s">
        <v>10332</v>
      </c>
      <c r="B54" s="440" t="s">
        <v>10333</v>
      </c>
      <c r="C54" s="72" t="s">
        <v>10334</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10335</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10336</v>
      </c>
      <c r="J54" s="441" t="s">
        <v>10337</v>
      </c>
      <c r="K54" s="110" t="s">
        <v>10338</v>
      </c>
      <c r="L54" s="66"/>
      <c r="M54" s="66"/>
      <c r="N54" s="66"/>
      <c r="O54" s="66"/>
      <c r="P54" s="66"/>
      <c r="Q54" s="66"/>
      <c r="R54" s="66"/>
      <c r="S54" s="66"/>
      <c r="T54" s="66"/>
      <c r="U54" s="66"/>
      <c r="V54" s="66"/>
      <c r="W54" s="66"/>
      <c r="X54" s="66"/>
    </row>
    <row r="55">
      <c r="A55" s="72" t="s">
        <v>10339</v>
      </c>
      <c r="B55" s="440" t="s">
        <v>10340</v>
      </c>
      <c r="C55" s="72" t="s">
        <v>10341</v>
      </c>
      <c r="D55" s="440" t="s">
        <v>10342</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10343</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10344</v>
      </c>
      <c r="J55" s="441" t="s">
        <v>10345</v>
      </c>
      <c r="K55" s="72" t="s">
        <v>10346</v>
      </c>
      <c r="L55" s="66"/>
      <c r="M55" s="66"/>
      <c r="N55" s="66"/>
      <c r="O55" s="66"/>
      <c r="P55" s="66"/>
      <c r="Q55" s="66"/>
      <c r="R55" s="66"/>
      <c r="S55" s="66"/>
      <c r="T55" s="66"/>
      <c r="U55" s="66"/>
      <c r="V55" s="66"/>
      <c r="W55" s="66"/>
      <c r="X55" s="66"/>
    </row>
    <row r="56">
      <c r="A56" s="72" t="s">
        <v>10347</v>
      </c>
      <c r="B56" s="440" t="s">
        <v>10348</v>
      </c>
      <c r="C56" s="72" t="s">
        <v>10349</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10350</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10351</v>
      </c>
      <c r="J56" s="441" t="s">
        <v>10352</v>
      </c>
      <c r="K56" s="110" t="s">
        <v>10353</v>
      </c>
      <c r="L56" s="66"/>
      <c r="M56" s="66"/>
      <c r="N56" s="66"/>
      <c r="O56" s="66"/>
      <c r="P56" s="66"/>
      <c r="Q56" s="66"/>
      <c r="R56" s="66"/>
      <c r="S56" s="66"/>
      <c r="T56" s="66"/>
      <c r="U56" s="66"/>
      <c r="V56" s="66"/>
      <c r="W56" s="66"/>
      <c r="X56" s="66"/>
    </row>
    <row r="57">
      <c r="A57" s="72" t="s">
        <v>10354</v>
      </c>
      <c r="B57" s="440" t="s">
        <v>10355</v>
      </c>
      <c r="C57" s="72" t="s">
        <v>10356</v>
      </c>
      <c r="D57" s="440" t="s">
        <v>10357</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10358</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10359</v>
      </c>
      <c r="J57" s="441" t="s">
        <v>10360</v>
      </c>
      <c r="K57" s="110" t="s">
        <v>10361</v>
      </c>
      <c r="L57" s="66"/>
      <c r="M57" s="66"/>
      <c r="N57" s="66"/>
      <c r="O57" s="66"/>
      <c r="P57" s="66"/>
      <c r="Q57" s="66"/>
      <c r="R57" s="66"/>
      <c r="S57" s="66"/>
      <c r="T57" s="66"/>
      <c r="U57" s="66"/>
      <c r="V57" s="66"/>
      <c r="W57" s="66"/>
      <c r="X57" s="66"/>
    </row>
    <row r="58">
      <c r="A58" s="72" t="s">
        <v>10362</v>
      </c>
      <c r="B58" s="440" t="s">
        <v>10363</v>
      </c>
      <c r="C58" s="72" t="s">
        <v>10364</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10365</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10366</v>
      </c>
      <c r="J58" s="441" t="s">
        <v>10367</v>
      </c>
      <c r="K58" s="110" t="s">
        <v>10368</v>
      </c>
      <c r="L58" s="66"/>
      <c r="M58" s="66"/>
      <c r="N58" s="66"/>
      <c r="O58" s="66"/>
      <c r="P58" s="66"/>
      <c r="Q58" s="66"/>
      <c r="R58" s="66"/>
      <c r="S58" s="66"/>
      <c r="T58" s="66"/>
      <c r="U58" s="66"/>
      <c r="V58" s="66"/>
      <c r="W58" s="66"/>
      <c r="X58" s="66"/>
    </row>
    <row r="59">
      <c r="A59" s="72" t="s">
        <v>10369</v>
      </c>
      <c r="B59" s="440" t="s">
        <v>10370</v>
      </c>
      <c r="C59" s="72" t="s">
        <v>10371</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1" t="str">
        <f>IFERROR(__xludf.DUMMYFUNCTION("GOOGLETRANSLATE(A59,""zh-tw"",""KO"")"),"내 여동생은 날씨에 따라 손톱에 다른 색깔을 칠해요.")</f>
        <v>내 여동생은 날씨에 따라 손톱에 다른 색깔을 칠해요.</v>
      </c>
      <c r="G59" s="142" t="s">
        <v>10372</v>
      </c>
      <c r="H59" s="441" t="str">
        <f>IFERROR(__xludf.DUMMYFUNCTION("GOOGLETRANSLATE(A59,""zh-tw"",""de"")"),"Meine Schwester lackiert ihre Nägel je nach Wetterlage in verschiedenen Farben.")</f>
        <v>Meine Schwester lackiert ihre Nägel je nach Wetterlage in verschiedenen Farben.</v>
      </c>
      <c r="I59" s="188" t="s">
        <v>10373</v>
      </c>
      <c r="J59" s="441" t="s">
        <v>10374</v>
      </c>
      <c r="K59" s="72" t="s">
        <v>10375</v>
      </c>
      <c r="L59" s="66"/>
      <c r="M59" s="66"/>
      <c r="N59" s="66"/>
      <c r="O59" s="66"/>
      <c r="P59" s="66"/>
      <c r="Q59" s="66"/>
      <c r="R59" s="66"/>
      <c r="S59" s="66"/>
      <c r="T59" s="66"/>
      <c r="U59" s="66"/>
      <c r="V59" s="66"/>
      <c r="W59" s="66"/>
      <c r="X59" s="66"/>
    </row>
    <row r="60">
      <c r="A60" s="72" t="s">
        <v>10376</v>
      </c>
      <c r="B60" s="440" t="s">
        <v>10377</v>
      </c>
      <c r="C60" s="72" t="s">
        <v>10378</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10379</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10380</v>
      </c>
      <c r="J60" s="441" t="s">
        <v>10381</v>
      </c>
      <c r="K60" s="110" t="s">
        <v>10382</v>
      </c>
      <c r="L60" s="66"/>
      <c r="M60" s="66"/>
      <c r="N60" s="66"/>
      <c r="O60" s="66"/>
      <c r="P60" s="66"/>
      <c r="Q60" s="66"/>
      <c r="R60" s="66"/>
      <c r="S60" s="66"/>
      <c r="T60" s="66"/>
      <c r="U60" s="66"/>
      <c r="V60" s="66"/>
      <c r="W60" s="66"/>
      <c r="X60" s="66"/>
    </row>
    <row r="61">
      <c r="A61" s="72" t="s">
        <v>10383</v>
      </c>
      <c r="B61" s="440" t="s">
        <v>10384</v>
      </c>
      <c r="C61" s="72" t="s">
        <v>10385</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10386</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10387</v>
      </c>
      <c r="J61" s="441" t="s">
        <v>10388</v>
      </c>
      <c r="K61" s="110" t="s">
        <v>10389</v>
      </c>
      <c r="L61" s="66"/>
      <c r="M61" s="66"/>
      <c r="N61" s="66"/>
      <c r="O61" s="66"/>
      <c r="P61" s="66"/>
      <c r="Q61" s="66"/>
      <c r="R61" s="66"/>
      <c r="S61" s="66"/>
      <c r="T61" s="66"/>
      <c r="U61" s="66"/>
      <c r="V61" s="66"/>
      <c r="W61" s="66"/>
      <c r="X61" s="66"/>
    </row>
    <row r="62">
      <c r="A62" s="72" t="s">
        <v>10390</v>
      </c>
      <c r="B62" s="440" t="s">
        <v>10391</v>
      </c>
      <c r="C62" s="72" t="s">
        <v>10392</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10393</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10394</v>
      </c>
      <c r="J62" s="441" t="s">
        <v>10395</v>
      </c>
      <c r="K62" s="110" t="s">
        <v>10396</v>
      </c>
      <c r="L62" s="66"/>
      <c r="M62" s="66"/>
      <c r="N62" s="66"/>
      <c r="O62" s="66"/>
      <c r="P62" s="66"/>
      <c r="Q62" s="66"/>
      <c r="R62" s="66"/>
      <c r="S62" s="66"/>
      <c r="T62" s="66"/>
      <c r="U62" s="66"/>
      <c r="V62" s="66"/>
      <c r="W62" s="66"/>
      <c r="X62" s="66"/>
    </row>
    <row r="63">
      <c r="A63" s="72" t="s">
        <v>10397</v>
      </c>
      <c r="B63" s="440" t="s">
        <v>10398</v>
      </c>
      <c r="C63" s="72" t="s">
        <v>10399</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10400</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10401</v>
      </c>
      <c r="J63" s="441" t="s">
        <v>10402</v>
      </c>
      <c r="K63" s="110" t="s">
        <v>10403</v>
      </c>
      <c r="L63" s="66"/>
      <c r="M63" s="66"/>
      <c r="N63" s="66"/>
      <c r="O63" s="66"/>
      <c r="P63" s="66"/>
      <c r="Q63" s="66"/>
      <c r="R63" s="66"/>
      <c r="S63" s="66"/>
      <c r="T63" s="66"/>
      <c r="U63" s="66"/>
      <c r="V63" s="66"/>
      <c r="W63" s="66"/>
      <c r="X63" s="66"/>
    </row>
    <row r="64">
      <c r="A64" s="72" t="s">
        <v>10404</v>
      </c>
      <c r="B64" s="440" t="s">
        <v>10405</v>
      </c>
      <c r="C64" s="72" t="s">
        <v>10406</v>
      </c>
      <c r="D64" s="440"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10407</v>
      </c>
      <c r="H64" s="441" t="str">
        <f>IFERROR(__xludf.DUMMYFUNCTION("GOOGLETRANSLATE(A64,""zh-tw"",""de"")"),"Mit der Shift-Taste kann zwischen Geh- und Laufhaltung umgeschaltet werden.")</f>
        <v>Mit der Shift-Taste kann zwischen Geh- und Laufhaltung umgeschaltet werden.</v>
      </c>
      <c r="I64" s="188" t="s">
        <v>10408</v>
      </c>
      <c r="J64" s="441" t="s">
        <v>10409</v>
      </c>
      <c r="K64" s="110" t="s">
        <v>10410</v>
      </c>
      <c r="L64" s="66"/>
      <c r="M64" s="66"/>
      <c r="N64" s="66"/>
      <c r="O64" s="66"/>
      <c r="P64" s="66"/>
      <c r="Q64" s="66"/>
      <c r="R64" s="66"/>
      <c r="S64" s="66"/>
      <c r="T64" s="66"/>
      <c r="U64" s="66"/>
      <c r="V64" s="66"/>
      <c r="W64" s="66"/>
      <c r="X64" s="66"/>
    </row>
    <row r="65">
      <c r="A65" s="72" t="s">
        <v>10411</v>
      </c>
      <c r="B65" s="440" t="s">
        <v>10412</v>
      </c>
      <c r="C65" s="72" t="s">
        <v>10413</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10414</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10415</v>
      </c>
      <c r="J65" s="441" t="s">
        <v>10416</v>
      </c>
      <c r="K65" s="110" t="s">
        <v>10417</v>
      </c>
      <c r="L65" s="66"/>
      <c r="M65" s="66"/>
      <c r="N65" s="66"/>
      <c r="O65" s="66"/>
      <c r="P65" s="66"/>
      <c r="Q65" s="66"/>
      <c r="R65" s="66"/>
      <c r="S65" s="66"/>
      <c r="T65" s="66"/>
      <c r="U65" s="66"/>
      <c r="V65" s="66"/>
      <c r="W65" s="66"/>
      <c r="X65" s="66"/>
    </row>
    <row r="66">
      <c r="A66" s="72" t="s">
        <v>10418</v>
      </c>
      <c r="B66" s="440" t="s">
        <v>10419</v>
      </c>
      <c r="C66" s="72" t="s">
        <v>10420</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10421</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10422</v>
      </c>
      <c r="J66" s="441" t="s">
        <v>10423</v>
      </c>
      <c r="K66" s="72" t="s">
        <v>10424</v>
      </c>
      <c r="L66" s="66"/>
      <c r="M66" s="66"/>
      <c r="N66" s="66"/>
      <c r="O66" s="66"/>
      <c r="P66" s="66"/>
      <c r="Q66" s="66"/>
      <c r="R66" s="66"/>
      <c r="S66" s="66"/>
      <c r="T66" s="66"/>
      <c r="U66" s="66"/>
      <c r="V66" s="66"/>
      <c r="W66" s="66"/>
      <c r="X66" s="66"/>
    </row>
    <row r="67">
      <c r="A67" s="72" t="s">
        <v>10425</v>
      </c>
      <c r="B67" s="440" t="s">
        <v>10426</v>
      </c>
      <c r="C67" s="72" t="s">
        <v>10427</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10428</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10429</v>
      </c>
      <c r="J67" s="440" t="s">
        <v>10430</v>
      </c>
      <c r="K67" s="110" t="s">
        <v>10431</v>
      </c>
      <c r="L67" s="66"/>
      <c r="M67" s="66"/>
      <c r="N67" s="66"/>
      <c r="O67" s="66"/>
      <c r="P67" s="66"/>
      <c r="Q67" s="66"/>
      <c r="R67" s="66"/>
      <c r="S67" s="66"/>
      <c r="T67" s="66"/>
      <c r="U67" s="66"/>
      <c r="V67" s="66"/>
      <c r="W67" s="66"/>
      <c r="X67" s="66"/>
    </row>
    <row r="68">
      <c r="A68" s="72" t="s">
        <v>10432</v>
      </c>
      <c r="B68" s="440" t="s">
        <v>10433</v>
      </c>
      <c r="C68" s="72" t="s">
        <v>10434</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10435</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10436</v>
      </c>
      <c r="J68" s="441" t="s">
        <v>10437</v>
      </c>
      <c r="K68" s="110" t="s">
        <v>10438</v>
      </c>
      <c r="L68" s="66"/>
      <c r="M68" s="66"/>
      <c r="N68" s="66"/>
      <c r="O68" s="66"/>
      <c r="P68" s="66"/>
      <c r="Q68" s="66"/>
      <c r="R68" s="66"/>
      <c r="S68" s="66"/>
      <c r="T68" s="66"/>
      <c r="U68" s="66"/>
      <c r="V68" s="66"/>
      <c r="W68" s="66"/>
      <c r="X68" s="66"/>
    </row>
    <row r="69">
      <c r="A69" s="72" t="s">
        <v>10439</v>
      </c>
      <c r="B69" s="440" t="s">
        <v>10440</v>
      </c>
      <c r="C69" s="72" t="s">
        <v>10441</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10442</v>
      </c>
      <c r="H69" s="440" t="s">
        <v>10443</v>
      </c>
      <c r="I69" s="188" t="s">
        <v>10444</v>
      </c>
      <c r="J69" s="441" t="s">
        <v>10445</v>
      </c>
      <c r="K69" s="110" t="s">
        <v>10446</v>
      </c>
      <c r="L69" s="66"/>
      <c r="M69" s="66"/>
      <c r="N69" s="66"/>
      <c r="O69" s="66"/>
      <c r="P69" s="66"/>
      <c r="Q69" s="66"/>
      <c r="R69" s="66"/>
      <c r="S69" s="66"/>
      <c r="T69" s="66"/>
      <c r="U69" s="66"/>
      <c r="V69" s="66"/>
      <c r="W69" s="66"/>
      <c r="X69" s="66"/>
    </row>
    <row r="70">
      <c r="A70" s="72" t="s">
        <v>10447</v>
      </c>
      <c r="B70" s="440" t="s">
        <v>10448</v>
      </c>
      <c r="C70" s="72" t="s">
        <v>10449</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10450</v>
      </c>
      <c r="H70" s="440" t="s">
        <v>10451</v>
      </c>
      <c r="I70" s="188" t="s">
        <v>10452</v>
      </c>
      <c r="J70" s="441" t="s">
        <v>10453</v>
      </c>
      <c r="K70" s="110" t="s">
        <v>10454</v>
      </c>
      <c r="L70" s="66"/>
      <c r="M70" s="66"/>
      <c r="N70" s="66"/>
      <c r="O70" s="66"/>
      <c r="P70" s="66"/>
      <c r="Q70" s="66"/>
      <c r="R70" s="66"/>
      <c r="S70" s="66"/>
      <c r="T70" s="66"/>
      <c r="U70" s="66"/>
      <c r="V70" s="66"/>
      <c r="W70" s="66"/>
      <c r="X70" s="66"/>
    </row>
    <row r="71">
      <c r="A71" s="72" t="s">
        <v>10455</v>
      </c>
      <c r="B71" s="440" t="s">
        <v>10456</v>
      </c>
      <c r="C71" s="72" t="s">
        <v>10457</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10458</v>
      </c>
      <c r="H71" s="440" t="s">
        <v>10459</v>
      </c>
      <c r="I71" s="188" t="s">
        <v>10460</v>
      </c>
      <c r="J71" s="441" t="s">
        <v>10461</v>
      </c>
      <c r="K71" s="110" t="s">
        <v>10462</v>
      </c>
      <c r="L71" s="66"/>
      <c r="M71" s="66"/>
      <c r="N71" s="66"/>
      <c r="O71" s="66"/>
      <c r="P71" s="66"/>
      <c r="Q71" s="66"/>
      <c r="R71" s="66"/>
      <c r="S71" s="66"/>
      <c r="T71" s="66"/>
      <c r="U71" s="66"/>
      <c r="V71" s="66"/>
      <c r="W71" s="66"/>
      <c r="X71" s="66"/>
    </row>
    <row r="72">
      <c r="A72" s="72" t="s">
        <v>10463</v>
      </c>
      <c r="B72" s="440" t="s">
        <v>10464</v>
      </c>
      <c r="C72" s="72" t="s">
        <v>10465</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10466</v>
      </c>
      <c r="H72" s="440" t="s">
        <v>10467</v>
      </c>
      <c r="I72" s="188" t="s">
        <v>10468</v>
      </c>
      <c r="J72" s="441" t="s">
        <v>10469</v>
      </c>
      <c r="K72" s="72" t="s">
        <v>10470</v>
      </c>
      <c r="L72" s="66"/>
      <c r="M72" s="66"/>
      <c r="N72" s="66"/>
      <c r="O72" s="66"/>
      <c r="P72" s="66"/>
      <c r="Q72" s="66"/>
      <c r="R72" s="66"/>
      <c r="S72" s="66"/>
      <c r="T72" s="66"/>
      <c r="U72" s="66"/>
      <c r="V72" s="66"/>
      <c r="W72" s="66"/>
      <c r="X72" s="66"/>
    </row>
    <row r="73">
      <c r="A73" s="72" t="s">
        <v>10471</v>
      </c>
      <c r="B73" s="440" t="s">
        <v>10472</v>
      </c>
      <c r="C73" s="72" t="s">
        <v>10473</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10474</v>
      </c>
      <c r="H73" s="440" t="s">
        <v>10475</v>
      </c>
      <c r="I73" s="188" t="s">
        <v>10476</v>
      </c>
      <c r="J73" s="441" t="s">
        <v>10477</v>
      </c>
      <c r="K73" s="110" t="s">
        <v>10478</v>
      </c>
      <c r="L73" s="66"/>
      <c r="M73" s="66"/>
      <c r="N73" s="66"/>
      <c r="O73" s="66"/>
      <c r="P73" s="66"/>
      <c r="Q73" s="66"/>
      <c r="R73" s="66"/>
      <c r="S73" s="66"/>
      <c r="T73" s="66"/>
      <c r="U73" s="66"/>
      <c r="V73" s="66"/>
      <c r="W73" s="66"/>
      <c r="X73" s="66"/>
    </row>
    <row r="74">
      <c r="A74" s="72" t="s">
        <v>10479</v>
      </c>
      <c r="B74" s="440" t="s">
        <v>10480</v>
      </c>
      <c r="C74" s="72" t="s">
        <v>10481</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10482</v>
      </c>
      <c r="H74" s="440" t="s">
        <v>10483</v>
      </c>
      <c r="I74" s="188" t="s">
        <v>10484</v>
      </c>
      <c r="J74" s="441" t="s">
        <v>10485</v>
      </c>
      <c r="K74" s="110" t="s">
        <v>10486</v>
      </c>
      <c r="L74" s="66"/>
      <c r="M74" s="66"/>
      <c r="N74" s="66"/>
      <c r="O74" s="66"/>
      <c r="P74" s="66"/>
      <c r="Q74" s="66"/>
      <c r="R74" s="66"/>
      <c r="S74" s="66"/>
      <c r="T74" s="66"/>
      <c r="U74" s="66"/>
      <c r="V74" s="66"/>
      <c r="W74" s="66"/>
      <c r="X74" s="66"/>
    </row>
    <row r="75">
      <c r="A75" s="72" t="s">
        <v>10487</v>
      </c>
      <c r="B75" s="440" t="s">
        <v>10488</v>
      </c>
      <c r="C75" s="72" t="s">
        <v>10489</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10490</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10491</v>
      </c>
      <c r="J75" s="441" t="s">
        <v>10492</v>
      </c>
      <c r="K75" s="110" t="s">
        <v>10493</v>
      </c>
      <c r="L75" s="66"/>
      <c r="M75" s="66"/>
      <c r="N75" s="66"/>
      <c r="O75" s="66"/>
      <c r="P75" s="66"/>
      <c r="Q75" s="66"/>
      <c r="R75" s="66"/>
      <c r="S75" s="66"/>
      <c r="T75" s="66"/>
      <c r="U75" s="66"/>
      <c r="V75" s="66"/>
      <c r="W75" s="66"/>
      <c r="X75" s="66"/>
    </row>
    <row r="76">
      <c r="A76" s="75" t="s">
        <v>10494</v>
      </c>
      <c r="B76" s="440" t="s">
        <v>10495</v>
      </c>
      <c r="C76" s="75" t="s">
        <v>10496</v>
      </c>
      <c r="D76" s="440" t="str">
        <f>IFERROR(__xludf.DUMMYFUNCTION("GOOGLETRANSLATE(A76,""zh-tw"",""zh"")"),"牛奶是最好的解辣饮品，能大幅缩短解除辣哭了的持续时间")</f>
        <v>牛奶是最好的解辣饮品，能大幅缩短解除辣哭了的持续时间</v>
      </c>
      <c r="E76" s="72" t="s">
        <v>10497</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10498</v>
      </c>
      <c r="H76" s="441" t="s">
        <v>10499</v>
      </c>
      <c r="I76" s="188" t="s">
        <v>10500</v>
      </c>
      <c r="J76" s="441" t="s">
        <v>10501</v>
      </c>
      <c r="K76" s="110" t="s">
        <v>10502</v>
      </c>
      <c r="L76" s="66"/>
      <c r="M76" s="66"/>
      <c r="N76" s="66"/>
      <c r="O76" s="66"/>
      <c r="P76" s="66"/>
      <c r="Q76" s="66"/>
      <c r="R76" s="66"/>
      <c r="S76" s="66"/>
      <c r="T76" s="66"/>
      <c r="U76" s="66"/>
      <c r="V76" s="66"/>
      <c r="W76" s="66"/>
      <c r="X76" s="66"/>
    </row>
    <row r="77">
      <c r="A77" s="75" t="s">
        <v>10503</v>
      </c>
      <c r="B77" s="441" t="s">
        <v>10504</v>
      </c>
      <c r="C77" s="75" t="s">
        <v>10505</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10506</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10507</v>
      </c>
      <c r="H77" s="441" t="s">
        <v>10508</v>
      </c>
      <c r="I77" s="188" t="s">
        <v>10509</v>
      </c>
      <c r="J77" s="441" t="s">
        <v>10510</v>
      </c>
      <c r="K77" s="110" t="s">
        <v>10511</v>
      </c>
      <c r="L77" s="66"/>
      <c r="M77" s="66"/>
      <c r="N77" s="66"/>
      <c r="O77" s="66"/>
      <c r="P77" s="66"/>
      <c r="Q77" s="66"/>
      <c r="R77" s="66"/>
      <c r="S77" s="66"/>
      <c r="T77" s="66"/>
      <c r="U77" s="66"/>
      <c r="V77" s="66"/>
      <c r="W77" s="66"/>
      <c r="X77" s="66"/>
    </row>
    <row r="78">
      <c r="A78" s="75" t="s">
        <v>10512</v>
      </c>
      <c r="B78" s="441" t="s">
        <v>10513</v>
      </c>
      <c r="C78" s="75" t="s">
        <v>10514</v>
      </c>
      <c r="D78" s="440" t="str">
        <f>IFERROR(__xludf.DUMMYFUNCTION("GOOGLETRANSLATE(A78,""zh-tw"",""zh"")"),"ASABA通常会出现在路边的草莓丛中")</f>
        <v>ASABA通常会出现在路边的草莓丛中</v>
      </c>
      <c r="E78" s="72" t="s">
        <v>10515</v>
      </c>
      <c r="F78" s="441" t="str">
        <f>IFERROR(__xludf.DUMMYFUNCTION("GOOGLETRANSLATE(A78,""zh-tw"",""KO"")"),"아사바는 보통 길가 딸기 덤불에서 발견됩니다.")</f>
        <v>아사바는 보통 길가 딸기 덤불에서 발견됩니다.</v>
      </c>
      <c r="G78" s="142" t="s">
        <v>10516</v>
      </c>
      <c r="H78" s="441" t="s">
        <v>10517</v>
      </c>
      <c r="I78" s="188" t="s">
        <v>10518</v>
      </c>
      <c r="J78" s="441" t="s">
        <v>10519</v>
      </c>
      <c r="K78" s="110" t="s">
        <v>10520</v>
      </c>
      <c r="L78" s="66"/>
      <c r="M78" s="66"/>
      <c r="N78" s="66"/>
      <c r="O78" s="66"/>
      <c r="P78" s="66"/>
      <c r="Q78" s="66"/>
      <c r="R78" s="66"/>
      <c r="S78" s="66"/>
      <c r="T78" s="66"/>
      <c r="U78" s="66"/>
      <c r="V78" s="66"/>
      <c r="W78" s="66"/>
      <c r="X78" s="66"/>
    </row>
    <row r="79">
      <c r="A79" s="75" t="s">
        <v>10521</v>
      </c>
      <c r="B79" s="441" t="s">
        <v>10522</v>
      </c>
      <c r="C79" s="75" t="s">
        <v>10523</v>
      </c>
      <c r="D79" s="440" t="str">
        <f>IFERROR(__xludf.DUMMYFUNCTION("GOOGLETRANSLATE(A79,""zh-tw"",""zh"")"),"""草莓""食材，目前无实际用途，等待未来更新")</f>
        <v>"草莓"食材，目前无实际用途，等待未来更新</v>
      </c>
      <c r="E79" s="72" t="s">
        <v>10524</v>
      </c>
      <c r="F79" s="44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10525</v>
      </c>
      <c r="H79" s="441" t="s">
        <v>10526</v>
      </c>
      <c r="I79" s="188" t="s">
        <v>10527</v>
      </c>
      <c r="J79" s="441" t="s">
        <v>10528</v>
      </c>
      <c r="K79" s="110" t="s">
        <v>10529</v>
      </c>
      <c r="L79" s="66"/>
      <c r="M79" s="66"/>
      <c r="N79" s="66"/>
      <c r="O79" s="66"/>
      <c r="P79" s="66"/>
      <c r="Q79" s="66"/>
      <c r="R79" s="66"/>
      <c r="S79" s="66"/>
      <c r="T79" s="66"/>
      <c r="U79" s="66"/>
      <c r="V79" s="66"/>
      <c r="W79" s="66"/>
      <c r="X79" s="66"/>
    </row>
    <row r="80">
      <c r="A80" s="72" t="s">
        <v>10530</v>
      </c>
      <c r="B80" s="440" t="s">
        <v>10531</v>
      </c>
      <c r="C80" s="72" t="s">
        <v>10532</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10533</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10534</v>
      </c>
      <c r="H80" s="441" t="s">
        <v>10535</v>
      </c>
      <c r="I80" s="134" t="s">
        <v>10536</v>
      </c>
      <c r="J80" s="441" t="s">
        <v>10537</v>
      </c>
      <c r="K80" s="110" t="s">
        <v>10538</v>
      </c>
      <c r="L80" s="66"/>
      <c r="M80" s="66"/>
      <c r="N80" s="66"/>
      <c r="O80" s="66"/>
      <c r="P80" s="66"/>
      <c r="Q80" s="66"/>
      <c r="R80" s="66"/>
      <c r="S80" s="66"/>
      <c r="T80" s="66"/>
      <c r="U80" s="66"/>
      <c r="V80" s="66"/>
      <c r="W80" s="66"/>
      <c r="X80" s="66"/>
    </row>
    <row r="81">
      <c r="A81" s="72" t="s">
        <v>10539</v>
      </c>
      <c r="B81" s="440" t="s">
        <v>10540</v>
      </c>
      <c r="C81" s="72" t="s">
        <v>10541</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10542</v>
      </c>
      <c r="H81" s="445" t="s">
        <v>10543</v>
      </c>
      <c r="I81" s="188" t="s">
        <v>10544</v>
      </c>
      <c r="J81" s="441" t="s">
        <v>10545</v>
      </c>
      <c r="K81" s="110" t="s">
        <v>10546</v>
      </c>
      <c r="L81" s="66"/>
      <c r="M81" s="66"/>
      <c r="N81" s="66"/>
      <c r="O81" s="66"/>
      <c r="P81" s="66"/>
      <c r="Q81" s="66"/>
      <c r="R81" s="66"/>
      <c r="S81" s="66"/>
      <c r="T81" s="66"/>
      <c r="U81" s="66"/>
      <c r="V81" s="66"/>
      <c r="W81" s="66"/>
      <c r="X81" s="66"/>
    </row>
    <row r="82">
      <c r="A82" s="72" t="s">
        <v>10547</v>
      </c>
      <c r="B82" s="440" t="s">
        <v>10548</v>
      </c>
      <c r="C82" s="72" t="s">
        <v>10549</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10550</v>
      </c>
      <c r="H82" s="440" t="s">
        <v>10551</v>
      </c>
      <c r="I82" s="134" t="s">
        <v>10552</v>
      </c>
      <c r="J82" s="441" t="s">
        <v>10553</v>
      </c>
      <c r="K82" s="110" t="s">
        <v>10554</v>
      </c>
      <c r="L82" s="66"/>
      <c r="M82" s="66"/>
      <c r="N82" s="66"/>
      <c r="O82" s="66"/>
      <c r="P82" s="66"/>
      <c r="Q82" s="66"/>
      <c r="R82" s="66"/>
      <c r="S82" s="66"/>
      <c r="T82" s="66"/>
      <c r="U82" s="66"/>
      <c r="V82" s="66"/>
      <c r="W82" s="66"/>
      <c r="X82" s="66"/>
    </row>
    <row r="83">
      <c r="A83" s="75" t="s">
        <v>10555</v>
      </c>
      <c r="B83" s="440" t="s">
        <v>10556</v>
      </c>
      <c r="C83" s="75" t="s">
        <v>10557</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10558</v>
      </c>
      <c r="H83" s="441" t="s">
        <v>10559</v>
      </c>
      <c r="I83" s="188" t="s">
        <v>10560</v>
      </c>
      <c r="J83" s="441" t="s">
        <v>10561</v>
      </c>
      <c r="K83" s="110" t="s">
        <v>10562</v>
      </c>
      <c r="L83" s="66"/>
      <c r="M83" s="66"/>
      <c r="N83" s="66"/>
      <c r="O83" s="66"/>
      <c r="P83" s="66"/>
      <c r="Q83" s="66"/>
      <c r="R83" s="66"/>
      <c r="S83" s="66"/>
      <c r="T83" s="66"/>
      <c r="U83" s="66"/>
      <c r="V83" s="66"/>
      <c r="W83" s="66"/>
      <c r="X83" s="66"/>
    </row>
    <row r="84" ht="53.25" customHeight="1">
      <c r="A84" s="75" t="s">
        <v>10563</v>
      </c>
      <c r="B84" s="440" t="s">
        <v>10564</v>
      </c>
      <c r="C84" s="75" t="s">
        <v>10565</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10566</v>
      </c>
      <c r="H84" s="441" t="s">
        <v>10567</v>
      </c>
      <c r="I84" s="188" t="s">
        <v>10568</v>
      </c>
      <c r="J84" s="441" t="s">
        <v>10569</v>
      </c>
      <c r="K84" s="110" t="s">
        <v>10570</v>
      </c>
      <c r="L84" s="66"/>
      <c r="M84" s="66"/>
      <c r="N84" s="66"/>
      <c r="O84" s="66"/>
      <c r="P84" s="66"/>
      <c r="Q84" s="66"/>
      <c r="R84" s="66"/>
      <c r="S84" s="66"/>
      <c r="T84" s="66"/>
      <c r="U84" s="66"/>
      <c r="V84" s="66"/>
      <c r="W84" s="66"/>
      <c r="X84" s="66"/>
    </row>
    <row r="85">
      <c r="A85" s="72" t="s">
        <v>10571</v>
      </c>
      <c r="B85" s="440" t="s">
        <v>10572</v>
      </c>
      <c r="C85" s="72" t="s">
        <v>10573</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10574</v>
      </c>
      <c r="F85" s="44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10575</v>
      </c>
      <c r="H85" s="440" t="s">
        <v>10576</v>
      </c>
      <c r="I85" s="134" t="s">
        <v>10577</v>
      </c>
      <c r="J85" s="441" t="s">
        <v>10578</v>
      </c>
      <c r="K85" s="72" t="s">
        <v>10579</v>
      </c>
      <c r="L85" s="66"/>
      <c r="M85" s="66"/>
      <c r="N85" s="66"/>
      <c r="O85" s="66"/>
      <c r="P85" s="66"/>
      <c r="Q85" s="66"/>
      <c r="R85" s="66"/>
      <c r="S85" s="66"/>
      <c r="T85" s="66"/>
      <c r="U85" s="66"/>
      <c r="V85" s="66"/>
      <c r="W85" s="66"/>
      <c r="X85" s="66"/>
    </row>
    <row r="86">
      <c r="A86" s="75" t="s">
        <v>10580</v>
      </c>
      <c r="B86" s="441" t="s">
        <v>10581</v>
      </c>
      <c r="C86" s="75" t="s">
        <v>10582</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10583</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10584</v>
      </c>
      <c r="H86" s="441" t="s">
        <v>10585</v>
      </c>
      <c r="I86" s="134" t="s">
        <v>10586</v>
      </c>
      <c r="J86" s="441" t="s">
        <v>10587</v>
      </c>
      <c r="K86" s="72" t="s">
        <v>10588</v>
      </c>
      <c r="L86" s="66"/>
      <c r="M86" s="66"/>
      <c r="N86" s="66"/>
      <c r="O86" s="66"/>
      <c r="P86" s="66"/>
      <c r="Q86" s="66"/>
      <c r="R86" s="66"/>
      <c r="S86" s="66"/>
      <c r="T86" s="66"/>
      <c r="U86" s="66"/>
      <c r="V86" s="66"/>
      <c r="W86" s="66"/>
      <c r="X86" s="66"/>
    </row>
    <row r="87">
      <c r="A87" s="75" t="s">
        <v>10589</v>
      </c>
      <c r="B87" s="441" t="s">
        <v>10590</v>
      </c>
      <c r="C87" s="75" t="s">
        <v>10591</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10592</v>
      </c>
      <c r="H87" s="441" t="s">
        <v>10593</v>
      </c>
      <c r="I87" s="188" t="s">
        <v>10594</v>
      </c>
      <c r="J87" s="441" t="s">
        <v>10595</v>
      </c>
      <c r="K87" s="110" t="s">
        <v>10596</v>
      </c>
      <c r="L87" s="66"/>
      <c r="M87" s="66"/>
      <c r="N87" s="66"/>
      <c r="O87" s="66"/>
      <c r="P87" s="66"/>
      <c r="Q87" s="66"/>
      <c r="R87" s="66"/>
      <c r="S87" s="66"/>
      <c r="T87" s="66"/>
      <c r="U87" s="66"/>
      <c r="V87" s="66"/>
      <c r="W87" s="66"/>
      <c r="X87" s="66"/>
    </row>
    <row r="88">
      <c r="A88" s="75" t="s">
        <v>10597</v>
      </c>
      <c r="B88" s="441" t="s">
        <v>10598</v>
      </c>
      <c r="C88" s="75" t="s">
        <v>10599</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10600</v>
      </c>
      <c r="H88" s="441" t="s">
        <v>10601</v>
      </c>
      <c r="I88" s="188" t="s">
        <v>10602</v>
      </c>
      <c r="J88" s="441" t="s">
        <v>10603</v>
      </c>
      <c r="K88" s="110" t="s">
        <v>10604</v>
      </c>
      <c r="L88" s="66"/>
      <c r="M88" s="66"/>
      <c r="N88" s="66"/>
      <c r="O88" s="66"/>
      <c r="P88" s="66"/>
      <c r="Q88" s="66"/>
      <c r="R88" s="66"/>
      <c r="S88" s="66"/>
      <c r="T88" s="66"/>
      <c r="U88" s="66"/>
      <c r="V88" s="66"/>
      <c r="W88" s="66"/>
      <c r="X88" s="66"/>
    </row>
    <row r="89">
      <c r="A89" s="72" t="s">
        <v>10605</v>
      </c>
      <c r="B89" s="440" t="s">
        <v>10606</v>
      </c>
      <c r="C89" s="72" t="s">
        <v>10607</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10608</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10609</v>
      </c>
      <c r="J89" s="441" t="s">
        <v>10610</v>
      </c>
      <c r="K89" s="110" t="s">
        <v>10611</v>
      </c>
      <c r="L89" s="66"/>
      <c r="M89" s="66"/>
      <c r="N89" s="66"/>
      <c r="O89" s="66"/>
      <c r="P89" s="66"/>
      <c r="Q89" s="66"/>
      <c r="R89" s="66"/>
      <c r="S89" s="66"/>
      <c r="T89" s="66"/>
      <c r="U89" s="66"/>
      <c r="V89" s="66"/>
      <c r="W89" s="66"/>
      <c r="X89" s="66"/>
    </row>
    <row r="90">
      <c r="A90" s="75" t="s">
        <v>10612</v>
      </c>
      <c r="B90" s="441" t="s">
        <v>10613</v>
      </c>
      <c r="C90" s="75" t="s">
        <v>10614</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10615</v>
      </c>
      <c r="H90" s="441" t="s">
        <v>10616</v>
      </c>
      <c r="I90" s="188" t="s">
        <v>10617</v>
      </c>
      <c r="J90" s="441" t="s">
        <v>10618</v>
      </c>
      <c r="K90" s="110" t="s">
        <v>10619</v>
      </c>
      <c r="L90" s="66"/>
      <c r="M90" s="66"/>
      <c r="N90" s="66"/>
      <c r="O90" s="66"/>
      <c r="P90" s="66"/>
      <c r="Q90" s="66"/>
      <c r="R90" s="66"/>
      <c r="S90" s="66"/>
      <c r="T90" s="66"/>
      <c r="U90" s="66"/>
      <c r="V90" s="66"/>
      <c r="W90" s="66"/>
      <c r="X90" s="66"/>
    </row>
    <row r="91">
      <c r="A91" s="72" t="s">
        <v>10620</v>
      </c>
      <c r="B91" s="440" t="s">
        <v>10621</v>
      </c>
      <c r="C91" s="72" t="s">
        <v>10622</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10623</v>
      </c>
      <c r="H91" s="440" t="s">
        <v>10624</v>
      </c>
      <c r="I91" s="188" t="s">
        <v>10625</v>
      </c>
      <c r="J91" s="441" t="s">
        <v>10626</v>
      </c>
      <c r="K91" s="110" t="s">
        <v>10627</v>
      </c>
      <c r="L91" s="66"/>
      <c r="M91" s="66"/>
      <c r="N91" s="66"/>
      <c r="O91" s="66"/>
      <c r="P91" s="66"/>
      <c r="Q91" s="66"/>
      <c r="R91" s="66"/>
      <c r="S91" s="66"/>
      <c r="T91" s="66"/>
      <c r="U91" s="66"/>
      <c r="V91" s="66"/>
      <c r="W91" s="66"/>
      <c r="X91" s="66"/>
    </row>
    <row r="92">
      <c r="A92" s="75" t="s">
        <v>10628</v>
      </c>
      <c r="B92" s="440" t="s">
        <v>10629</v>
      </c>
      <c r="C92" s="75" t="s">
        <v>10630</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10631</v>
      </c>
      <c r="H92" s="441" t="s">
        <v>10632</v>
      </c>
      <c r="I92" s="188" t="s">
        <v>10633</v>
      </c>
      <c r="J92" s="441" t="s">
        <v>10634</v>
      </c>
      <c r="K92" s="110" t="s">
        <v>10635</v>
      </c>
      <c r="L92" s="66"/>
      <c r="M92" s="66"/>
      <c r="N92" s="66"/>
      <c r="O92" s="66"/>
      <c r="P92" s="66"/>
      <c r="Q92" s="66"/>
      <c r="R92" s="66"/>
      <c r="S92" s="66"/>
      <c r="T92" s="66"/>
      <c r="U92" s="66"/>
      <c r="V92" s="66"/>
      <c r="W92" s="66"/>
      <c r="X92" s="66"/>
    </row>
    <row r="93">
      <c r="A93" s="75" t="s">
        <v>10636</v>
      </c>
      <c r="B93" s="441" t="s">
        <v>10637</v>
      </c>
      <c r="C93" s="75" t="s">
        <v>10638</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10639</v>
      </c>
      <c r="H93" s="441" t="s">
        <v>10640</v>
      </c>
      <c r="I93" s="188" t="s">
        <v>10641</v>
      </c>
      <c r="J93" s="441" t="s">
        <v>10642</v>
      </c>
      <c r="K93" s="110" t="s">
        <v>10643</v>
      </c>
      <c r="L93" s="66"/>
      <c r="M93" s="66"/>
      <c r="N93" s="66"/>
      <c r="O93" s="66"/>
      <c r="P93" s="66"/>
      <c r="Q93" s="66"/>
      <c r="R93" s="66"/>
      <c r="S93" s="66"/>
      <c r="T93" s="66"/>
      <c r="U93" s="66"/>
      <c r="V93" s="66"/>
      <c r="W93" s="66"/>
      <c r="X93" s="66"/>
    </row>
    <row r="94">
      <c r="A94" s="75" t="s">
        <v>10644</v>
      </c>
      <c r="B94" s="441" t="s">
        <v>10645</v>
      </c>
      <c r="C94" s="75" t="s">
        <v>10646</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10647</v>
      </c>
      <c r="H94" s="441" t="s">
        <v>10648</v>
      </c>
      <c r="I94" s="188" t="s">
        <v>10649</v>
      </c>
      <c r="J94" s="441" t="s">
        <v>10650</v>
      </c>
      <c r="K94" s="110" t="s">
        <v>10651</v>
      </c>
      <c r="L94" s="66"/>
      <c r="M94" s="66"/>
      <c r="N94" s="66"/>
      <c r="O94" s="66"/>
      <c r="P94" s="66"/>
      <c r="Q94" s="66"/>
      <c r="R94" s="66"/>
      <c r="S94" s="66"/>
      <c r="T94" s="66"/>
      <c r="U94" s="66"/>
      <c r="V94" s="66"/>
      <c r="W94" s="66"/>
      <c r="X94" s="66"/>
    </row>
    <row r="95">
      <c r="A95" s="72" t="s">
        <v>10652</v>
      </c>
      <c r="B95" s="441" t="s">
        <v>10653</v>
      </c>
      <c r="C95" s="75" t="s">
        <v>10654</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10655</v>
      </c>
      <c r="H95" s="441" t="s">
        <v>10656</v>
      </c>
      <c r="I95" s="188" t="s">
        <v>10657</v>
      </c>
      <c r="J95" s="441" t="s">
        <v>10658</v>
      </c>
      <c r="K95" s="110" t="s">
        <v>10659</v>
      </c>
      <c r="L95" s="66"/>
      <c r="M95" s="66"/>
      <c r="N95" s="66"/>
      <c r="O95" s="66"/>
      <c r="P95" s="66"/>
      <c r="Q95" s="66"/>
      <c r="R95" s="66"/>
      <c r="S95" s="66"/>
      <c r="T95" s="66"/>
      <c r="U95" s="66"/>
      <c r="V95" s="66"/>
      <c r="W95" s="66"/>
      <c r="X95" s="66"/>
    </row>
    <row r="96">
      <c r="A96" s="72" t="s">
        <v>10660</v>
      </c>
      <c r="B96" s="441" t="s">
        <v>10661</v>
      </c>
      <c r="C96" s="75" t="s">
        <v>10662</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10663</v>
      </c>
      <c r="H96" s="441" t="s">
        <v>10664</v>
      </c>
      <c r="I96" s="188" t="s">
        <v>10665</v>
      </c>
      <c r="J96" s="441" t="s">
        <v>10666</v>
      </c>
      <c r="K96" s="110" t="s">
        <v>10667</v>
      </c>
      <c r="L96" s="66"/>
      <c r="M96" s="66"/>
      <c r="N96" s="66"/>
      <c r="O96" s="66"/>
      <c r="P96" s="66"/>
      <c r="Q96" s="66"/>
      <c r="R96" s="66"/>
      <c r="S96" s="66"/>
      <c r="T96" s="66"/>
      <c r="U96" s="66"/>
      <c r="V96" s="66"/>
      <c r="W96" s="66"/>
      <c r="X96" s="66"/>
    </row>
    <row r="97">
      <c r="A97" s="72" t="s">
        <v>10668</v>
      </c>
      <c r="B97" s="441" t="s">
        <v>10669</v>
      </c>
      <c r="C97" s="75" t="s">
        <v>10670</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10671</v>
      </c>
      <c r="H97" s="441" t="s">
        <v>10672</v>
      </c>
      <c r="I97" s="188" t="s">
        <v>10673</v>
      </c>
      <c r="J97" s="441" t="s">
        <v>10674</v>
      </c>
      <c r="K97" s="110" t="s">
        <v>10675</v>
      </c>
      <c r="L97" s="66"/>
      <c r="M97" s="66"/>
      <c r="N97" s="66"/>
      <c r="O97" s="66"/>
      <c r="P97" s="66"/>
      <c r="Q97" s="66"/>
      <c r="R97" s="66"/>
      <c r="S97" s="66"/>
      <c r="T97" s="66"/>
      <c r="U97" s="66"/>
      <c r="V97" s="66"/>
      <c r="W97" s="66"/>
      <c r="X97" s="66"/>
    </row>
    <row r="98">
      <c r="A98" s="72" t="s">
        <v>10676</v>
      </c>
      <c r="B98" s="440" t="s">
        <v>10677</v>
      </c>
      <c r="C98" s="72" t="s">
        <v>10678</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10679</v>
      </c>
      <c r="H98" s="440" t="s">
        <v>10680</v>
      </c>
      <c r="I98" s="134" t="s">
        <v>10681</v>
      </c>
      <c r="J98" s="441" t="s">
        <v>10682</v>
      </c>
      <c r="K98" s="110" t="s">
        <v>10683</v>
      </c>
      <c r="L98" s="66"/>
      <c r="M98" s="66"/>
      <c r="N98" s="66"/>
      <c r="O98" s="66"/>
      <c r="P98" s="66"/>
      <c r="Q98" s="66"/>
      <c r="R98" s="66"/>
      <c r="S98" s="66"/>
      <c r="T98" s="66"/>
      <c r="U98" s="66"/>
      <c r="V98" s="66"/>
      <c r="W98" s="66"/>
      <c r="X98" s="66"/>
    </row>
    <row r="99">
      <c r="A99" s="72" t="s">
        <v>10684</v>
      </c>
      <c r="B99" s="440" t="s">
        <v>10685</v>
      </c>
      <c r="C99" s="72" t="s">
        <v>10686</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10687</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10688</v>
      </c>
      <c r="J99" s="441" t="s">
        <v>10689</v>
      </c>
      <c r="K99" s="72" t="s">
        <v>10690</v>
      </c>
      <c r="L99" s="66"/>
      <c r="M99" s="66"/>
      <c r="N99" s="66"/>
      <c r="O99" s="66"/>
      <c r="P99" s="66"/>
      <c r="Q99" s="66"/>
      <c r="R99" s="66"/>
      <c r="S99" s="66"/>
      <c r="T99" s="66"/>
      <c r="U99" s="66"/>
      <c r="V99" s="66"/>
      <c r="W99" s="66"/>
      <c r="X99" s="66"/>
    </row>
    <row r="100">
      <c r="A100" s="72" t="s">
        <v>10691</v>
      </c>
      <c r="B100" s="440" t="s">
        <v>10692</v>
      </c>
      <c r="C100" s="72" t="s">
        <v>10693</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10694</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10695</v>
      </c>
      <c r="J100" s="441" t="s">
        <v>10696</v>
      </c>
      <c r="K100" s="110" t="s">
        <v>10697</v>
      </c>
      <c r="L100" s="66"/>
      <c r="M100" s="66"/>
      <c r="N100" s="66"/>
      <c r="O100" s="66"/>
      <c r="P100" s="66"/>
      <c r="Q100" s="66"/>
      <c r="R100" s="66"/>
      <c r="S100" s="66"/>
      <c r="T100" s="66"/>
      <c r="U100" s="66"/>
      <c r="V100" s="66"/>
      <c r="W100" s="66"/>
      <c r="X100" s="66"/>
    </row>
    <row r="101">
      <c r="A101" s="72" t="s">
        <v>10698</v>
      </c>
      <c r="B101" s="440" t="s">
        <v>10699</v>
      </c>
      <c r="C101" s="72" t="s">
        <v>10700</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10701</v>
      </c>
      <c r="H101" s="440" t="s">
        <v>10702</v>
      </c>
      <c r="I101" s="188" t="s">
        <v>10703</v>
      </c>
      <c r="J101" s="441" t="s">
        <v>10704</v>
      </c>
      <c r="K101" s="110" t="s">
        <v>10705</v>
      </c>
      <c r="L101" s="66"/>
      <c r="M101" s="66"/>
      <c r="N101" s="66"/>
      <c r="O101" s="66"/>
      <c r="P101" s="66"/>
      <c r="Q101" s="66"/>
      <c r="R101" s="66"/>
      <c r="S101" s="66"/>
      <c r="T101" s="66"/>
      <c r="U101" s="66"/>
      <c r="V101" s="66"/>
      <c r="W101" s="66"/>
      <c r="X101" s="66"/>
    </row>
    <row r="102">
      <c r="A102" s="72" t="s">
        <v>10706</v>
      </c>
      <c r="B102" s="440" t="s">
        <v>10707</v>
      </c>
      <c r="C102" s="72" t="s">
        <v>10708</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10709</v>
      </c>
      <c r="H102" s="440" t="s">
        <v>10710</v>
      </c>
      <c r="I102" s="188" t="s">
        <v>10711</v>
      </c>
      <c r="J102" s="441" t="s">
        <v>10712</v>
      </c>
      <c r="K102" s="110" t="s">
        <v>10713</v>
      </c>
      <c r="L102" s="66"/>
      <c r="M102" s="66"/>
      <c r="N102" s="66"/>
      <c r="O102" s="66"/>
      <c r="P102" s="66"/>
      <c r="Q102" s="66"/>
      <c r="R102" s="66"/>
      <c r="S102" s="66"/>
      <c r="T102" s="66"/>
      <c r="U102" s="66"/>
      <c r="V102" s="66"/>
      <c r="W102" s="66"/>
      <c r="X102" s="66"/>
    </row>
    <row r="103">
      <c r="A103" s="72" t="s">
        <v>10714</v>
      </c>
      <c r="B103" s="440" t="s">
        <v>10715</v>
      </c>
      <c r="C103" s="72" t="s">
        <v>10716</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10717</v>
      </c>
      <c r="H103" s="440" t="s">
        <v>10718</v>
      </c>
      <c r="I103" s="188" t="s">
        <v>10719</v>
      </c>
      <c r="J103" s="440" t="s">
        <v>10720</v>
      </c>
      <c r="K103" s="110" t="s">
        <v>10721</v>
      </c>
      <c r="L103" s="66"/>
      <c r="M103" s="66"/>
      <c r="N103" s="66"/>
      <c r="O103" s="66"/>
      <c r="P103" s="66"/>
      <c r="Q103" s="66"/>
      <c r="R103" s="66"/>
      <c r="S103" s="66"/>
      <c r="T103" s="66"/>
      <c r="U103" s="66"/>
      <c r="V103" s="66"/>
      <c r="W103" s="66"/>
      <c r="X103" s="66"/>
    </row>
    <row r="104">
      <c r="A104" s="72" t="s">
        <v>10722</v>
      </c>
      <c r="B104" s="440" t="s">
        <v>10723</v>
      </c>
      <c r="C104" s="72" t="s">
        <v>10724</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10725</v>
      </c>
      <c r="H104" s="440" t="s">
        <v>10726</v>
      </c>
      <c r="I104" s="134" t="s">
        <v>10727</v>
      </c>
      <c r="J104" s="441" t="s">
        <v>10728</v>
      </c>
      <c r="K104" s="110" t="s">
        <v>10729</v>
      </c>
      <c r="L104" s="66"/>
      <c r="M104" s="66"/>
      <c r="N104" s="66"/>
      <c r="O104" s="66"/>
      <c r="P104" s="66"/>
      <c r="Q104" s="66"/>
      <c r="R104" s="66"/>
      <c r="S104" s="66"/>
      <c r="T104" s="66"/>
      <c r="U104" s="66"/>
      <c r="V104" s="66"/>
      <c r="W104" s="66"/>
      <c r="X104" s="66"/>
    </row>
    <row r="105">
      <c r="A105" s="72" t="s">
        <v>10730</v>
      </c>
      <c r="B105" s="440" t="s">
        <v>10731</v>
      </c>
      <c r="C105" s="72" t="s">
        <v>10732</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10733</v>
      </c>
      <c r="H105" s="440" t="s">
        <v>10734</v>
      </c>
      <c r="I105" s="188" t="s">
        <v>10735</v>
      </c>
      <c r="J105" s="441" t="s">
        <v>10736</v>
      </c>
      <c r="K105" s="110" t="s">
        <v>10737</v>
      </c>
      <c r="L105" s="66"/>
      <c r="M105" s="66"/>
      <c r="N105" s="66"/>
      <c r="O105" s="66"/>
      <c r="P105" s="66"/>
      <c r="Q105" s="66"/>
      <c r="R105" s="66"/>
      <c r="S105" s="66"/>
      <c r="T105" s="66"/>
      <c r="U105" s="66"/>
      <c r="V105" s="66"/>
      <c r="W105" s="66"/>
      <c r="X105" s="66"/>
    </row>
    <row r="106">
      <c r="A106" s="72" t="s">
        <v>10738</v>
      </c>
      <c r="B106" s="440" t="s">
        <v>10739</v>
      </c>
      <c r="C106" s="72" t="s">
        <v>10740</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10741</v>
      </c>
      <c r="H106" s="440" t="s">
        <v>10742</v>
      </c>
      <c r="I106" s="188" t="s">
        <v>10743</v>
      </c>
      <c r="J106" s="441" t="s">
        <v>10744</v>
      </c>
      <c r="K106" s="110" t="s">
        <v>10745</v>
      </c>
      <c r="L106" s="66"/>
      <c r="M106" s="66"/>
      <c r="N106" s="66"/>
      <c r="O106" s="66"/>
      <c r="P106" s="66"/>
      <c r="Q106" s="66"/>
      <c r="R106" s="66"/>
      <c r="S106" s="66"/>
      <c r="T106" s="66"/>
      <c r="U106" s="66"/>
      <c r="V106" s="66"/>
      <c r="W106" s="66"/>
      <c r="X106" s="66"/>
    </row>
    <row r="107">
      <c r="A107" s="72" t="s">
        <v>10746</v>
      </c>
      <c r="B107" s="440" t="s">
        <v>10747</v>
      </c>
      <c r="C107" s="72" t="s">
        <v>10748</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10749</v>
      </c>
      <c r="H107" s="440" t="s">
        <v>10750</v>
      </c>
      <c r="I107" s="188" t="s">
        <v>10751</v>
      </c>
      <c r="J107" s="441" t="s">
        <v>10752</v>
      </c>
      <c r="K107" s="110" t="s">
        <v>10753</v>
      </c>
      <c r="L107" s="66"/>
      <c r="M107" s="66"/>
      <c r="N107" s="66"/>
      <c r="O107" s="66"/>
      <c r="P107" s="66"/>
      <c r="Q107" s="66"/>
      <c r="R107" s="66"/>
      <c r="S107" s="66"/>
      <c r="T107" s="66"/>
      <c r="U107" s="66"/>
      <c r="V107" s="66"/>
      <c r="W107" s="66"/>
      <c r="X107" s="66"/>
    </row>
    <row r="108">
      <c r="A108" s="72" t="s">
        <v>10754</v>
      </c>
      <c r="B108" s="440" t="s">
        <v>10755</v>
      </c>
      <c r="C108" s="72" t="s">
        <v>10756</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10757</v>
      </c>
      <c r="H108" s="440" t="s">
        <v>10758</v>
      </c>
      <c r="I108" s="188" t="s">
        <v>10759</v>
      </c>
      <c r="J108" s="441" t="s">
        <v>10760</v>
      </c>
      <c r="K108" s="110" t="s">
        <v>10761</v>
      </c>
      <c r="L108" s="66"/>
      <c r="M108" s="66"/>
      <c r="N108" s="66"/>
      <c r="O108" s="66"/>
      <c r="P108" s="66"/>
      <c r="Q108" s="66"/>
      <c r="R108" s="66"/>
      <c r="S108" s="66"/>
      <c r="T108" s="66"/>
      <c r="U108" s="66"/>
      <c r="V108" s="66"/>
      <c r="W108" s="66"/>
      <c r="X108" s="66"/>
    </row>
    <row r="109">
      <c r="A109" s="72" t="s">
        <v>10762</v>
      </c>
      <c r="B109" s="440" t="s">
        <v>10763</v>
      </c>
      <c r="C109" s="72" t="s">
        <v>10764</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10765</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10766</v>
      </c>
      <c r="J109" s="441" t="s">
        <v>10767</v>
      </c>
      <c r="K109" s="110" t="s">
        <v>10768</v>
      </c>
      <c r="L109" s="66"/>
      <c r="M109" s="66"/>
      <c r="N109" s="66"/>
      <c r="O109" s="66"/>
      <c r="P109" s="66"/>
      <c r="Q109" s="66"/>
      <c r="R109" s="66"/>
      <c r="S109" s="66"/>
      <c r="T109" s="66"/>
      <c r="U109" s="66"/>
      <c r="V109" s="66"/>
      <c r="W109" s="66"/>
      <c r="X109" s="66"/>
    </row>
    <row r="110">
      <c r="A110" s="72" t="s">
        <v>10769</v>
      </c>
      <c r="B110" s="440" t="s">
        <v>10770</v>
      </c>
      <c r="C110" s="72" t="s">
        <v>10771</v>
      </c>
      <c r="D110" s="440" t="s">
        <v>10772</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10773</v>
      </c>
      <c r="H110" s="442" t="s">
        <v>10774</v>
      </c>
      <c r="I110" s="246" t="s">
        <v>10775</v>
      </c>
      <c r="J110" s="441" t="s">
        <v>10776</v>
      </c>
      <c r="K110" s="110" t="s">
        <v>10777</v>
      </c>
      <c r="L110" s="66"/>
      <c r="M110" s="66"/>
      <c r="N110" s="66"/>
      <c r="O110" s="66"/>
      <c r="P110" s="66"/>
      <c r="Q110" s="66"/>
      <c r="R110" s="66"/>
      <c r="S110" s="66"/>
      <c r="T110" s="66"/>
      <c r="U110" s="66"/>
      <c r="V110" s="66"/>
      <c r="W110" s="66"/>
      <c r="X110" s="66"/>
    </row>
    <row r="111">
      <c r="A111" s="72" t="s">
        <v>10778</v>
      </c>
      <c r="B111" s="440" t="s">
        <v>10779</v>
      </c>
      <c r="C111" s="72" t="s">
        <v>10780</v>
      </c>
      <c r="D111" s="440" t="s">
        <v>10781</v>
      </c>
      <c r="E111" s="72" t="s">
        <v>10782</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10783</v>
      </c>
      <c r="H111" s="440" t="s">
        <v>10784</v>
      </c>
      <c r="I111" s="246" t="s">
        <v>10785</v>
      </c>
      <c r="J111" s="440" t="s">
        <v>10786</v>
      </c>
      <c r="K111" s="110" t="s">
        <v>10787</v>
      </c>
      <c r="L111" s="214"/>
      <c r="M111" s="66"/>
      <c r="N111" s="66"/>
      <c r="O111" s="66"/>
      <c r="P111" s="66"/>
      <c r="Q111" s="66"/>
      <c r="R111" s="66"/>
      <c r="S111" s="66"/>
      <c r="T111" s="66"/>
      <c r="U111" s="66"/>
      <c r="V111" s="66"/>
      <c r="W111" s="66"/>
      <c r="X111" s="66"/>
    </row>
    <row r="112">
      <c r="A112" s="75" t="s">
        <v>10788</v>
      </c>
      <c r="B112" s="441" t="s">
        <v>10789</v>
      </c>
      <c r="C112" s="72" t="s">
        <v>10790</v>
      </c>
      <c r="D112" s="441" t="s">
        <v>10791</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10792</v>
      </c>
      <c r="H112" s="441" t="s">
        <v>10793</v>
      </c>
      <c r="I112" s="260" t="s">
        <v>10794</v>
      </c>
      <c r="J112" s="441" t="s">
        <v>10795</v>
      </c>
      <c r="K112" s="75" t="s">
        <v>10796</v>
      </c>
      <c r="L112" s="66"/>
      <c r="M112" s="66"/>
      <c r="N112" s="66"/>
      <c r="O112" s="66"/>
      <c r="P112" s="66"/>
      <c r="Q112" s="66"/>
      <c r="R112" s="66"/>
      <c r="S112" s="66"/>
      <c r="T112" s="66"/>
      <c r="U112" s="66"/>
      <c r="V112" s="66"/>
      <c r="W112" s="66"/>
      <c r="X112" s="66"/>
    </row>
    <row r="113">
      <c r="A113" s="75" t="s">
        <v>10797</v>
      </c>
      <c r="B113" s="441" t="s">
        <v>10798</v>
      </c>
      <c r="C113" s="75" t="s">
        <v>10799</v>
      </c>
      <c r="D113" s="441" t="s">
        <v>10800</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10799</v>
      </c>
      <c r="H113" s="441" t="s">
        <v>10801</v>
      </c>
      <c r="I113" s="260" t="s">
        <v>10802</v>
      </c>
      <c r="J113" s="441" t="s">
        <v>10803</v>
      </c>
      <c r="K113" s="75" t="s">
        <v>10804</v>
      </c>
      <c r="L113" s="66"/>
      <c r="M113" s="66"/>
      <c r="N113" s="66"/>
      <c r="O113" s="66"/>
      <c r="P113" s="66"/>
      <c r="Q113" s="66"/>
      <c r="R113" s="66"/>
      <c r="S113" s="66"/>
      <c r="T113" s="66"/>
      <c r="U113" s="66"/>
      <c r="V113" s="66"/>
      <c r="W113" s="66"/>
      <c r="X113" s="66"/>
    </row>
    <row r="114">
      <c r="A114" s="75" t="s">
        <v>10805</v>
      </c>
      <c r="B114" s="441" t="s">
        <v>10806</v>
      </c>
      <c r="C114" s="75" t="s">
        <v>10807</v>
      </c>
      <c r="D114" s="441" t="s">
        <v>10808</v>
      </c>
      <c r="E114" s="75" t="s">
        <v>10809</v>
      </c>
      <c r="F114" s="441" t="s">
        <v>10810</v>
      </c>
      <c r="G114" s="142" t="s">
        <v>10811</v>
      </c>
      <c r="H114" s="441" t="s">
        <v>10812</v>
      </c>
      <c r="I114" s="260" t="s">
        <v>10813</v>
      </c>
      <c r="J114" s="441" t="s">
        <v>10814</v>
      </c>
      <c r="K114" s="75" t="s">
        <v>10815</v>
      </c>
      <c r="L114" s="66"/>
      <c r="M114" s="66"/>
      <c r="N114" s="66"/>
      <c r="O114" s="66"/>
      <c r="P114" s="66"/>
      <c r="Q114" s="66"/>
      <c r="R114" s="66"/>
      <c r="S114" s="66"/>
      <c r="T114" s="66"/>
      <c r="U114" s="66"/>
      <c r="V114" s="66"/>
      <c r="W114" s="66"/>
      <c r="X114" s="66"/>
    </row>
    <row r="115">
      <c r="A115" s="75" t="s">
        <v>10816</v>
      </c>
      <c r="B115" s="441" t="s">
        <v>10817</v>
      </c>
      <c r="C115" s="75" t="s">
        <v>10818</v>
      </c>
      <c r="D115" s="441" t="s">
        <v>10819</v>
      </c>
      <c r="E115" s="75" t="s">
        <v>10820</v>
      </c>
      <c r="F115" s="441" t="s">
        <v>10821</v>
      </c>
      <c r="G115" s="142" t="s">
        <v>10822</v>
      </c>
      <c r="H115" s="441" t="s">
        <v>10823</v>
      </c>
      <c r="I115" s="260" t="s">
        <v>10824</v>
      </c>
      <c r="J115" s="441" t="s">
        <v>10825</v>
      </c>
      <c r="K115" s="75" t="s">
        <v>10826</v>
      </c>
      <c r="L115" s="66"/>
      <c r="M115" s="66"/>
      <c r="N115" s="66"/>
      <c r="O115" s="66"/>
      <c r="P115" s="66"/>
      <c r="Q115" s="66"/>
      <c r="R115" s="66"/>
      <c r="S115" s="66"/>
      <c r="T115" s="66"/>
      <c r="U115" s="66"/>
      <c r="V115" s="66"/>
      <c r="W115" s="66"/>
      <c r="X115" s="66"/>
    </row>
    <row r="116">
      <c r="A116" s="75" t="s">
        <v>10827</v>
      </c>
      <c r="B116" s="441" t="s">
        <v>10828</v>
      </c>
      <c r="C116" s="75" t="s">
        <v>10829</v>
      </c>
      <c r="D116" s="441" t="s">
        <v>10830</v>
      </c>
      <c r="E116" s="75" t="s">
        <v>10831</v>
      </c>
      <c r="F116" s="441" t="s">
        <v>10832</v>
      </c>
      <c r="G116" s="142" t="s">
        <v>10833</v>
      </c>
      <c r="H116" s="441" t="s">
        <v>10834</v>
      </c>
      <c r="I116" s="260" t="s">
        <v>10835</v>
      </c>
      <c r="J116" s="441" t="s">
        <v>10836</v>
      </c>
      <c r="K116" s="75" t="s">
        <v>10829</v>
      </c>
      <c r="L116" s="66"/>
      <c r="M116" s="66"/>
      <c r="N116" s="66"/>
      <c r="O116" s="66"/>
      <c r="P116" s="66"/>
      <c r="Q116" s="66"/>
      <c r="R116" s="66"/>
      <c r="S116" s="66"/>
      <c r="T116" s="66"/>
      <c r="U116" s="66"/>
      <c r="V116" s="66"/>
      <c r="W116" s="66"/>
      <c r="X116" s="66"/>
    </row>
    <row r="117">
      <c r="A117" s="75" t="s">
        <v>10837</v>
      </c>
      <c r="B117" s="441" t="s">
        <v>10838</v>
      </c>
      <c r="C117" s="75" t="s">
        <v>10839</v>
      </c>
      <c r="D117" s="441" t="s">
        <v>10840</v>
      </c>
      <c r="E117" s="75" t="s">
        <v>10841</v>
      </c>
      <c r="F117" s="441" t="s">
        <v>10842</v>
      </c>
      <c r="G117" s="142" t="s">
        <v>10843</v>
      </c>
      <c r="H117" s="441" t="s">
        <v>10844</v>
      </c>
      <c r="I117" s="260" t="s">
        <v>10845</v>
      </c>
      <c r="J117" s="441" t="s">
        <v>10846</v>
      </c>
      <c r="K117" s="75" t="s">
        <v>10839</v>
      </c>
      <c r="L117" s="66"/>
      <c r="M117" s="66"/>
      <c r="N117" s="66"/>
      <c r="O117" s="66"/>
      <c r="P117" s="66"/>
      <c r="Q117" s="66"/>
      <c r="R117" s="66"/>
      <c r="S117" s="66"/>
      <c r="T117" s="66"/>
      <c r="U117" s="66"/>
      <c r="V117" s="66"/>
      <c r="W117" s="66"/>
      <c r="X117" s="66"/>
    </row>
    <row r="118">
      <c r="A118" s="72" t="s">
        <v>10847</v>
      </c>
      <c r="B118" s="441"/>
      <c r="C118" s="72" t="s">
        <v>10848</v>
      </c>
      <c r="D118" s="441"/>
      <c r="E118" s="75"/>
      <c r="F118" s="441"/>
      <c r="G118" s="72" t="s">
        <v>10849</v>
      </c>
      <c r="H118" s="441"/>
      <c r="I118" s="134" t="s">
        <v>10850</v>
      </c>
      <c r="J118" s="440" t="s">
        <v>10851</v>
      </c>
      <c r="K118" s="75"/>
      <c r="L118" s="66"/>
      <c r="M118" s="66"/>
      <c r="N118" s="66"/>
      <c r="O118" s="66"/>
      <c r="P118" s="66"/>
      <c r="Q118" s="66"/>
      <c r="R118" s="66"/>
      <c r="S118" s="66"/>
      <c r="T118" s="66"/>
      <c r="U118" s="66"/>
      <c r="V118" s="66"/>
      <c r="W118" s="66"/>
      <c r="X118" s="66"/>
    </row>
    <row r="119">
      <c r="A119" s="75"/>
      <c r="B119" s="441"/>
      <c r="C119" s="75"/>
      <c r="D119" s="441"/>
      <c r="E119" s="75"/>
      <c r="F119" s="441"/>
      <c r="G119" s="210"/>
      <c r="H119" s="441"/>
      <c r="I119" s="188"/>
      <c r="J119" s="441"/>
      <c r="K119" s="75"/>
      <c r="L119" s="66"/>
      <c r="M119" s="66"/>
      <c r="N119" s="66"/>
      <c r="O119" s="66"/>
      <c r="P119" s="66"/>
      <c r="Q119" s="66"/>
      <c r="R119" s="66"/>
      <c r="S119" s="66"/>
      <c r="T119" s="66"/>
      <c r="U119" s="66"/>
      <c r="V119" s="66"/>
      <c r="W119" s="66"/>
      <c r="X119" s="66"/>
    </row>
    <row r="120">
      <c r="A120" s="75"/>
      <c r="B120" s="441"/>
      <c r="C120" s="75"/>
      <c r="D120" s="441"/>
      <c r="E120" s="75"/>
      <c r="F120" s="441"/>
      <c r="G120" s="210"/>
      <c r="H120" s="441"/>
      <c r="I120" s="188"/>
      <c r="J120" s="441"/>
      <c r="K120" s="75"/>
      <c r="L120" s="66"/>
      <c r="M120" s="66"/>
      <c r="N120" s="66"/>
      <c r="O120" s="66"/>
      <c r="P120" s="66"/>
      <c r="Q120" s="66"/>
      <c r="R120" s="66"/>
      <c r="S120" s="66"/>
      <c r="T120" s="66"/>
      <c r="U120" s="66"/>
      <c r="V120" s="66"/>
      <c r="W120" s="66"/>
      <c r="X120" s="66"/>
    </row>
    <row r="121">
      <c r="A121" s="75"/>
      <c r="B121" s="441"/>
      <c r="C121" s="75"/>
      <c r="D121" s="441"/>
      <c r="E121" s="75"/>
      <c r="F121" s="441"/>
      <c r="G121" s="210"/>
      <c r="H121" s="441"/>
      <c r="I121" s="188"/>
      <c r="J121" s="441"/>
      <c r="K121" s="75"/>
      <c r="L121" s="66"/>
      <c r="M121" s="66"/>
      <c r="N121" s="66"/>
      <c r="O121" s="66"/>
      <c r="P121" s="66"/>
      <c r="Q121" s="66"/>
      <c r="R121" s="66"/>
      <c r="S121" s="66"/>
      <c r="T121" s="66"/>
      <c r="U121" s="66"/>
      <c r="V121" s="66"/>
      <c r="W121" s="66"/>
      <c r="X121" s="66"/>
    </row>
    <row r="122">
      <c r="A122" s="75"/>
      <c r="B122" s="441"/>
      <c r="C122" s="75"/>
      <c r="D122" s="441"/>
      <c r="E122" s="75"/>
      <c r="F122" s="441"/>
      <c r="G122" s="210"/>
      <c r="H122" s="441"/>
      <c r="I122" s="188"/>
      <c r="J122" s="441"/>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66"/>
      <c r="F1028" s="66"/>
      <c r="G1028" s="184"/>
      <c r="H1028" s="66"/>
      <c r="I1028" s="190"/>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6"/>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10852</v>
      </c>
      <c r="B1" s="447" t="s">
        <v>589</v>
      </c>
      <c r="C1" s="448" t="s">
        <v>10853</v>
      </c>
      <c r="F1" s="201" t="s">
        <v>10854</v>
      </c>
      <c r="G1" s="447" t="s">
        <v>589</v>
      </c>
      <c r="H1" s="449" t="s">
        <v>10855</v>
      </c>
      <c r="K1" s="201" t="s">
        <v>10856</v>
      </c>
      <c r="L1" s="447" t="s">
        <v>589</v>
      </c>
      <c r="M1" s="450" t="s">
        <v>10857</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7" t="s">
        <v>589</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589</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10858</v>
      </c>
      <c r="AF1" s="447" t="s">
        <v>10859</v>
      </c>
      <c r="AG1" s="452" t="s">
        <v>10860</v>
      </c>
      <c r="AJ1" s="453" t="s">
        <v>10861</v>
      </c>
      <c r="AK1" s="447" t="s">
        <v>589</v>
      </c>
      <c r="AL1" s="448" t="s">
        <v>10862</v>
      </c>
      <c r="AO1" s="454" t="s">
        <v>10863</v>
      </c>
      <c r="AP1" s="455" t="s">
        <v>589</v>
      </c>
      <c r="AQ1" s="142" t="s">
        <v>10864</v>
      </c>
      <c r="AT1" s="201" t="s">
        <v>10865</v>
      </c>
      <c r="AU1" s="447" t="s">
        <v>589</v>
      </c>
      <c r="AV1" s="451" t="s">
        <v>10866</v>
      </c>
      <c r="AY1" s="201"/>
      <c r="AZ1" s="447"/>
      <c r="BA1" s="451"/>
      <c r="BD1" s="451"/>
      <c r="BE1" s="451"/>
      <c r="BF1" s="451"/>
      <c r="BG1" s="451"/>
      <c r="BH1" s="451"/>
    </row>
    <row r="2" ht="75.0" customHeight="1">
      <c r="A2" s="201" t="s">
        <v>10867</v>
      </c>
      <c r="B2" s="447" t="s">
        <v>1445</v>
      </c>
      <c r="F2" s="201" t="s">
        <v>10868</v>
      </c>
      <c r="G2" s="447" t="s">
        <v>1445</v>
      </c>
      <c r="K2" s="201" t="s">
        <v>10869</v>
      </c>
      <c r="L2" s="447" t="s">
        <v>1445</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1445</v>
      </c>
      <c r="Z2" s="201" t="str">
        <f>IFERROR(__xludf.DUMMYFUNCTION("GOOGLETRANSLATE(A2,""zh-tw"",""KO"")"),"내 여동생은 음식이 너무 매워서 울었어요 (우연한 계기).")</f>
        <v>내 여동생은 음식이 너무 매워서 울었어요 (우연한 계기).</v>
      </c>
      <c r="AA2" s="447" t="s">
        <v>1445</v>
      </c>
      <c r="AE2" s="201" t="s">
        <v>10870</v>
      </c>
      <c r="AF2" s="447" t="s">
        <v>10871</v>
      </c>
      <c r="AJ2" s="453" t="s">
        <v>10872</v>
      </c>
      <c r="AK2" s="447" t="s">
        <v>1445</v>
      </c>
      <c r="AO2" s="456" t="s">
        <v>10873</v>
      </c>
      <c r="AP2" s="457" t="s">
        <v>1445</v>
      </c>
      <c r="AT2" s="201" t="s">
        <v>10874</v>
      </c>
      <c r="AU2" s="447" t="s">
        <v>1445</v>
      </c>
      <c r="AY2" s="201"/>
      <c r="AZ2" s="447"/>
      <c r="BD2" s="451"/>
      <c r="BE2" s="451"/>
      <c r="BF2" s="451"/>
      <c r="BG2" s="451"/>
      <c r="BH2" s="451"/>
    </row>
    <row r="3">
      <c r="A3" s="458" t="s">
        <v>10875</v>
      </c>
      <c r="B3" s="459" t="s">
        <v>8972</v>
      </c>
      <c r="F3" s="458" t="str">
        <f>IFERROR(__xludf.DUMMYFUNCTION("GOOGLETRANSLATE(A3,""zh-tw"",""ja"")"),"料理名")</f>
        <v>料理名</v>
      </c>
      <c r="G3" s="459" t="str">
        <f>IFERROR(__xludf.DUMMYFUNCTION("GOOGLETRANSLATE(B3,""zh-tw"",""ja"")"),"効果")</f>
        <v>効果</v>
      </c>
      <c r="K3" s="458" t="s">
        <v>10876</v>
      </c>
      <c r="L3" s="459" t="s">
        <v>10877</v>
      </c>
      <c r="P3" s="458" t="str">
        <f>IFERROR(__xludf.DUMMYFUNCTION("GOOGLETRANSLATE(A3,""zh-tw"",""zh"")"),"料理名")</f>
        <v>料理名</v>
      </c>
      <c r="Q3" s="459" t="str">
        <f>IFERROR(__xludf.DUMMYFUNCTION("GOOGLETRANSLATE(B3,""zh-tw"",""zh"")"),"效果")</f>
        <v>效果</v>
      </c>
      <c r="U3" s="458" t="str">
        <f>IFERROR(__xludf.DUMMYFUNCTION("GOOGLETRANSLATE(A3,""zh-tw"",""es-MX"")"),"Nombre de los platos")</f>
        <v>Nombre de los platos</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10878</v>
      </c>
      <c r="AF3" s="460" t="s">
        <v>8974</v>
      </c>
      <c r="AJ3" s="462" t="s">
        <v>10879</v>
      </c>
      <c r="AK3" s="461" t="s">
        <v>10880</v>
      </c>
      <c r="AO3" s="86" t="s">
        <v>10881</v>
      </c>
      <c r="AP3" s="85" t="s">
        <v>7035</v>
      </c>
      <c r="AT3" s="458" t="s">
        <v>10882</v>
      </c>
      <c r="AU3" s="459" t="s">
        <v>8980</v>
      </c>
      <c r="AY3" s="458"/>
      <c r="AZ3" s="459"/>
      <c r="BD3" s="451"/>
      <c r="BE3" s="451"/>
      <c r="BF3" s="451"/>
      <c r="BG3" s="451"/>
      <c r="BH3" s="451"/>
    </row>
    <row r="4">
      <c r="A4" s="149" t="s">
        <v>10883</v>
      </c>
      <c r="B4" s="463"/>
      <c r="C4" s="464" t="s">
        <v>10884</v>
      </c>
      <c r="D4" s="142"/>
      <c r="E4" s="142"/>
      <c r="F4" s="149" t="s">
        <v>10885</v>
      </c>
      <c r="G4" s="463"/>
      <c r="H4" s="464" t="s">
        <v>10886</v>
      </c>
      <c r="I4" s="142"/>
      <c r="J4" s="142"/>
      <c r="K4" s="243" t="s">
        <v>10887</v>
      </c>
      <c r="L4" s="463"/>
      <c r="M4" s="167" t="s">
        <v>10888</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10889</v>
      </c>
      <c r="AC4" s="142"/>
      <c r="AD4" s="142"/>
      <c r="AE4" s="465" t="s">
        <v>10890</v>
      </c>
      <c r="AF4" s="222"/>
      <c r="AG4" s="464" t="s">
        <v>10891</v>
      </c>
      <c r="AH4" s="466"/>
      <c r="AI4" s="466"/>
      <c r="AJ4" s="467" t="s">
        <v>10892</v>
      </c>
      <c r="AK4" s="461"/>
      <c r="AL4" s="167" t="s">
        <v>10893</v>
      </c>
      <c r="AM4" s="198"/>
      <c r="AN4" s="198"/>
      <c r="AO4" s="197" t="s">
        <v>10894</v>
      </c>
      <c r="AP4" s="463"/>
      <c r="AQ4" s="198" t="s">
        <v>10895</v>
      </c>
      <c r="AR4" s="142"/>
      <c r="AS4" s="142"/>
      <c r="AT4" s="149" t="s">
        <v>10887</v>
      </c>
      <c r="AU4" s="468"/>
      <c r="AV4" s="198" t="s">
        <v>10896</v>
      </c>
      <c r="AW4" s="76"/>
      <c r="AX4" s="76"/>
      <c r="AY4" s="149"/>
      <c r="AZ4" s="468"/>
      <c r="BA4" s="198"/>
      <c r="BB4" s="76"/>
      <c r="BC4" s="76"/>
      <c r="BD4" s="76"/>
      <c r="BE4" s="76"/>
      <c r="BF4" s="76"/>
      <c r="BG4" s="76"/>
      <c r="BH4" s="76"/>
    </row>
    <row r="5">
      <c r="A5" s="149" t="s">
        <v>10897</v>
      </c>
      <c r="B5" s="463"/>
      <c r="C5" s="464" t="s">
        <v>10898</v>
      </c>
      <c r="D5" s="464" t="s">
        <v>10899</v>
      </c>
      <c r="E5" s="142"/>
      <c r="F5" s="149" t="s">
        <v>10900</v>
      </c>
      <c r="G5" s="463"/>
      <c r="H5" s="464" t="s">
        <v>10901</v>
      </c>
      <c r="I5" s="464" t="s">
        <v>10902</v>
      </c>
      <c r="J5" s="142"/>
      <c r="K5" s="235" t="s">
        <v>10903</v>
      </c>
      <c r="L5" s="463"/>
      <c r="M5" s="167" t="s">
        <v>10904</v>
      </c>
      <c r="N5" s="167" t="s">
        <v>10905</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10906</v>
      </c>
      <c r="AD5" s="198"/>
      <c r="AE5" s="465" t="s">
        <v>10907</v>
      </c>
      <c r="AF5" s="222"/>
      <c r="AG5" s="464" t="s">
        <v>10908</v>
      </c>
      <c r="AH5" s="464" t="s">
        <v>10909</v>
      </c>
      <c r="AI5" s="466"/>
      <c r="AJ5" s="467" t="s">
        <v>10910</v>
      </c>
      <c r="AK5" s="461"/>
      <c r="AL5" s="167" t="s">
        <v>10911</v>
      </c>
      <c r="AM5" s="167" t="s">
        <v>10912</v>
      </c>
      <c r="AN5" s="198"/>
      <c r="AO5" s="197" t="s">
        <v>10913</v>
      </c>
      <c r="AP5" s="463"/>
      <c r="AQ5" s="198" t="s">
        <v>10914</v>
      </c>
      <c r="AR5" s="198" t="s">
        <v>10915</v>
      </c>
      <c r="AS5" s="142"/>
      <c r="AT5" s="149" t="s">
        <v>10916</v>
      </c>
      <c r="AU5" s="468"/>
      <c r="AV5" s="198" t="s">
        <v>10917</v>
      </c>
      <c r="AW5" s="167" t="s">
        <v>10918</v>
      </c>
      <c r="AX5" s="76"/>
      <c r="AY5" s="149"/>
      <c r="AZ5" s="468"/>
      <c r="BA5" s="198"/>
      <c r="BB5" s="167"/>
      <c r="BC5" s="76"/>
      <c r="BD5" s="76"/>
      <c r="BE5" s="76"/>
      <c r="BF5" s="76"/>
      <c r="BG5" s="76"/>
      <c r="BH5" s="76"/>
    </row>
    <row r="6">
      <c r="A6" s="149" t="s">
        <v>10919</v>
      </c>
      <c r="B6" s="463"/>
      <c r="C6" s="464" t="s">
        <v>6900</v>
      </c>
      <c r="D6" s="464" t="s">
        <v>10920</v>
      </c>
      <c r="E6" s="142"/>
      <c r="F6" s="149" t="s">
        <v>10921</v>
      </c>
      <c r="G6" s="463"/>
      <c r="H6" s="464" t="s">
        <v>6901</v>
      </c>
      <c r="I6" s="464" t="s">
        <v>10922</v>
      </c>
      <c r="J6" s="142"/>
      <c r="K6" s="243" t="s">
        <v>10923</v>
      </c>
      <c r="L6" s="463"/>
      <c r="M6" s="167" t="s">
        <v>6902</v>
      </c>
      <c r="N6" s="167" t="s">
        <v>10924</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10925</v>
      </c>
      <c r="AF6" s="222"/>
      <c r="AG6" s="464" t="s">
        <v>6903</v>
      </c>
      <c r="AH6" s="464" t="s">
        <v>10926</v>
      </c>
      <c r="AI6" s="466"/>
      <c r="AJ6" s="467" t="s">
        <v>10927</v>
      </c>
      <c r="AK6" s="461"/>
      <c r="AL6" s="167" t="s">
        <v>6904</v>
      </c>
      <c r="AM6" s="167" t="s">
        <v>10928</v>
      </c>
      <c r="AN6" s="198"/>
      <c r="AO6" s="197" t="s">
        <v>10929</v>
      </c>
      <c r="AP6" s="463"/>
      <c r="AQ6" s="198" t="s">
        <v>6905</v>
      </c>
      <c r="AR6" s="198" t="s">
        <v>10930</v>
      </c>
      <c r="AS6" s="142"/>
      <c r="AT6" s="149" t="s">
        <v>10931</v>
      </c>
      <c r="AU6" s="468"/>
      <c r="AV6" s="198" t="s">
        <v>6906</v>
      </c>
      <c r="AW6" s="198" t="s">
        <v>10932</v>
      </c>
      <c r="AX6" s="76"/>
      <c r="AY6" s="149"/>
      <c r="AZ6" s="468"/>
      <c r="BA6" s="198"/>
      <c r="BB6" s="198"/>
      <c r="BC6" s="76"/>
      <c r="BD6" s="76"/>
      <c r="BE6" s="76"/>
      <c r="BF6" s="76"/>
      <c r="BG6" s="76"/>
      <c r="BH6" s="76"/>
    </row>
    <row r="7">
      <c r="A7" s="149" t="s">
        <v>10933</v>
      </c>
      <c r="B7" s="463"/>
      <c r="C7" s="464" t="s">
        <v>6900</v>
      </c>
      <c r="D7" s="142"/>
      <c r="E7" s="142"/>
      <c r="F7" s="149" t="s">
        <v>10934</v>
      </c>
      <c r="G7" s="463"/>
      <c r="H7" s="464" t="s">
        <v>6901</v>
      </c>
      <c r="I7" s="142"/>
      <c r="J7" s="142"/>
      <c r="K7" s="243" t="s">
        <v>10935</v>
      </c>
      <c r="L7" s="463"/>
      <c r="M7" s="167" t="s">
        <v>6902</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10936</v>
      </c>
      <c r="AF7" s="222"/>
      <c r="AG7" s="464" t="s">
        <v>6903</v>
      </c>
      <c r="AH7" s="466"/>
      <c r="AI7" s="466"/>
      <c r="AJ7" s="467" t="s">
        <v>10937</v>
      </c>
      <c r="AK7" s="461"/>
      <c r="AL7" s="167" t="s">
        <v>6904</v>
      </c>
      <c r="AM7" s="198"/>
      <c r="AN7" s="198"/>
      <c r="AO7" s="197" t="s">
        <v>10938</v>
      </c>
      <c r="AP7" s="463"/>
      <c r="AQ7" s="198" t="s">
        <v>6905</v>
      </c>
      <c r="AR7" s="142"/>
      <c r="AS7" s="142"/>
      <c r="AT7" s="149" t="s">
        <v>10939</v>
      </c>
      <c r="AU7" s="468"/>
      <c r="AV7" s="198" t="s">
        <v>6906</v>
      </c>
      <c r="AW7" s="76"/>
      <c r="AX7" s="76"/>
      <c r="AY7" s="149"/>
      <c r="AZ7" s="468"/>
      <c r="BA7" s="198"/>
      <c r="BB7" s="76"/>
      <c r="BC7" s="76"/>
      <c r="BD7" s="76"/>
      <c r="BE7" s="76"/>
      <c r="BF7" s="76"/>
      <c r="BG7" s="76"/>
      <c r="BH7" s="76"/>
    </row>
    <row r="8">
      <c r="A8" s="149" t="s">
        <v>10940</v>
      </c>
      <c r="B8" s="463"/>
      <c r="C8" s="464" t="s">
        <v>10941</v>
      </c>
      <c r="F8" s="149" t="s">
        <v>10942</v>
      </c>
      <c r="G8" s="463"/>
      <c r="H8" s="464" t="s">
        <v>1067</v>
      </c>
      <c r="I8" s="142"/>
      <c r="J8" s="142"/>
      <c r="K8" s="243" t="s">
        <v>10943</v>
      </c>
      <c r="L8" s="463"/>
      <c r="M8" s="167" t="s">
        <v>10944</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pescar en el río y obtener conchas).")</f>
        <v>Aún no implementado (más adelante, podrás pescar en el río y obtener conchas).</v>
      </c>
      <c r="Z8" s="467" t="s">
        <v>10945</v>
      </c>
      <c r="AA8" s="461"/>
      <c r="AB8" s="167" t="s">
        <v>1076</v>
      </c>
      <c r="AE8" s="465" t="s">
        <v>10946</v>
      </c>
      <c r="AF8" s="222"/>
      <c r="AG8" s="464" t="s">
        <v>10947</v>
      </c>
      <c r="AJ8" s="467" t="s">
        <v>10948</v>
      </c>
      <c r="AK8" s="461"/>
      <c r="AL8" s="167" t="s">
        <v>10949</v>
      </c>
      <c r="AO8" s="197" t="s">
        <v>10950</v>
      </c>
      <c r="AP8" s="463"/>
      <c r="AQ8" s="198" t="s">
        <v>1398</v>
      </c>
      <c r="AR8" s="142"/>
      <c r="AS8" s="142"/>
      <c r="AT8" s="149" t="s">
        <v>10951</v>
      </c>
      <c r="AU8" s="468"/>
      <c r="AV8" s="198" t="s">
        <v>1401</v>
      </c>
      <c r="AW8" s="76"/>
      <c r="AX8" s="76"/>
      <c r="AY8" s="149"/>
      <c r="AZ8" s="468"/>
      <c r="BA8" s="198"/>
      <c r="BB8" s="76"/>
      <c r="BC8" s="76"/>
      <c r="BD8" s="76"/>
      <c r="BE8" s="76"/>
      <c r="BF8" s="76"/>
      <c r="BG8" s="76"/>
      <c r="BH8" s="76"/>
    </row>
    <row r="9">
      <c r="A9" s="149" t="s">
        <v>10952</v>
      </c>
      <c r="B9" s="463"/>
      <c r="C9" s="464" t="s">
        <v>10953</v>
      </c>
      <c r="D9" s="142"/>
      <c r="E9" s="142"/>
      <c r="F9" s="149" t="s">
        <v>10954</v>
      </c>
      <c r="G9" s="463"/>
      <c r="H9" s="464" t="s">
        <v>10953</v>
      </c>
      <c r="I9" s="142"/>
      <c r="J9" s="142"/>
      <c r="K9" s="243" t="s">
        <v>10955</v>
      </c>
      <c r="L9" s="463"/>
      <c r="M9" s="167" t="s">
        <v>10956</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10957</v>
      </c>
      <c r="AA9" s="461"/>
      <c r="AB9" s="198" t="str">
        <f>IFERROR(__xludf.DUMMYFUNCTION("GOOGLETRANSLATE(C9,""zh-tw"",""KO"")"),"물고기")</f>
        <v>물고기</v>
      </c>
      <c r="AC9" s="198"/>
      <c r="AD9" s="198"/>
      <c r="AE9" s="465" t="s">
        <v>10958</v>
      </c>
      <c r="AF9" s="222"/>
      <c r="AG9" s="464" t="s">
        <v>10959</v>
      </c>
      <c r="AH9" s="466"/>
      <c r="AI9" s="466"/>
      <c r="AJ9" s="467" t="s">
        <v>10960</v>
      </c>
      <c r="AK9" s="461"/>
      <c r="AL9" s="167" t="s">
        <v>10961</v>
      </c>
      <c r="AM9" s="198"/>
      <c r="AN9" s="198"/>
      <c r="AO9" s="197" t="s">
        <v>10962</v>
      </c>
      <c r="AP9" s="463"/>
      <c r="AQ9" s="198" t="s">
        <v>10963</v>
      </c>
      <c r="AR9" s="142"/>
      <c r="AS9" s="142"/>
      <c r="AT9" s="149" t="s">
        <v>10964</v>
      </c>
      <c r="AU9" s="468"/>
      <c r="AV9" s="198" t="s">
        <v>10965</v>
      </c>
      <c r="AW9" s="76"/>
      <c r="AX9" s="76"/>
      <c r="AY9" s="149"/>
      <c r="AZ9" s="468"/>
      <c r="BA9" s="198"/>
      <c r="BB9" s="76"/>
      <c r="BC9" s="76"/>
      <c r="BD9" s="76"/>
      <c r="BE9" s="76"/>
      <c r="BF9" s="76"/>
      <c r="BG9" s="76"/>
      <c r="BH9" s="76"/>
    </row>
    <row r="10">
      <c r="A10" s="149" t="s">
        <v>10966</v>
      </c>
      <c r="B10" s="463"/>
      <c r="C10" s="464" t="s">
        <v>10967</v>
      </c>
      <c r="D10" s="464" t="s">
        <v>10967</v>
      </c>
      <c r="E10" s="464" t="s">
        <v>10967</v>
      </c>
      <c r="F10" s="149" t="s">
        <v>10968</v>
      </c>
      <c r="G10" s="463"/>
      <c r="H10" s="464" t="s">
        <v>10969</v>
      </c>
      <c r="I10" s="464" t="s">
        <v>10969</v>
      </c>
      <c r="J10" s="464" t="s">
        <v>10969</v>
      </c>
      <c r="K10" s="243" t="s">
        <v>10970</v>
      </c>
      <c r="L10" s="463"/>
      <c r="M10" s="167" t="s">
        <v>10971</v>
      </c>
      <c r="N10" s="167" t="s">
        <v>10971</v>
      </c>
      <c r="O10" s="167" t="s">
        <v>10971</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10972</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10973</v>
      </c>
      <c r="AF10" s="222"/>
      <c r="AG10" s="464" t="s">
        <v>10974</v>
      </c>
      <c r="AH10" s="464" t="s">
        <v>10974</v>
      </c>
      <c r="AI10" s="464" t="s">
        <v>10974</v>
      </c>
      <c r="AJ10" s="467" t="s">
        <v>10975</v>
      </c>
      <c r="AK10" s="461"/>
      <c r="AL10" s="167" t="s">
        <v>10976</v>
      </c>
      <c r="AM10" s="167" t="s">
        <v>10976</v>
      </c>
      <c r="AN10" s="167" t="s">
        <v>10976</v>
      </c>
      <c r="AO10" s="197" t="s">
        <v>10977</v>
      </c>
      <c r="AP10" s="463"/>
      <c r="AQ10" s="198" t="s">
        <v>10978</v>
      </c>
      <c r="AR10" s="198" t="s">
        <v>10978</v>
      </c>
      <c r="AS10" s="198" t="s">
        <v>10978</v>
      </c>
      <c r="AT10" s="149" t="s">
        <v>10979</v>
      </c>
      <c r="AU10" s="468"/>
      <c r="AV10" s="198" t="s">
        <v>10980</v>
      </c>
      <c r="AW10" s="198" t="s">
        <v>10980</v>
      </c>
      <c r="AX10" s="198" t="s">
        <v>10980</v>
      </c>
      <c r="AY10" s="149"/>
      <c r="AZ10" s="468"/>
      <c r="BA10" s="198"/>
      <c r="BB10" s="198"/>
      <c r="BC10" s="198"/>
      <c r="BD10" s="198"/>
      <c r="BE10" s="198"/>
      <c r="BF10" s="198"/>
      <c r="BG10" s="198"/>
      <c r="BH10" s="198"/>
    </row>
    <row r="11">
      <c r="A11" s="179" t="s">
        <v>10981</v>
      </c>
      <c r="B11" s="463"/>
      <c r="C11" s="464" t="s">
        <v>10982</v>
      </c>
      <c r="D11" s="464" t="s">
        <v>6931</v>
      </c>
      <c r="E11" s="142"/>
      <c r="F11" s="149" t="s">
        <v>10983</v>
      </c>
      <c r="G11" s="463"/>
      <c r="H11" s="464" t="s">
        <v>10984</v>
      </c>
      <c r="I11" s="464" t="s">
        <v>10985</v>
      </c>
      <c r="J11" s="142"/>
      <c r="K11" s="243" t="s">
        <v>10986</v>
      </c>
      <c r="L11" s="463"/>
      <c r="M11" s="167" t="s">
        <v>10987</v>
      </c>
      <c r="N11" s="167" t="s">
        <v>6933</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10988</v>
      </c>
      <c r="AA11" s="461"/>
      <c r="AB11" s="167" t="s">
        <v>10989</v>
      </c>
      <c r="AC11" s="198" t="str">
        <f>IFERROR(__xludf.DUMMYFUNCTION("GOOGLETRANSLATE(D11,""zh-tw"",""KO"")"),"감자")</f>
        <v>감자</v>
      </c>
      <c r="AD11" s="198"/>
      <c r="AE11" s="465" t="s">
        <v>10990</v>
      </c>
      <c r="AF11" s="222"/>
      <c r="AG11" s="464" t="s">
        <v>10991</v>
      </c>
      <c r="AH11" s="464" t="s">
        <v>6936</v>
      </c>
      <c r="AI11" s="466"/>
      <c r="AJ11" s="467" t="s">
        <v>10992</v>
      </c>
      <c r="AK11" s="461"/>
      <c r="AL11" s="167" t="s">
        <v>10993</v>
      </c>
      <c r="AM11" s="167" t="s">
        <v>6938</v>
      </c>
      <c r="AN11" s="198"/>
      <c r="AO11" s="153" t="s">
        <v>10986</v>
      </c>
      <c r="AP11" s="463"/>
      <c r="AQ11" s="198" t="s">
        <v>10994</v>
      </c>
      <c r="AR11" s="198" t="s">
        <v>6940</v>
      </c>
      <c r="AS11" s="142"/>
      <c r="AT11" s="149" t="s">
        <v>10986</v>
      </c>
      <c r="AU11" s="468"/>
      <c r="AV11" s="198" t="s">
        <v>10995</v>
      </c>
      <c r="AW11" s="198" t="s">
        <v>6942</v>
      </c>
      <c r="AX11" s="76"/>
      <c r="AY11" s="149"/>
      <c r="AZ11" s="468"/>
      <c r="BA11" s="198"/>
      <c r="BB11" s="198"/>
      <c r="BC11" s="76"/>
      <c r="BD11" s="76"/>
      <c r="BE11" s="76"/>
      <c r="BF11" s="76"/>
      <c r="BG11" s="76"/>
      <c r="BH11" s="76"/>
    </row>
    <row r="12">
      <c r="A12" s="149" t="s">
        <v>10996</v>
      </c>
      <c r="B12" s="463"/>
      <c r="C12" s="464" t="s">
        <v>10898</v>
      </c>
      <c r="D12" s="142"/>
      <c r="E12" s="142"/>
      <c r="F12" s="149" t="s">
        <v>10997</v>
      </c>
      <c r="G12" s="463"/>
      <c r="H12" s="464" t="s">
        <v>10901</v>
      </c>
      <c r="I12" s="142"/>
      <c r="J12" s="142"/>
      <c r="K12" s="243" t="s">
        <v>10998</v>
      </c>
      <c r="L12" s="463"/>
      <c r="M12" s="167" t="s">
        <v>10904</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10999</v>
      </c>
      <c r="AF12" s="222"/>
      <c r="AG12" s="464" t="s">
        <v>10908</v>
      </c>
      <c r="AH12" s="466"/>
      <c r="AI12" s="466"/>
      <c r="AJ12" s="467" t="s">
        <v>11000</v>
      </c>
      <c r="AK12" s="461"/>
      <c r="AL12" s="167" t="s">
        <v>10911</v>
      </c>
      <c r="AM12" s="198"/>
      <c r="AN12" s="198"/>
      <c r="AO12" s="197" t="s">
        <v>11001</v>
      </c>
      <c r="AP12" s="463"/>
      <c r="AQ12" s="198" t="s">
        <v>10914</v>
      </c>
      <c r="AR12" s="142"/>
      <c r="AS12" s="142"/>
      <c r="AT12" s="149" t="s">
        <v>10998</v>
      </c>
      <c r="AU12" s="468"/>
      <c r="AV12" s="198" t="s">
        <v>10917</v>
      </c>
      <c r="AW12" s="76"/>
      <c r="AX12" s="76"/>
      <c r="AY12" s="149"/>
      <c r="AZ12" s="468"/>
      <c r="BA12" s="198"/>
      <c r="BB12" s="76"/>
      <c r="BC12" s="76"/>
      <c r="BD12" s="76"/>
      <c r="BE12" s="76"/>
      <c r="BF12" s="76"/>
      <c r="BG12" s="76"/>
      <c r="BH12" s="76"/>
    </row>
    <row r="13">
      <c r="A13" s="149" t="s">
        <v>11002</v>
      </c>
      <c r="B13" s="463"/>
      <c r="C13" s="464" t="s">
        <v>10898</v>
      </c>
      <c r="D13" s="464" t="s">
        <v>10899</v>
      </c>
      <c r="E13" s="464" t="s">
        <v>10982</v>
      </c>
      <c r="F13" s="149" t="s">
        <v>11003</v>
      </c>
      <c r="G13" s="463"/>
      <c r="H13" s="464" t="s">
        <v>10901</v>
      </c>
      <c r="I13" s="464" t="s">
        <v>10902</v>
      </c>
      <c r="J13" s="464" t="s">
        <v>10984</v>
      </c>
      <c r="K13" s="235" t="s">
        <v>11004</v>
      </c>
      <c r="L13" s="463"/>
      <c r="M13" s="167" t="s">
        <v>10904</v>
      </c>
      <c r="N13" s="167" t="s">
        <v>10905</v>
      </c>
      <c r="O13" s="167" t="s">
        <v>10987</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11005</v>
      </c>
      <c r="AA13" s="461"/>
      <c r="AB13" s="198" t="str">
        <f>IFERROR(__xludf.DUMMYFUNCTION("GOOGLETRANSLATE(C13,""zh-tw"",""KO"")"),"흰쌀")</f>
        <v>흰쌀</v>
      </c>
      <c r="AC13" s="167" t="s">
        <v>10906</v>
      </c>
      <c r="AD13" s="167" t="s">
        <v>10989</v>
      </c>
      <c r="AE13" s="465" t="s">
        <v>11006</v>
      </c>
      <c r="AF13" s="222"/>
      <c r="AG13" s="464" t="s">
        <v>10908</v>
      </c>
      <c r="AH13" s="464" t="s">
        <v>10909</v>
      </c>
      <c r="AI13" s="464" t="s">
        <v>10991</v>
      </c>
      <c r="AJ13" s="467" t="s">
        <v>11007</v>
      </c>
      <c r="AK13" s="461"/>
      <c r="AL13" s="167" t="s">
        <v>10911</v>
      </c>
      <c r="AM13" s="167" t="s">
        <v>10912</v>
      </c>
      <c r="AN13" s="167" t="s">
        <v>10993</v>
      </c>
      <c r="AO13" s="197" t="s">
        <v>11008</v>
      </c>
      <c r="AP13" s="463"/>
      <c r="AQ13" s="198" t="s">
        <v>10914</v>
      </c>
      <c r="AR13" s="198" t="s">
        <v>10915</v>
      </c>
      <c r="AS13" s="198" t="s">
        <v>10994</v>
      </c>
      <c r="AT13" s="149" t="s">
        <v>11009</v>
      </c>
      <c r="AU13" s="468"/>
      <c r="AV13" s="198" t="s">
        <v>10917</v>
      </c>
      <c r="AW13" s="167" t="s">
        <v>10918</v>
      </c>
      <c r="AX13" s="198" t="s">
        <v>10995</v>
      </c>
      <c r="AY13" s="149"/>
      <c r="AZ13" s="468"/>
      <c r="BA13" s="198"/>
      <c r="BB13" s="167"/>
      <c r="BC13" s="198"/>
      <c r="BD13" s="198"/>
      <c r="BE13" s="198"/>
      <c r="BF13" s="198"/>
      <c r="BG13" s="198"/>
      <c r="BH13" s="198"/>
    </row>
    <row r="14">
      <c r="A14" s="149" t="s">
        <v>11010</v>
      </c>
      <c r="B14" s="447" t="s">
        <v>589</v>
      </c>
      <c r="C14" s="464" t="s">
        <v>6084</v>
      </c>
      <c r="D14" s="142"/>
      <c r="E14" s="142"/>
      <c r="F14" s="149" t="s">
        <v>11011</v>
      </c>
      <c r="G14" s="447" t="s">
        <v>589</v>
      </c>
      <c r="H14" s="464" t="s">
        <v>11012</v>
      </c>
      <c r="I14" s="142"/>
      <c r="J14" s="142"/>
      <c r="K14" s="243" t="s">
        <v>11013</v>
      </c>
      <c r="L14" s="447" t="s">
        <v>589</v>
      </c>
      <c r="M14" s="167" t="s">
        <v>6089</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11014</v>
      </c>
      <c r="AA14" s="461" t="s">
        <v>589</v>
      </c>
      <c r="AB14" s="167" t="s">
        <v>11015</v>
      </c>
      <c r="AC14" s="198"/>
      <c r="AD14" s="198"/>
      <c r="AE14" s="465" t="s">
        <v>11016</v>
      </c>
      <c r="AF14" s="460" t="s">
        <v>10859</v>
      </c>
      <c r="AG14" s="464" t="s">
        <v>11017</v>
      </c>
      <c r="AH14" s="466"/>
      <c r="AI14" s="466"/>
      <c r="AJ14" s="467" t="s">
        <v>11018</v>
      </c>
      <c r="AK14" s="461" t="s">
        <v>589</v>
      </c>
      <c r="AL14" s="167" t="s">
        <v>11019</v>
      </c>
      <c r="AM14" s="198"/>
      <c r="AN14" s="198"/>
      <c r="AO14" s="197" t="s">
        <v>11020</v>
      </c>
      <c r="AP14" s="447" t="s">
        <v>589</v>
      </c>
      <c r="AQ14" s="198" t="s">
        <v>6095</v>
      </c>
      <c r="AR14" s="142"/>
      <c r="AS14" s="142"/>
      <c r="AT14" s="149" t="s">
        <v>11021</v>
      </c>
      <c r="AU14" s="447" t="s">
        <v>589</v>
      </c>
      <c r="AV14" s="198" t="s">
        <v>6097</v>
      </c>
      <c r="AW14" s="76"/>
      <c r="AX14" s="76"/>
      <c r="AY14" s="149"/>
      <c r="AZ14" s="447"/>
      <c r="BA14" s="198"/>
      <c r="BB14" s="76"/>
      <c r="BC14" s="76"/>
      <c r="BD14" s="76"/>
      <c r="BE14" s="76"/>
      <c r="BF14" s="76"/>
      <c r="BG14" s="76"/>
      <c r="BH14" s="76"/>
    </row>
    <row r="15">
      <c r="A15" s="149" t="s">
        <v>11022</v>
      </c>
      <c r="B15" s="447" t="s">
        <v>589</v>
      </c>
      <c r="C15" s="464" t="s">
        <v>10982</v>
      </c>
      <c r="D15" s="142"/>
      <c r="E15" s="142"/>
      <c r="F15" s="149" t="s">
        <v>11023</v>
      </c>
      <c r="G15" s="447" t="s">
        <v>589</v>
      </c>
      <c r="H15" s="464" t="s">
        <v>10984</v>
      </c>
      <c r="I15" s="142"/>
      <c r="J15" s="142"/>
      <c r="K15" s="243" t="s">
        <v>11024</v>
      </c>
      <c r="L15" s="447" t="s">
        <v>589</v>
      </c>
      <c r="M15" s="167" t="s">
        <v>10987</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덩어리")</f>
        <v>구운 고기 덩어리</v>
      </c>
      <c r="AA15" s="461" t="s">
        <v>589</v>
      </c>
      <c r="AB15" s="167" t="s">
        <v>10989</v>
      </c>
      <c r="AC15" s="198"/>
      <c r="AD15" s="198"/>
      <c r="AE15" s="465" t="s">
        <v>11025</v>
      </c>
      <c r="AF15" s="460" t="s">
        <v>10859</v>
      </c>
      <c r="AG15" s="464" t="s">
        <v>10991</v>
      </c>
      <c r="AH15" s="466"/>
      <c r="AI15" s="466"/>
      <c r="AJ15" s="467" t="s">
        <v>11026</v>
      </c>
      <c r="AK15" s="461" t="s">
        <v>589</v>
      </c>
      <c r="AL15" s="167" t="s">
        <v>10993</v>
      </c>
      <c r="AM15" s="198"/>
      <c r="AN15" s="198"/>
      <c r="AO15" s="197" t="s">
        <v>11027</v>
      </c>
      <c r="AP15" s="447" t="s">
        <v>589</v>
      </c>
      <c r="AQ15" s="198" t="s">
        <v>10994</v>
      </c>
      <c r="AR15" s="142"/>
      <c r="AS15" s="142"/>
      <c r="AT15" s="149" t="s">
        <v>11028</v>
      </c>
      <c r="AU15" s="447" t="s">
        <v>589</v>
      </c>
      <c r="AV15" s="198" t="s">
        <v>10995</v>
      </c>
      <c r="AW15" s="76"/>
      <c r="AX15" s="76"/>
      <c r="AY15" s="149"/>
      <c r="AZ15" s="447"/>
      <c r="BA15" s="198"/>
      <c r="BB15" s="76"/>
      <c r="BC15" s="76"/>
      <c r="BD15" s="76"/>
      <c r="BE15" s="76"/>
      <c r="BF15" s="76"/>
      <c r="BG15" s="76"/>
      <c r="BH15" s="76"/>
    </row>
    <row r="16">
      <c r="A16" s="149" t="s">
        <v>11029</v>
      </c>
      <c r="B16" s="447" t="s">
        <v>589</v>
      </c>
      <c r="C16" s="464" t="s">
        <v>10982</v>
      </c>
      <c r="D16" s="464" t="s">
        <v>10982</v>
      </c>
      <c r="E16" s="142"/>
      <c r="F16" s="149" t="s">
        <v>11030</v>
      </c>
      <c r="G16" s="447" t="s">
        <v>589</v>
      </c>
      <c r="H16" s="464" t="s">
        <v>10984</v>
      </c>
      <c r="I16" s="464" t="s">
        <v>10984</v>
      </c>
      <c r="J16" s="142"/>
      <c r="K16" s="243" t="s">
        <v>11031</v>
      </c>
      <c r="L16" s="447" t="s">
        <v>589</v>
      </c>
      <c r="M16" s="167" t="s">
        <v>10987</v>
      </c>
      <c r="N16" s="167" t="s">
        <v>10987</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res")</f>
        <v>Filete de res</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11032</v>
      </c>
      <c r="AA16" s="461" t="s">
        <v>589</v>
      </c>
      <c r="AB16" s="167" t="s">
        <v>10989</v>
      </c>
      <c r="AC16" s="167" t="s">
        <v>10989</v>
      </c>
      <c r="AD16" s="198"/>
      <c r="AE16" s="465" t="s">
        <v>11033</v>
      </c>
      <c r="AF16" s="460" t="s">
        <v>10859</v>
      </c>
      <c r="AG16" s="464" t="s">
        <v>10991</v>
      </c>
      <c r="AH16" s="464" t="s">
        <v>10991</v>
      </c>
      <c r="AI16" s="466"/>
      <c r="AJ16" s="467" t="s">
        <v>11034</v>
      </c>
      <c r="AK16" s="461" t="s">
        <v>589</v>
      </c>
      <c r="AL16" s="167" t="s">
        <v>10993</v>
      </c>
      <c r="AM16" s="167" t="s">
        <v>10993</v>
      </c>
      <c r="AN16" s="198"/>
      <c r="AO16" s="197" t="s">
        <v>11035</v>
      </c>
      <c r="AP16" s="447" t="s">
        <v>589</v>
      </c>
      <c r="AQ16" s="198" t="s">
        <v>10994</v>
      </c>
      <c r="AR16" s="198" t="s">
        <v>10994</v>
      </c>
      <c r="AS16" s="142"/>
      <c r="AT16" s="149" t="s">
        <v>11036</v>
      </c>
      <c r="AU16" s="447" t="s">
        <v>589</v>
      </c>
      <c r="AV16" s="198" t="s">
        <v>10995</v>
      </c>
      <c r="AW16" s="198" t="s">
        <v>10995</v>
      </c>
      <c r="AX16" s="76"/>
      <c r="AY16" s="149"/>
      <c r="AZ16" s="447"/>
      <c r="BA16" s="198"/>
      <c r="BB16" s="198"/>
      <c r="BC16" s="76"/>
      <c r="BD16" s="76"/>
      <c r="BE16" s="76"/>
      <c r="BF16" s="76"/>
      <c r="BG16" s="76"/>
      <c r="BH16" s="76"/>
    </row>
    <row r="17">
      <c r="A17" s="179" t="s">
        <v>11037</v>
      </c>
      <c r="B17" s="447" t="s">
        <v>589</v>
      </c>
      <c r="C17" s="464" t="s">
        <v>10982</v>
      </c>
      <c r="D17" s="464" t="s">
        <v>10982</v>
      </c>
      <c r="E17" s="464" t="s">
        <v>10982</v>
      </c>
      <c r="F17" s="149" t="s">
        <v>11038</v>
      </c>
      <c r="G17" s="447" t="s">
        <v>589</v>
      </c>
      <c r="H17" s="464" t="s">
        <v>10984</v>
      </c>
      <c r="I17" s="464" t="s">
        <v>10984</v>
      </c>
      <c r="J17" s="464" t="s">
        <v>10984</v>
      </c>
      <c r="K17" s="243" t="s">
        <v>11039</v>
      </c>
      <c r="L17" s="447" t="s">
        <v>589</v>
      </c>
      <c r="M17" s="167" t="s">
        <v>10987</v>
      </c>
      <c r="N17" s="167" t="s">
        <v>10987</v>
      </c>
      <c r="O17" s="167" t="s">
        <v>10987</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11040</v>
      </c>
      <c r="AA17" s="461" t="s">
        <v>589</v>
      </c>
      <c r="AB17" s="167" t="s">
        <v>10989</v>
      </c>
      <c r="AC17" s="202" t="s">
        <v>10989</v>
      </c>
      <c r="AD17" s="202" t="s">
        <v>10989</v>
      </c>
      <c r="AE17" s="465" t="str">
        <f>IFERROR(__xludf.DUMMYFUNCTION("GOOGLETRANSLATE(A17,""zh-tw"",""ru"")"),"Тушеная говядина")</f>
        <v>Тушеная говядина</v>
      </c>
      <c r="AF17" s="460" t="s">
        <v>10859</v>
      </c>
      <c r="AG17" s="464" t="s">
        <v>10991</v>
      </c>
      <c r="AH17" s="464" t="s">
        <v>10991</v>
      </c>
      <c r="AI17" s="464" t="s">
        <v>10991</v>
      </c>
      <c r="AJ17" s="467" t="s">
        <v>11041</v>
      </c>
      <c r="AK17" s="461" t="s">
        <v>589</v>
      </c>
      <c r="AL17" s="167" t="s">
        <v>10993</v>
      </c>
      <c r="AM17" s="167" t="s">
        <v>10993</v>
      </c>
      <c r="AN17" s="167" t="s">
        <v>10993</v>
      </c>
      <c r="AO17" s="153" t="s">
        <v>11042</v>
      </c>
      <c r="AP17" s="447" t="s">
        <v>589</v>
      </c>
      <c r="AQ17" s="198" t="s">
        <v>10994</v>
      </c>
      <c r="AR17" s="198" t="s">
        <v>10994</v>
      </c>
      <c r="AS17" s="198" t="s">
        <v>10994</v>
      </c>
      <c r="AT17" s="149" t="s">
        <v>11043</v>
      </c>
      <c r="AU17" s="447" t="s">
        <v>589</v>
      </c>
      <c r="AV17" s="198" t="s">
        <v>10995</v>
      </c>
      <c r="AW17" s="198" t="s">
        <v>10995</v>
      </c>
      <c r="AX17" s="198" t="s">
        <v>10995</v>
      </c>
      <c r="AY17" s="149"/>
      <c r="AZ17" s="447"/>
      <c r="BA17" s="198"/>
      <c r="BB17" s="198"/>
      <c r="BC17" s="198"/>
      <c r="BD17" s="198"/>
      <c r="BE17" s="198"/>
      <c r="BF17" s="198"/>
      <c r="BG17" s="198"/>
      <c r="BH17" s="198"/>
    </row>
    <row r="18">
      <c r="A18" s="149" t="s">
        <v>11044</v>
      </c>
      <c r="B18" s="447" t="s">
        <v>589</v>
      </c>
      <c r="C18" s="464" t="s">
        <v>10898</v>
      </c>
      <c r="D18" s="464" t="s">
        <v>10982</v>
      </c>
      <c r="E18" s="142"/>
      <c r="F18" s="149" t="s">
        <v>11045</v>
      </c>
      <c r="G18" s="447" t="s">
        <v>589</v>
      </c>
      <c r="H18" s="464" t="s">
        <v>10901</v>
      </c>
      <c r="I18" s="464" t="s">
        <v>10984</v>
      </c>
      <c r="J18" s="142"/>
      <c r="K18" s="243" t="s">
        <v>11046</v>
      </c>
      <c r="L18" s="447" t="s">
        <v>589</v>
      </c>
      <c r="M18" s="167" t="s">
        <v>11047</v>
      </c>
      <c r="N18" s="167" t="s">
        <v>10987</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11048</v>
      </c>
      <c r="AA18" s="461" t="s">
        <v>589</v>
      </c>
      <c r="AB18" s="198" t="str">
        <f>IFERROR(__xludf.DUMMYFUNCTION("GOOGLETRANSLATE(C18,""zh-tw"",""KO"")"),"흰쌀")</f>
        <v>흰쌀</v>
      </c>
      <c r="AC18" s="167" t="s">
        <v>10989</v>
      </c>
      <c r="AD18" s="198"/>
      <c r="AE18" s="465" t="s">
        <v>11049</v>
      </c>
      <c r="AF18" s="460" t="s">
        <v>10859</v>
      </c>
      <c r="AG18" s="464" t="s">
        <v>10908</v>
      </c>
      <c r="AH18" s="464" t="s">
        <v>10991</v>
      </c>
      <c r="AI18" s="466"/>
      <c r="AJ18" s="467" t="s">
        <v>11050</v>
      </c>
      <c r="AK18" s="461" t="s">
        <v>589</v>
      </c>
      <c r="AL18" s="167" t="s">
        <v>10911</v>
      </c>
      <c r="AM18" s="167" t="s">
        <v>10993</v>
      </c>
      <c r="AN18" s="198"/>
      <c r="AO18" s="197" t="s">
        <v>11051</v>
      </c>
      <c r="AP18" s="447" t="s">
        <v>589</v>
      </c>
      <c r="AQ18" s="198" t="s">
        <v>10914</v>
      </c>
      <c r="AR18" s="198" t="s">
        <v>10994</v>
      </c>
      <c r="AS18" s="142"/>
      <c r="AT18" s="149" t="s">
        <v>11052</v>
      </c>
      <c r="AU18" s="447" t="s">
        <v>589</v>
      </c>
      <c r="AV18" s="198" t="s">
        <v>11053</v>
      </c>
      <c r="AW18" s="198" t="s">
        <v>10995</v>
      </c>
      <c r="AX18" s="76"/>
      <c r="AY18" s="149"/>
      <c r="AZ18" s="447"/>
      <c r="BA18" s="198"/>
      <c r="BB18" s="198"/>
      <c r="BC18" s="76"/>
      <c r="BD18" s="76"/>
      <c r="BE18" s="76"/>
      <c r="BF18" s="76"/>
      <c r="BG18" s="76"/>
      <c r="BH18" s="76"/>
    </row>
    <row r="19">
      <c r="A19" s="149" t="s">
        <v>11054</v>
      </c>
      <c r="B19" s="463"/>
      <c r="C19" s="464" t="s">
        <v>11055</v>
      </c>
      <c r="D19" s="142"/>
      <c r="E19" s="142"/>
      <c r="F19" s="149" t="s">
        <v>11056</v>
      </c>
      <c r="G19" s="463"/>
      <c r="H19" s="464" t="s">
        <v>11057</v>
      </c>
      <c r="I19" s="142"/>
      <c r="J19" s="142"/>
      <c r="K19" s="235" t="s">
        <v>11058</v>
      </c>
      <c r="L19" s="463"/>
      <c r="M19" s="167" t="s">
        <v>11059</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11060</v>
      </c>
      <c r="AC19" s="198"/>
      <c r="AD19" s="198"/>
      <c r="AE19" s="465" t="s">
        <v>10890</v>
      </c>
      <c r="AF19" s="222"/>
      <c r="AG19" s="464" t="s">
        <v>11061</v>
      </c>
      <c r="AH19" s="466"/>
      <c r="AI19" s="466"/>
      <c r="AJ19" s="467" t="s">
        <v>11062</v>
      </c>
      <c r="AK19" s="461"/>
      <c r="AL19" s="167" t="s">
        <v>11063</v>
      </c>
      <c r="AM19" s="198"/>
      <c r="AN19" s="198"/>
      <c r="AO19" s="197" t="s">
        <v>11064</v>
      </c>
      <c r="AP19" s="463"/>
      <c r="AQ19" s="198" t="s">
        <v>11065</v>
      </c>
      <c r="AR19" s="142"/>
      <c r="AS19" s="142"/>
      <c r="AT19" s="149" t="s">
        <v>11066</v>
      </c>
      <c r="AU19" s="468"/>
      <c r="AV19" s="198" t="s">
        <v>11067</v>
      </c>
      <c r="AW19" s="76"/>
      <c r="AX19" s="76"/>
      <c r="AY19" s="149"/>
      <c r="AZ19" s="468"/>
      <c r="BA19" s="198"/>
      <c r="BB19" s="76"/>
      <c r="BC19" s="76"/>
      <c r="BD19" s="76"/>
      <c r="BE19" s="76"/>
      <c r="BF19" s="76"/>
      <c r="BG19" s="76"/>
      <c r="BH19" s="76"/>
    </row>
    <row r="20">
      <c r="A20" s="149" t="s">
        <v>11068</v>
      </c>
      <c r="B20" s="463"/>
      <c r="C20" s="464" t="s">
        <v>10884</v>
      </c>
      <c r="D20" s="464" t="s">
        <v>5993</v>
      </c>
      <c r="E20" s="142"/>
      <c r="F20" s="149" t="s">
        <v>11069</v>
      </c>
      <c r="G20" s="463"/>
      <c r="H20" s="464" t="s">
        <v>10886</v>
      </c>
      <c r="I20" s="464" t="s">
        <v>11070</v>
      </c>
      <c r="J20" s="142"/>
      <c r="K20" s="243" t="s">
        <v>11071</v>
      </c>
      <c r="L20" s="463"/>
      <c r="M20" s="167" t="s">
        <v>10888</v>
      </c>
      <c r="N20" s="167" t="s">
        <v>5998</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de baba extraña (rosa)")</f>
        <v>Gelatina de baba extraña (rosa)</v>
      </c>
      <c r="V20" s="460"/>
      <c r="W20" s="464" t="str">
        <f>IFERROR(__xludf.DUMMYFUNCTION("GOOGLETRANSLATE(C20,""zh-tw"",""es-MX"")"),"limo")</f>
        <v>limo</v>
      </c>
      <c r="X20" s="464" t="str">
        <f>IFERROR(__xludf.DUMMYFUNCTION("GOOGLETRANSLATE(D20,""zh-tw"",""es-MX"")"),"Hada de la manzana")</f>
        <v>Hada de la manzana</v>
      </c>
      <c r="Y20" s="464"/>
      <c r="Z20" s="467" t="s">
        <v>11072</v>
      </c>
      <c r="AA20" s="461"/>
      <c r="AB20" s="167" t="s">
        <v>10889</v>
      </c>
      <c r="AC20" s="167" t="s">
        <v>11073</v>
      </c>
      <c r="AD20" s="198"/>
      <c r="AE20" s="465" t="s">
        <v>11074</v>
      </c>
      <c r="AF20" s="222"/>
      <c r="AG20" s="464" t="s">
        <v>10891</v>
      </c>
      <c r="AH20" s="464" t="s">
        <v>11075</v>
      </c>
      <c r="AI20" s="466"/>
      <c r="AJ20" s="467" t="s">
        <v>11076</v>
      </c>
      <c r="AK20" s="461"/>
      <c r="AL20" s="167" t="s">
        <v>10893</v>
      </c>
      <c r="AM20" s="167" t="s">
        <v>6002</v>
      </c>
      <c r="AN20" s="198"/>
      <c r="AO20" s="197" t="s">
        <v>11077</v>
      </c>
      <c r="AP20" s="463"/>
      <c r="AQ20" s="198" t="s">
        <v>10895</v>
      </c>
      <c r="AR20" s="198" t="s">
        <v>11078</v>
      </c>
      <c r="AS20" s="142"/>
      <c r="AT20" s="149" t="s">
        <v>11079</v>
      </c>
      <c r="AU20" s="468"/>
      <c r="AV20" s="198" t="s">
        <v>10896</v>
      </c>
      <c r="AW20" s="198" t="s">
        <v>11080</v>
      </c>
      <c r="AX20" s="76"/>
      <c r="AY20" s="149"/>
      <c r="AZ20" s="468"/>
      <c r="BA20" s="198"/>
      <c r="BB20" s="198"/>
      <c r="BC20" s="76"/>
      <c r="BD20" s="76"/>
      <c r="BE20" s="76"/>
      <c r="BF20" s="76"/>
      <c r="BG20" s="76"/>
      <c r="BH20" s="76"/>
    </row>
    <row r="21">
      <c r="A21" s="149" t="s">
        <v>11081</v>
      </c>
      <c r="B21" s="463"/>
      <c r="C21" s="464" t="s">
        <v>10884</v>
      </c>
      <c r="D21" s="464" t="s">
        <v>11082</v>
      </c>
      <c r="E21" s="142"/>
      <c r="F21" s="149" t="s">
        <v>11083</v>
      </c>
      <c r="G21" s="463"/>
      <c r="H21" s="464" t="s">
        <v>10886</v>
      </c>
      <c r="I21" s="464" t="s">
        <v>11084</v>
      </c>
      <c r="J21" s="142"/>
      <c r="K21" s="243" t="s">
        <v>11085</v>
      </c>
      <c r="L21" s="463"/>
      <c r="M21" s="167" t="s">
        <v>10888</v>
      </c>
      <c r="N21" s="167" t="s">
        <v>11086</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de baba extraña (negra)")</f>
        <v>Gelatina de baba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10889</v>
      </c>
      <c r="AC21" s="198" t="str">
        <f>IFERROR(__xludf.DUMMYFUNCTION("GOOGLETRANSLATE(D21,""zh-tw"",""KO"")"),"쓰레기")</f>
        <v>쓰레기</v>
      </c>
      <c r="AD21" s="198"/>
      <c r="AE21" s="465" t="s">
        <v>11087</v>
      </c>
      <c r="AF21" s="222"/>
      <c r="AG21" s="464" t="s">
        <v>10891</v>
      </c>
      <c r="AH21" s="464" t="s">
        <v>11088</v>
      </c>
      <c r="AI21" s="466"/>
      <c r="AJ21" s="467" t="s">
        <v>11089</v>
      </c>
      <c r="AK21" s="461"/>
      <c r="AL21" s="167" t="s">
        <v>10893</v>
      </c>
      <c r="AM21" s="167" t="s">
        <v>11090</v>
      </c>
      <c r="AN21" s="198"/>
      <c r="AO21" s="197" t="s">
        <v>11091</v>
      </c>
      <c r="AP21" s="463"/>
      <c r="AQ21" s="198" t="s">
        <v>10895</v>
      </c>
      <c r="AR21" s="198" t="s">
        <v>11092</v>
      </c>
      <c r="AS21" s="142"/>
      <c r="AT21" s="149" t="s">
        <v>11093</v>
      </c>
      <c r="AU21" s="468"/>
      <c r="AV21" s="198" t="s">
        <v>10896</v>
      </c>
      <c r="AW21" s="198" t="s">
        <v>11094</v>
      </c>
      <c r="AX21" s="76"/>
      <c r="AY21" s="149"/>
      <c r="AZ21" s="468"/>
      <c r="BA21" s="198"/>
      <c r="BB21" s="198"/>
      <c r="BC21" s="76"/>
      <c r="BD21" s="76"/>
      <c r="BE21" s="76"/>
      <c r="BF21" s="76"/>
      <c r="BG21" s="76"/>
      <c r="BH21" s="76"/>
    </row>
    <row r="22">
      <c r="A22" s="149" t="s">
        <v>11095</v>
      </c>
      <c r="B22" s="463"/>
      <c r="C22" s="464" t="s">
        <v>11055</v>
      </c>
      <c r="D22" s="464" t="s">
        <v>1006</v>
      </c>
      <c r="E22" s="142"/>
      <c r="F22" s="149" t="s">
        <v>11096</v>
      </c>
      <c r="G22" s="463"/>
      <c r="H22" s="464" t="s">
        <v>10886</v>
      </c>
      <c r="I22" s="464" t="s">
        <v>1009</v>
      </c>
      <c r="J22" s="142"/>
      <c r="K22" s="243" t="s">
        <v>11097</v>
      </c>
      <c r="L22" s="463"/>
      <c r="M22" s="167" t="s">
        <v>10888</v>
      </c>
      <c r="N22" s="167" t="s">
        <v>11098</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de baba extraña (colorida)")</f>
        <v>Gelatina de baba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11060</v>
      </c>
      <c r="AC22" s="167" t="s">
        <v>1018</v>
      </c>
      <c r="AD22" s="198"/>
      <c r="AE22" s="465" t="s">
        <v>11099</v>
      </c>
      <c r="AF22" s="222"/>
      <c r="AG22" s="464" t="s">
        <v>11061</v>
      </c>
      <c r="AH22" s="464" t="s">
        <v>1021</v>
      </c>
      <c r="AI22" s="466"/>
      <c r="AJ22" s="467" t="s">
        <v>11100</v>
      </c>
      <c r="AK22" s="461"/>
      <c r="AL22" s="167" t="s">
        <v>11063</v>
      </c>
      <c r="AM22" s="167" t="s">
        <v>11101</v>
      </c>
      <c r="AN22" s="198"/>
      <c r="AO22" s="197" t="s">
        <v>11102</v>
      </c>
      <c r="AP22" s="463"/>
      <c r="AQ22" s="198" t="s">
        <v>10895</v>
      </c>
      <c r="AR22" s="198" t="s">
        <v>11103</v>
      </c>
      <c r="AS22" s="142"/>
      <c r="AT22" s="149" t="s">
        <v>11104</v>
      </c>
      <c r="AU22" s="468"/>
      <c r="AV22" s="198" t="s">
        <v>10896</v>
      </c>
      <c r="AW22" s="198" t="s">
        <v>11105</v>
      </c>
      <c r="AX22" s="76"/>
      <c r="AY22" s="149"/>
      <c r="AZ22" s="468"/>
      <c r="BA22" s="198"/>
      <c r="BB22" s="198"/>
      <c r="BC22" s="76"/>
      <c r="BD22" s="76"/>
      <c r="BE22" s="76"/>
      <c r="BF22" s="76"/>
      <c r="BG22" s="76"/>
      <c r="BH22" s="76"/>
    </row>
    <row r="23">
      <c r="A23" s="149" t="s">
        <v>11106</v>
      </c>
      <c r="B23" s="463"/>
      <c r="C23" s="464" t="s">
        <v>11107</v>
      </c>
      <c r="D23" s="142"/>
      <c r="E23" s="142"/>
      <c r="F23" s="149" t="s">
        <v>11108</v>
      </c>
      <c r="G23" s="463"/>
      <c r="H23" s="464" t="s">
        <v>11109</v>
      </c>
      <c r="I23" s="142"/>
      <c r="J23" s="142"/>
      <c r="K23" s="235" t="s">
        <v>11110</v>
      </c>
      <c r="L23" s="463"/>
      <c r="M23" s="167" t="s">
        <v>11111</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horneados")</f>
        <v>Plátanos horneados</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11112</v>
      </c>
      <c r="AF23" s="222"/>
      <c r="AG23" s="464" t="s">
        <v>11113</v>
      </c>
      <c r="AH23" s="466"/>
      <c r="AI23" s="466"/>
      <c r="AJ23" s="467" t="s">
        <v>11114</v>
      </c>
      <c r="AK23" s="461"/>
      <c r="AL23" s="167" t="s">
        <v>11115</v>
      </c>
      <c r="AM23" s="198"/>
      <c r="AN23" s="198"/>
      <c r="AO23" s="197" t="s">
        <v>11116</v>
      </c>
      <c r="AP23" s="463"/>
      <c r="AQ23" s="198" t="s">
        <v>11117</v>
      </c>
      <c r="AR23" s="142"/>
      <c r="AS23" s="142"/>
      <c r="AT23" s="149" t="s">
        <v>11110</v>
      </c>
      <c r="AU23" s="468"/>
      <c r="AV23" s="198" t="s">
        <v>11111</v>
      </c>
      <c r="AW23" s="76"/>
      <c r="AX23" s="76"/>
      <c r="AY23" s="149"/>
      <c r="AZ23" s="468"/>
      <c r="BA23" s="198"/>
      <c r="BB23" s="76"/>
      <c r="BC23" s="76"/>
      <c r="BD23" s="76"/>
      <c r="BE23" s="76"/>
      <c r="BF23" s="76"/>
      <c r="BG23" s="76"/>
      <c r="BH23" s="76"/>
    </row>
    <row r="24">
      <c r="A24" s="149" t="s">
        <v>11118</v>
      </c>
      <c r="B24" s="463"/>
      <c r="C24" s="464" t="s">
        <v>6084</v>
      </c>
      <c r="D24" s="464" t="s">
        <v>6931</v>
      </c>
      <c r="E24" s="464" t="s">
        <v>11119</v>
      </c>
      <c r="F24" s="149" t="s">
        <v>11120</v>
      </c>
      <c r="G24" s="463"/>
      <c r="H24" s="464" t="s">
        <v>11012</v>
      </c>
      <c r="I24" s="464" t="s">
        <v>11121</v>
      </c>
      <c r="J24" s="464" t="s">
        <v>11122</v>
      </c>
      <c r="K24" s="243" t="s">
        <v>11123</v>
      </c>
      <c r="L24" s="463"/>
      <c r="M24" s="167" t="s">
        <v>6089</v>
      </c>
      <c r="N24" s="167" t="s">
        <v>6933</v>
      </c>
      <c r="O24" s="167" t="s">
        <v>11124</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11015</v>
      </c>
      <c r="AC24" s="198" t="str">
        <f>IFERROR(__xludf.DUMMYFUNCTION("GOOGLETRANSLATE(D24,""zh-tw"",""KO"")"),"감자")</f>
        <v>감자</v>
      </c>
      <c r="AD24" s="198" t="str">
        <f>IFERROR(__xludf.DUMMYFUNCTION("GOOGLETRANSLATE(E24,""zh-tw"",""KO"")"),"당근")</f>
        <v>당근</v>
      </c>
      <c r="AE24" s="465" t="s">
        <v>11125</v>
      </c>
      <c r="AF24" s="222"/>
      <c r="AG24" s="464" t="s">
        <v>11126</v>
      </c>
      <c r="AH24" s="464" t="s">
        <v>6936</v>
      </c>
      <c r="AI24" s="464" t="s">
        <v>11127</v>
      </c>
      <c r="AJ24" s="467" t="s">
        <v>11128</v>
      </c>
      <c r="AK24" s="461"/>
      <c r="AL24" s="167" t="s">
        <v>11019</v>
      </c>
      <c r="AM24" s="167" t="s">
        <v>6938</v>
      </c>
      <c r="AN24" s="167" t="s">
        <v>6938</v>
      </c>
      <c r="AO24" s="197" t="s">
        <v>11129</v>
      </c>
      <c r="AP24" s="463"/>
      <c r="AQ24" s="198" t="s">
        <v>6095</v>
      </c>
      <c r="AR24" s="198" t="s">
        <v>6940</v>
      </c>
      <c r="AS24" s="198" t="s">
        <v>11130</v>
      </c>
      <c r="AT24" s="149" t="s">
        <v>11123</v>
      </c>
      <c r="AU24" s="468"/>
      <c r="AV24" s="198" t="s">
        <v>6097</v>
      </c>
      <c r="AW24" s="198" t="s">
        <v>6942</v>
      </c>
      <c r="AX24" s="198" t="s">
        <v>11131</v>
      </c>
      <c r="AY24" s="149"/>
      <c r="AZ24" s="468"/>
      <c r="BA24" s="198"/>
      <c r="BB24" s="198"/>
      <c r="BC24" s="198"/>
      <c r="BD24" s="198"/>
      <c r="BE24" s="198"/>
      <c r="BF24" s="198"/>
      <c r="BG24" s="198"/>
      <c r="BH24" s="198"/>
    </row>
    <row r="25">
      <c r="A25" s="149" t="s">
        <v>11132</v>
      </c>
      <c r="B25" s="463"/>
      <c r="C25" s="464" t="s">
        <v>11133</v>
      </c>
      <c r="D25" s="142"/>
      <c r="E25" s="142"/>
      <c r="F25" s="149" t="s">
        <v>11134</v>
      </c>
      <c r="G25" s="463"/>
      <c r="H25" s="464" t="s">
        <v>11135</v>
      </c>
      <c r="I25" s="142"/>
      <c r="J25" s="142"/>
      <c r="K25" s="243" t="s">
        <v>11136</v>
      </c>
      <c r="L25" s="463"/>
      <c r="M25" s="167" t="s">
        <v>11137</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11138</v>
      </c>
      <c r="AA25" s="461"/>
      <c r="AB25" s="167" t="s">
        <v>11139</v>
      </c>
      <c r="AC25" s="198"/>
      <c r="AD25" s="198"/>
      <c r="AE25" s="465" t="s">
        <v>11140</v>
      </c>
      <c r="AF25" s="222"/>
      <c r="AG25" s="464" t="s">
        <v>11141</v>
      </c>
      <c r="AH25" s="466"/>
      <c r="AI25" s="466"/>
      <c r="AJ25" s="467" t="s">
        <v>11142</v>
      </c>
      <c r="AK25" s="461"/>
      <c r="AL25" s="167" t="s">
        <v>11143</v>
      </c>
      <c r="AM25" s="198"/>
      <c r="AN25" s="198"/>
      <c r="AO25" s="197" t="s">
        <v>11144</v>
      </c>
      <c r="AP25" s="463"/>
      <c r="AQ25" s="198" t="s">
        <v>11145</v>
      </c>
      <c r="AR25" s="142"/>
      <c r="AS25" s="142"/>
      <c r="AT25" s="149" t="s">
        <v>11146</v>
      </c>
      <c r="AU25" s="468"/>
      <c r="AV25" s="198" t="s">
        <v>11147</v>
      </c>
      <c r="AW25" s="76"/>
      <c r="AX25" s="76"/>
      <c r="AY25" s="149"/>
      <c r="AZ25" s="468"/>
      <c r="BA25" s="198"/>
      <c r="BB25" s="76"/>
      <c r="BC25" s="76"/>
      <c r="BD25" s="76"/>
      <c r="BE25" s="76"/>
      <c r="BF25" s="76"/>
      <c r="BG25" s="76"/>
      <c r="BH25" s="76"/>
    </row>
    <row r="26">
      <c r="A26" s="179" t="s">
        <v>11148</v>
      </c>
      <c r="B26" s="463"/>
      <c r="C26" s="464" t="s">
        <v>11149</v>
      </c>
      <c r="D26" s="464" t="s">
        <v>11149</v>
      </c>
      <c r="E26" s="464" t="s">
        <v>11149</v>
      </c>
      <c r="F26" s="149" t="s">
        <v>11150</v>
      </c>
      <c r="G26" s="463"/>
      <c r="H26" s="464" t="s">
        <v>11122</v>
      </c>
      <c r="I26" s="464" t="s">
        <v>11122</v>
      </c>
      <c r="J26" s="464" t="s">
        <v>11122</v>
      </c>
      <c r="K26" s="235" t="s">
        <v>11151</v>
      </c>
      <c r="L26" s="463"/>
      <c r="M26" s="167" t="s">
        <v>11124</v>
      </c>
      <c r="N26" s="167" t="s">
        <v>11124</v>
      </c>
      <c r="O26" s="167" t="s">
        <v>11124</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11152</v>
      </c>
      <c r="AA26" s="461"/>
      <c r="AB26" s="469" t="s">
        <v>11153</v>
      </c>
      <c r="AC26" s="469" t="s">
        <v>11153</v>
      </c>
      <c r="AD26" s="167" t="s">
        <v>11153</v>
      </c>
      <c r="AE26" s="465" t="s">
        <v>11154</v>
      </c>
      <c r="AF26" s="222"/>
      <c r="AG26" s="464" t="s">
        <v>11155</v>
      </c>
      <c r="AH26" s="464" t="s">
        <v>11155</v>
      </c>
      <c r="AI26" s="464" t="s">
        <v>11155</v>
      </c>
      <c r="AJ26" s="467" t="s">
        <v>11156</v>
      </c>
      <c r="AK26" s="461"/>
      <c r="AL26" s="167" t="s">
        <v>11157</v>
      </c>
      <c r="AM26" s="167" t="s">
        <v>11157</v>
      </c>
      <c r="AN26" s="167" t="s">
        <v>11157</v>
      </c>
      <c r="AO26" s="153" t="s">
        <v>11158</v>
      </c>
      <c r="AP26" s="463"/>
      <c r="AQ26" s="198" t="s">
        <v>11130</v>
      </c>
      <c r="AR26" s="198" t="s">
        <v>11130</v>
      </c>
      <c r="AS26" s="198" t="s">
        <v>11130</v>
      </c>
      <c r="AT26" s="149" t="s">
        <v>11159</v>
      </c>
      <c r="AU26" s="468"/>
      <c r="AV26" s="198" t="s">
        <v>11131</v>
      </c>
      <c r="AW26" s="198" t="s">
        <v>11131</v>
      </c>
      <c r="AX26" s="198" t="s">
        <v>11131</v>
      </c>
      <c r="AY26" s="149"/>
      <c r="AZ26" s="468"/>
      <c r="BA26" s="198"/>
      <c r="BB26" s="198"/>
      <c r="BC26" s="198"/>
      <c r="BD26" s="198"/>
      <c r="BE26" s="198"/>
      <c r="BF26" s="198"/>
      <c r="BG26" s="198"/>
      <c r="BH26" s="198"/>
    </row>
    <row r="27">
      <c r="A27" s="149" t="s">
        <v>11160</v>
      </c>
      <c r="B27" s="463"/>
      <c r="C27" s="464" t="s">
        <v>6931</v>
      </c>
      <c r="D27" s="142"/>
      <c r="E27" s="142"/>
      <c r="F27" s="149" t="s">
        <v>11161</v>
      </c>
      <c r="G27" s="463"/>
      <c r="H27" s="464" t="s">
        <v>11121</v>
      </c>
      <c r="I27" s="142"/>
      <c r="J27" s="142"/>
      <c r="K27" s="243" t="s">
        <v>11162</v>
      </c>
      <c r="L27" s="463"/>
      <c r="M27" s="167" t="s">
        <v>6933</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11163</v>
      </c>
      <c r="AA27" s="461"/>
      <c r="AB27" s="198" t="str">
        <f>IFERROR(__xludf.DUMMYFUNCTION("GOOGLETRANSLATE(C27,""zh-tw"",""KO"")"),"감자")</f>
        <v>감자</v>
      </c>
      <c r="AC27" s="198"/>
      <c r="AD27" s="198"/>
      <c r="AE27" s="465" t="s">
        <v>11164</v>
      </c>
      <c r="AF27" s="222"/>
      <c r="AG27" s="464" t="s">
        <v>6936</v>
      </c>
      <c r="AH27" s="466"/>
      <c r="AI27" s="466"/>
      <c r="AJ27" s="467" t="s">
        <v>11165</v>
      </c>
      <c r="AK27" s="461"/>
      <c r="AL27" s="167" t="s">
        <v>6938</v>
      </c>
      <c r="AM27" s="198"/>
      <c r="AN27" s="198"/>
      <c r="AO27" s="197" t="s">
        <v>11166</v>
      </c>
      <c r="AP27" s="463"/>
      <c r="AQ27" s="198" t="s">
        <v>6940</v>
      </c>
      <c r="AR27" s="142"/>
      <c r="AS27" s="142"/>
      <c r="AT27" s="149" t="s">
        <v>11167</v>
      </c>
      <c r="AU27" s="468"/>
      <c r="AV27" s="198" t="s">
        <v>6942</v>
      </c>
      <c r="AW27" s="76"/>
      <c r="AX27" s="76"/>
      <c r="AY27" s="149"/>
      <c r="AZ27" s="468"/>
      <c r="BA27" s="198"/>
      <c r="BB27" s="76"/>
      <c r="BC27" s="76"/>
      <c r="BD27" s="76"/>
      <c r="BE27" s="76"/>
      <c r="BF27" s="76"/>
      <c r="BG27" s="76"/>
      <c r="BH27" s="76"/>
    </row>
    <row r="28">
      <c r="A28" s="149" t="s">
        <v>11168</v>
      </c>
      <c r="B28" s="463"/>
      <c r="C28" s="464" t="s">
        <v>11119</v>
      </c>
      <c r="D28" s="464" t="s">
        <v>11169</v>
      </c>
      <c r="E28" s="142"/>
      <c r="F28" s="149" t="s">
        <v>11170</v>
      </c>
      <c r="G28" s="463"/>
      <c r="H28" s="464" t="s">
        <v>11122</v>
      </c>
      <c r="I28" s="464" t="s">
        <v>11171</v>
      </c>
      <c r="J28" s="142"/>
      <c r="K28" s="243" t="s">
        <v>11172</v>
      </c>
      <c r="L28" s="463"/>
      <c r="M28" s="167" t="s">
        <v>11124</v>
      </c>
      <c r="N28" s="167" t="s">
        <v>10971</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11173</v>
      </c>
      <c r="AA28" s="461"/>
      <c r="AB28" s="198" t="str">
        <f>IFERROR(__xludf.DUMMYFUNCTION("GOOGLETRANSLATE(C28,""zh-tw"",""KO"")"),"당근")</f>
        <v>당근</v>
      </c>
      <c r="AC28" s="198" t="str">
        <f>IFERROR(__xludf.DUMMYFUNCTION("GOOGLETRANSLATE(D28,""zh-tw"",""KO"")"),"버섯")</f>
        <v>버섯</v>
      </c>
      <c r="AD28" s="198"/>
      <c r="AE28" s="465" t="s">
        <v>11174</v>
      </c>
      <c r="AF28" s="222"/>
      <c r="AG28" s="464" t="s">
        <v>11127</v>
      </c>
      <c r="AH28" s="464" t="s">
        <v>6779</v>
      </c>
      <c r="AI28" s="466"/>
      <c r="AJ28" s="467" t="s">
        <v>11175</v>
      </c>
      <c r="AK28" s="461"/>
      <c r="AL28" s="167" t="s">
        <v>11176</v>
      </c>
      <c r="AM28" s="198" t="str">
        <f>IFERROR(__xludf.DUMMYFUNCTION("GOOGLETRANSLATE(D28,""zh-tw"",""de"")"),"Pilze")</f>
        <v>Pilze</v>
      </c>
      <c r="AN28" s="198"/>
      <c r="AO28" s="197" t="s">
        <v>11177</v>
      </c>
      <c r="AP28" s="463"/>
      <c r="AQ28" s="198" t="s">
        <v>11130</v>
      </c>
      <c r="AR28" s="198" t="s">
        <v>10978</v>
      </c>
      <c r="AS28" s="142"/>
      <c r="AT28" s="149" t="s">
        <v>11178</v>
      </c>
      <c r="AU28" s="468"/>
      <c r="AV28" s="198" t="s">
        <v>11131</v>
      </c>
      <c r="AW28" s="198" t="s">
        <v>10980</v>
      </c>
      <c r="AX28" s="76"/>
      <c r="AY28" s="149"/>
      <c r="AZ28" s="468"/>
      <c r="BA28" s="198"/>
      <c r="BB28" s="198"/>
      <c r="BC28" s="76"/>
      <c r="BD28" s="76"/>
      <c r="BE28" s="76"/>
      <c r="BF28" s="76"/>
      <c r="BG28" s="76"/>
      <c r="BH28" s="76"/>
    </row>
    <row r="29">
      <c r="A29" s="149" t="s">
        <v>11179</v>
      </c>
      <c r="B29" s="463"/>
      <c r="C29" s="464" t="s">
        <v>11180</v>
      </c>
      <c r="D29" s="142"/>
      <c r="E29" s="142"/>
      <c r="F29" s="149" t="s">
        <v>11181</v>
      </c>
      <c r="G29" s="463"/>
      <c r="H29" s="464" t="s">
        <v>11182</v>
      </c>
      <c r="I29" s="142"/>
      <c r="J29" s="142"/>
      <c r="K29" s="243" t="s">
        <v>11183</v>
      </c>
      <c r="L29" s="463"/>
      <c r="M29" s="167" t="s">
        <v>11184</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10909</v>
      </c>
      <c r="AF29" s="222"/>
      <c r="AG29" s="464" t="s">
        <v>10909</v>
      </c>
      <c r="AH29" s="466"/>
      <c r="AI29" s="466"/>
      <c r="AJ29" s="467" t="s">
        <v>11185</v>
      </c>
      <c r="AK29" s="461"/>
      <c r="AL29" s="167" t="s">
        <v>11184</v>
      </c>
      <c r="AM29" s="198"/>
      <c r="AN29" s="198"/>
      <c r="AO29" s="197" t="s">
        <v>11183</v>
      </c>
      <c r="AP29" s="463"/>
      <c r="AQ29" s="198" t="s">
        <v>11186</v>
      </c>
      <c r="AR29" s="142"/>
      <c r="AS29" s="142"/>
      <c r="AT29" s="149" t="s">
        <v>11187</v>
      </c>
      <c r="AU29" s="468"/>
      <c r="AV29" s="198" t="s">
        <v>11188</v>
      </c>
      <c r="AW29" s="76"/>
      <c r="AX29" s="76"/>
      <c r="AY29" s="149"/>
      <c r="AZ29" s="468"/>
      <c r="BA29" s="198"/>
      <c r="BB29" s="76"/>
      <c r="BC29" s="76"/>
      <c r="BD29" s="76"/>
      <c r="BE29" s="76"/>
      <c r="BF29" s="76"/>
      <c r="BG29" s="76"/>
      <c r="BH29" s="76"/>
    </row>
    <row r="30">
      <c r="A30" s="149" t="s">
        <v>11189</v>
      </c>
      <c r="B30" s="463"/>
      <c r="C30" s="464" t="s">
        <v>11180</v>
      </c>
      <c r="D30" s="464" t="s">
        <v>11190</v>
      </c>
      <c r="E30" s="142"/>
      <c r="F30" s="149" t="s">
        <v>11191</v>
      </c>
      <c r="G30" s="463"/>
      <c r="H30" s="464" t="s">
        <v>11182</v>
      </c>
      <c r="I30" s="464" t="s">
        <v>11192</v>
      </c>
      <c r="J30" s="142"/>
      <c r="K30" s="243" t="s">
        <v>11193</v>
      </c>
      <c r="L30" s="463"/>
      <c r="M30" s="167" t="s">
        <v>11184</v>
      </c>
      <c r="N30" s="167" t="s">
        <v>11194</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de tomate")</f>
        <v>Pasta de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11195</v>
      </c>
      <c r="AF30" s="222"/>
      <c r="AG30" s="464" t="s">
        <v>10909</v>
      </c>
      <c r="AH30" s="464" t="s">
        <v>11196</v>
      </c>
      <c r="AI30" s="466"/>
      <c r="AJ30" s="467" t="s">
        <v>11197</v>
      </c>
      <c r="AK30" s="461"/>
      <c r="AL30" s="167" t="s">
        <v>11184</v>
      </c>
      <c r="AM30" s="167" t="s">
        <v>11198</v>
      </c>
      <c r="AN30" s="198"/>
      <c r="AO30" s="197" t="s">
        <v>11199</v>
      </c>
      <c r="AP30" s="463"/>
      <c r="AQ30" s="198" t="s">
        <v>11186</v>
      </c>
      <c r="AR30" s="198" t="s">
        <v>11200</v>
      </c>
      <c r="AS30" s="142"/>
      <c r="AT30" s="149" t="s">
        <v>11201</v>
      </c>
      <c r="AU30" s="468"/>
      <c r="AV30" s="198" t="s">
        <v>11188</v>
      </c>
      <c r="AW30" s="198" t="s">
        <v>11202</v>
      </c>
      <c r="AX30" s="76"/>
      <c r="AY30" s="149"/>
      <c r="AZ30" s="468"/>
      <c r="BA30" s="198"/>
      <c r="BB30" s="198"/>
      <c r="BC30" s="76"/>
      <c r="BD30" s="76"/>
      <c r="BE30" s="76"/>
      <c r="BF30" s="76"/>
      <c r="BG30" s="76"/>
      <c r="BH30" s="76"/>
    </row>
    <row r="31">
      <c r="A31" s="149" t="s">
        <v>11203</v>
      </c>
      <c r="B31" s="463"/>
      <c r="C31" s="464" t="s">
        <v>11180</v>
      </c>
      <c r="D31" s="464" t="s">
        <v>11204</v>
      </c>
      <c r="E31" s="142"/>
      <c r="F31" s="149" t="s">
        <v>11205</v>
      </c>
      <c r="G31" s="463"/>
      <c r="H31" s="464" t="s">
        <v>11182</v>
      </c>
      <c r="I31" s="464" t="s">
        <v>11206</v>
      </c>
      <c r="J31" s="142"/>
      <c r="K31" s="243" t="s">
        <v>11207</v>
      </c>
      <c r="L31" s="463"/>
      <c r="M31" s="167" t="s">
        <v>11184</v>
      </c>
      <c r="N31" s="167" t="s">
        <v>11208</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11209</v>
      </c>
      <c r="AD31" s="198"/>
      <c r="AE31" s="465" t="s">
        <v>11210</v>
      </c>
      <c r="AF31" s="222"/>
      <c r="AG31" s="464" t="s">
        <v>10909</v>
      </c>
      <c r="AH31" s="464" t="s">
        <v>11211</v>
      </c>
      <c r="AI31" s="466"/>
      <c r="AJ31" s="467" t="s">
        <v>11212</v>
      </c>
      <c r="AK31" s="461"/>
      <c r="AL31" s="167" t="s">
        <v>11184</v>
      </c>
      <c r="AM31" s="167" t="s">
        <v>11213</v>
      </c>
      <c r="AN31" s="198"/>
      <c r="AO31" s="197" t="s">
        <v>11214</v>
      </c>
      <c r="AP31" s="463"/>
      <c r="AQ31" s="198" t="s">
        <v>11186</v>
      </c>
      <c r="AR31" s="198" t="s">
        <v>11215</v>
      </c>
      <c r="AS31" s="142"/>
      <c r="AT31" s="149" t="s">
        <v>11216</v>
      </c>
      <c r="AU31" s="468"/>
      <c r="AV31" s="198" t="s">
        <v>11188</v>
      </c>
      <c r="AW31" s="198" t="s">
        <v>11217</v>
      </c>
      <c r="AX31" s="76"/>
      <c r="AY31" s="149"/>
      <c r="AZ31" s="468"/>
      <c r="BA31" s="198"/>
      <c r="BB31" s="198"/>
      <c r="BC31" s="76"/>
      <c r="BD31" s="76"/>
      <c r="BE31" s="76"/>
      <c r="BF31" s="76"/>
      <c r="BG31" s="76"/>
      <c r="BH31" s="76"/>
    </row>
    <row r="32">
      <c r="A32" s="149" t="s">
        <v>11218</v>
      </c>
      <c r="B32" s="463"/>
      <c r="C32" s="464" t="s">
        <v>10898</v>
      </c>
      <c r="D32" s="464" t="s">
        <v>10899</v>
      </c>
      <c r="E32" s="464" t="s">
        <v>6741</v>
      </c>
      <c r="F32" s="149" t="s">
        <v>11219</v>
      </c>
      <c r="G32" s="463"/>
      <c r="H32" s="464" t="s">
        <v>10901</v>
      </c>
      <c r="I32" s="464" t="s">
        <v>10902</v>
      </c>
      <c r="J32" s="464" t="s">
        <v>11220</v>
      </c>
      <c r="K32" s="235" t="s">
        <v>11221</v>
      </c>
      <c r="L32" s="463"/>
      <c r="M32" s="167" t="s">
        <v>10904</v>
      </c>
      <c r="N32" s="167" t="s">
        <v>10905</v>
      </c>
      <c r="O32" s="167" t="s">
        <v>6745</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10906</v>
      </c>
      <c r="AD32" s="167" t="s">
        <v>6748</v>
      </c>
      <c r="AE32" s="465" t="s">
        <v>11222</v>
      </c>
      <c r="AF32" s="222"/>
      <c r="AG32" s="464" t="s">
        <v>10908</v>
      </c>
      <c r="AH32" s="464" t="s">
        <v>10909</v>
      </c>
      <c r="AI32" s="464" t="s">
        <v>6750</v>
      </c>
      <c r="AJ32" s="467" t="s">
        <v>11223</v>
      </c>
      <c r="AK32" s="461"/>
      <c r="AL32" s="167" t="s">
        <v>10911</v>
      </c>
      <c r="AM32" s="167" t="s">
        <v>10912</v>
      </c>
      <c r="AN32" s="167" t="s">
        <v>11224</v>
      </c>
      <c r="AO32" s="197" t="s">
        <v>11225</v>
      </c>
      <c r="AP32" s="463"/>
      <c r="AQ32" s="198" t="s">
        <v>10914</v>
      </c>
      <c r="AR32" s="198" t="s">
        <v>10915</v>
      </c>
      <c r="AS32" s="198" t="s">
        <v>6756</v>
      </c>
      <c r="AT32" s="149" t="s">
        <v>11226</v>
      </c>
      <c r="AU32" s="468"/>
      <c r="AV32" s="198" t="s">
        <v>10917</v>
      </c>
      <c r="AW32" s="167" t="s">
        <v>10918</v>
      </c>
      <c r="AX32" s="198" t="s">
        <v>6759</v>
      </c>
      <c r="AY32" s="149"/>
      <c r="AZ32" s="468"/>
      <c r="BA32" s="198"/>
      <c r="BB32" s="167"/>
      <c r="BC32" s="198"/>
      <c r="BD32" s="198"/>
      <c r="BE32" s="198"/>
      <c r="BF32" s="198"/>
      <c r="BG32" s="198"/>
      <c r="BH32" s="198"/>
    </row>
    <row r="33">
      <c r="A33" s="149" t="s">
        <v>11227</v>
      </c>
      <c r="B33" s="463"/>
      <c r="C33" s="464" t="s">
        <v>10898</v>
      </c>
      <c r="D33" s="464" t="s">
        <v>6741</v>
      </c>
      <c r="E33" s="142"/>
      <c r="F33" s="149" t="s">
        <v>11228</v>
      </c>
      <c r="G33" s="463"/>
      <c r="H33" s="464" t="s">
        <v>10901</v>
      </c>
      <c r="I33" s="464" t="s">
        <v>11220</v>
      </c>
      <c r="J33" s="142"/>
      <c r="K33" s="243" t="s">
        <v>11229</v>
      </c>
      <c r="L33" s="463"/>
      <c r="M33" s="167" t="s">
        <v>10904</v>
      </c>
      <c r="N33" s="167" t="s">
        <v>11230</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11231</v>
      </c>
      <c r="AA33" s="461"/>
      <c r="AB33" s="198" t="str">
        <f>IFERROR(__xludf.DUMMYFUNCTION("GOOGLETRANSLATE(C33,""zh-tw"",""KO"")"),"흰쌀")</f>
        <v>흰쌀</v>
      </c>
      <c r="AC33" s="202" t="s">
        <v>6748</v>
      </c>
      <c r="AD33" s="198"/>
      <c r="AE33" s="465" t="s">
        <v>11232</v>
      </c>
      <c r="AF33" s="222"/>
      <c r="AG33" s="464" t="s">
        <v>10908</v>
      </c>
      <c r="AH33" s="464" t="s">
        <v>6750</v>
      </c>
      <c r="AI33" s="466"/>
      <c r="AJ33" s="467" t="s">
        <v>11233</v>
      </c>
      <c r="AK33" s="461"/>
      <c r="AL33" s="167" t="s">
        <v>10911</v>
      </c>
      <c r="AM33" s="167" t="s">
        <v>11224</v>
      </c>
      <c r="AN33" s="198"/>
      <c r="AO33" s="197" t="s">
        <v>11229</v>
      </c>
      <c r="AP33" s="463"/>
      <c r="AQ33" s="198" t="s">
        <v>10914</v>
      </c>
      <c r="AR33" s="198" t="s">
        <v>6756</v>
      </c>
      <c r="AS33" s="142"/>
      <c r="AT33" s="149" t="s">
        <v>11229</v>
      </c>
      <c r="AU33" s="468"/>
      <c r="AV33" s="198" t="s">
        <v>10917</v>
      </c>
      <c r="AW33" s="198" t="s">
        <v>6759</v>
      </c>
      <c r="AX33" s="76"/>
      <c r="AY33" s="149"/>
      <c r="AZ33" s="468"/>
      <c r="BA33" s="198"/>
      <c r="BB33" s="198"/>
      <c r="BC33" s="76"/>
      <c r="BD33" s="76"/>
      <c r="BE33" s="76"/>
      <c r="BF33" s="76"/>
      <c r="BG33" s="76"/>
      <c r="BH33" s="76"/>
    </row>
    <row r="34">
      <c r="A34" s="149" t="s">
        <v>11234</v>
      </c>
      <c r="B34" s="463"/>
      <c r="C34" s="464" t="s">
        <v>10898</v>
      </c>
      <c r="D34" s="464" t="s">
        <v>6741</v>
      </c>
      <c r="E34" s="464" t="s">
        <v>6946</v>
      </c>
      <c r="F34" s="149" t="s">
        <v>11235</v>
      </c>
      <c r="G34" s="463"/>
      <c r="H34" s="464" t="s">
        <v>10901</v>
      </c>
      <c r="I34" s="464" t="s">
        <v>11220</v>
      </c>
      <c r="J34" s="464" t="s">
        <v>11236</v>
      </c>
      <c r="K34" s="243" t="s">
        <v>11237</v>
      </c>
      <c r="L34" s="463"/>
      <c r="M34" s="167" t="s">
        <v>10904</v>
      </c>
      <c r="N34" s="167" t="s">
        <v>11230</v>
      </c>
      <c r="O34" s="167" t="s">
        <v>6948</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11238</v>
      </c>
      <c r="AA34" s="461"/>
      <c r="AB34" s="198" t="str">
        <f>IFERROR(__xludf.DUMMYFUNCTION("GOOGLETRANSLATE(C34,""zh-tw"",""KO"")"),"흰쌀")</f>
        <v>흰쌀</v>
      </c>
      <c r="AC34" s="202" t="s">
        <v>6748</v>
      </c>
      <c r="AD34" s="198" t="str">
        <f>IFERROR(__xludf.DUMMYFUNCTION("GOOGLETRANSLATE(E34,""zh-tw"",""KO"")"),"토마토")</f>
        <v>토마토</v>
      </c>
      <c r="AE34" s="465" t="s">
        <v>11239</v>
      </c>
      <c r="AF34" s="222"/>
      <c r="AG34" s="464" t="s">
        <v>10908</v>
      </c>
      <c r="AH34" s="464" t="s">
        <v>6750</v>
      </c>
      <c r="AI34" s="464" t="s">
        <v>6950</v>
      </c>
      <c r="AJ34" s="467" t="s">
        <v>11240</v>
      </c>
      <c r="AK34" s="461"/>
      <c r="AL34" s="167" t="s">
        <v>10911</v>
      </c>
      <c r="AM34" s="167" t="s">
        <v>11224</v>
      </c>
      <c r="AN34" s="167" t="s">
        <v>6956</v>
      </c>
      <c r="AO34" s="197" t="s">
        <v>11241</v>
      </c>
      <c r="AP34" s="463"/>
      <c r="AQ34" s="198" t="s">
        <v>10914</v>
      </c>
      <c r="AR34" s="198" t="s">
        <v>6756</v>
      </c>
      <c r="AS34" s="198" t="s">
        <v>6954</v>
      </c>
      <c r="AT34" s="149" t="s">
        <v>11242</v>
      </c>
      <c r="AU34" s="468"/>
      <c r="AV34" s="198" t="s">
        <v>10917</v>
      </c>
      <c r="AW34" s="198" t="s">
        <v>6759</v>
      </c>
      <c r="AX34" s="198" t="s">
        <v>6948</v>
      </c>
      <c r="AY34" s="149"/>
      <c r="AZ34" s="468"/>
      <c r="BA34" s="198"/>
      <c r="BB34" s="198"/>
      <c r="BC34" s="198"/>
      <c r="BD34" s="198"/>
      <c r="BE34" s="198"/>
      <c r="BF34" s="198"/>
      <c r="BG34" s="198"/>
      <c r="BH34" s="198"/>
    </row>
    <row r="35">
      <c r="A35" s="149" t="s">
        <v>11243</v>
      </c>
      <c r="B35" s="463"/>
      <c r="C35" s="464" t="s">
        <v>10898</v>
      </c>
      <c r="D35" s="464" t="s">
        <v>11244</v>
      </c>
      <c r="E35" s="142"/>
      <c r="F35" s="149" t="s">
        <v>11245</v>
      </c>
      <c r="G35" s="463"/>
      <c r="H35" s="464" t="s">
        <v>10901</v>
      </c>
      <c r="I35" s="464" t="s">
        <v>11246</v>
      </c>
      <c r="J35" s="142"/>
      <c r="K35" s="243" t="s">
        <v>11247</v>
      </c>
      <c r="L35" s="463"/>
      <c r="M35" s="167" t="s">
        <v>10904</v>
      </c>
      <c r="N35" s="167" t="s">
        <v>11208</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11248</v>
      </c>
      <c r="AD35" s="198"/>
      <c r="AE35" s="465" t="s">
        <v>11249</v>
      </c>
      <c r="AF35" s="222"/>
      <c r="AG35" s="464" t="s">
        <v>10908</v>
      </c>
      <c r="AH35" s="464" t="s">
        <v>11250</v>
      </c>
      <c r="AI35" s="466"/>
      <c r="AJ35" s="467" t="s">
        <v>11251</v>
      </c>
      <c r="AK35" s="461"/>
      <c r="AL35" s="167" t="s">
        <v>10911</v>
      </c>
      <c r="AM35" s="167" t="s">
        <v>11252</v>
      </c>
      <c r="AN35" s="198"/>
      <c r="AO35" s="197" t="s">
        <v>11253</v>
      </c>
      <c r="AP35" s="463"/>
      <c r="AQ35" s="198" t="s">
        <v>10914</v>
      </c>
      <c r="AR35" s="198" t="s">
        <v>11215</v>
      </c>
      <c r="AS35" s="142"/>
      <c r="AT35" s="149" t="s">
        <v>11254</v>
      </c>
      <c r="AU35" s="468"/>
      <c r="AV35" s="198" t="s">
        <v>10917</v>
      </c>
      <c r="AW35" s="198" t="s">
        <v>11217</v>
      </c>
      <c r="AX35" s="76"/>
      <c r="AY35" s="149"/>
      <c r="AZ35" s="468"/>
      <c r="BA35" s="198"/>
      <c r="BB35" s="198"/>
      <c r="BC35" s="76"/>
      <c r="BD35" s="76"/>
      <c r="BE35" s="76"/>
      <c r="BF35" s="76"/>
      <c r="BG35" s="76"/>
      <c r="BH35" s="76"/>
    </row>
    <row r="36">
      <c r="A36" s="149" t="s">
        <v>11255</v>
      </c>
      <c r="B36" s="463"/>
      <c r="C36" s="464" t="s">
        <v>11256</v>
      </c>
      <c r="D36" s="142"/>
      <c r="E36" s="142"/>
      <c r="F36" s="149" t="s">
        <v>11257</v>
      </c>
      <c r="G36" s="463"/>
      <c r="H36" s="464" t="s">
        <v>11258</v>
      </c>
      <c r="I36" s="142"/>
      <c r="J36" s="142"/>
      <c r="K36" s="235" t="s">
        <v>11259</v>
      </c>
      <c r="L36" s="463"/>
      <c r="M36" s="167" t="s">
        <v>11260</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11261</v>
      </c>
      <c r="AA36" s="461"/>
      <c r="AB36" s="198" t="str">
        <f>IFERROR(__xludf.DUMMYFUNCTION("GOOGLETRANSLATE(C36,""zh-tw"",""KO"")"),"파인애플")</f>
        <v>파인애플</v>
      </c>
      <c r="AC36" s="198"/>
      <c r="AD36" s="198"/>
      <c r="AE36" s="465" t="s">
        <v>11262</v>
      </c>
      <c r="AF36" s="222"/>
      <c r="AG36" s="464" t="s">
        <v>11263</v>
      </c>
      <c r="AH36" s="466"/>
      <c r="AI36" s="466"/>
      <c r="AJ36" s="467" t="s">
        <v>11264</v>
      </c>
      <c r="AK36" s="461"/>
      <c r="AL36" s="167" t="s">
        <v>11265</v>
      </c>
      <c r="AM36" s="198"/>
      <c r="AN36" s="198"/>
      <c r="AO36" s="197" t="s">
        <v>11266</v>
      </c>
      <c r="AP36" s="463"/>
      <c r="AQ36" s="198" t="s">
        <v>11267</v>
      </c>
      <c r="AR36" s="142"/>
      <c r="AS36" s="142"/>
      <c r="AT36" s="149" t="s">
        <v>11268</v>
      </c>
      <c r="AU36" s="468"/>
      <c r="AV36" s="198" t="s">
        <v>11269</v>
      </c>
      <c r="AW36" s="76"/>
      <c r="AX36" s="76"/>
      <c r="AY36" s="149"/>
      <c r="AZ36" s="468"/>
      <c r="BA36" s="198"/>
      <c r="BB36" s="76"/>
      <c r="BC36" s="76"/>
      <c r="BD36" s="76"/>
      <c r="BE36" s="76"/>
      <c r="BF36" s="76"/>
      <c r="BG36" s="76"/>
      <c r="BH36" s="76"/>
    </row>
    <row r="37">
      <c r="A37" s="179" t="s">
        <v>11270</v>
      </c>
      <c r="B37" s="463"/>
      <c r="C37" s="464" t="s">
        <v>11149</v>
      </c>
      <c r="D37" s="464" t="s">
        <v>11149</v>
      </c>
      <c r="E37" s="142"/>
      <c r="F37" s="149" t="s">
        <v>11271</v>
      </c>
      <c r="G37" s="463"/>
      <c r="H37" s="464" t="s">
        <v>11272</v>
      </c>
      <c r="I37" s="464" t="s">
        <v>11272</v>
      </c>
      <c r="J37" s="142"/>
      <c r="K37" s="243" t="s">
        <v>11273</v>
      </c>
      <c r="L37" s="463"/>
      <c r="M37" s="167" t="s">
        <v>11274</v>
      </c>
      <c r="N37" s="167" t="s">
        <v>11274</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11275</v>
      </c>
      <c r="AA37" s="461"/>
      <c r="AB37" s="198" t="str">
        <f>IFERROR(__xludf.DUMMYFUNCTION("GOOGLETRANSLATE(C37,""zh-tw"",""KO"")"),"채소")</f>
        <v>채소</v>
      </c>
      <c r="AC37" s="198" t="str">
        <f>IFERROR(__xludf.DUMMYFUNCTION("GOOGLETRANSLATE(D37,""zh-tw"",""KO"")"),"채소")</f>
        <v>채소</v>
      </c>
      <c r="AD37" s="198"/>
      <c r="AE37" s="465" t="s">
        <v>11276</v>
      </c>
      <c r="AF37" s="222"/>
      <c r="AG37" s="464" t="s">
        <v>11155</v>
      </c>
      <c r="AH37" s="464" t="s">
        <v>11155</v>
      </c>
      <c r="AI37" s="466"/>
      <c r="AJ37" s="467" t="s">
        <v>11277</v>
      </c>
      <c r="AK37" s="461"/>
      <c r="AL37" s="167" t="s">
        <v>11157</v>
      </c>
      <c r="AM37" s="167" t="s">
        <v>11157</v>
      </c>
      <c r="AN37" s="198"/>
      <c r="AO37" s="153" t="s">
        <v>11278</v>
      </c>
      <c r="AP37" s="463"/>
      <c r="AQ37" s="198" t="s">
        <v>11279</v>
      </c>
      <c r="AR37" s="198" t="s">
        <v>11279</v>
      </c>
      <c r="AS37" s="142"/>
      <c r="AT37" s="149" t="s">
        <v>11280</v>
      </c>
      <c r="AU37" s="468"/>
      <c r="AV37" s="198" t="s">
        <v>11281</v>
      </c>
      <c r="AW37" s="198" t="s">
        <v>11281</v>
      </c>
      <c r="AX37" s="76"/>
      <c r="AY37" s="149"/>
      <c r="AZ37" s="468"/>
      <c r="BA37" s="198"/>
      <c r="BB37" s="198"/>
      <c r="BC37" s="76"/>
      <c r="BD37" s="76"/>
      <c r="BE37" s="76"/>
      <c r="BF37" s="76"/>
      <c r="BG37" s="76"/>
      <c r="BH37" s="76"/>
    </row>
    <row r="38">
      <c r="A38" s="149" t="s">
        <v>11282</v>
      </c>
      <c r="B38" s="447" t="s">
        <v>589</v>
      </c>
      <c r="C38" s="464" t="s">
        <v>11283</v>
      </c>
      <c r="D38" s="464" t="s">
        <v>11283</v>
      </c>
      <c r="E38" s="464" t="s">
        <v>10920</v>
      </c>
      <c r="F38" s="149" t="s">
        <v>11284</v>
      </c>
      <c r="G38" s="447" t="s">
        <v>589</v>
      </c>
      <c r="H38" s="464" t="s">
        <v>11285</v>
      </c>
      <c r="I38" s="464" t="s">
        <v>11285</v>
      </c>
      <c r="J38" s="464" t="s">
        <v>10922</v>
      </c>
      <c r="K38" s="235" t="s">
        <v>11286</v>
      </c>
      <c r="L38" s="447" t="s">
        <v>589</v>
      </c>
      <c r="M38" s="167" t="s">
        <v>11287</v>
      </c>
      <c r="N38" s="167" t="s">
        <v>11287</v>
      </c>
      <c r="O38" s="167" t="s">
        <v>10924</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11288</v>
      </c>
      <c r="AA38" s="461" t="s">
        <v>589</v>
      </c>
      <c r="AB38" s="167" t="s">
        <v>11289</v>
      </c>
      <c r="AC38" s="167" t="s">
        <v>11289</v>
      </c>
      <c r="AD38" s="198" t="str">
        <f>IFERROR(__xludf.DUMMYFUNCTION("GOOGLETRANSLATE(E38,""zh-tw"",""KO"")"),"밀가루")</f>
        <v>밀가루</v>
      </c>
      <c r="AE38" s="465" t="s">
        <v>11290</v>
      </c>
      <c r="AF38" s="460" t="s">
        <v>10859</v>
      </c>
      <c r="AG38" s="464" t="s">
        <v>11291</v>
      </c>
      <c r="AH38" s="464" t="s">
        <v>11291</v>
      </c>
      <c r="AI38" s="464" t="s">
        <v>10926</v>
      </c>
      <c r="AJ38" s="467" t="s">
        <v>11292</v>
      </c>
      <c r="AK38" s="461" t="s">
        <v>589</v>
      </c>
      <c r="AL38" s="167" t="s">
        <v>11293</v>
      </c>
      <c r="AM38" s="167" t="s">
        <v>11293</v>
      </c>
      <c r="AN38" s="167" t="s">
        <v>10928</v>
      </c>
      <c r="AO38" s="197" t="s">
        <v>11294</v>
      </c>
      <c r="AP38" s="447" t="s">
        <v>589</v>
      </c>
      <c r="AQ38" s="198" t="s">
        <v>11295</v>
      </c>
      <c r="AR38" s="198" t="s">
        <v>11295</v>
      </c>
      <c r="AS38" s="198" t="s">
        <v>10930</v>
      </c>
      <c r="AT38" s="149" t="s">
        <v>11296</v>
      </c>
      <c r="AU38" s="447" t="s">
        <v>589</v>
      </c>
      <c r="AV38" s="198" t="s">
        <v>11297</v>
      </c>
      <c r="AW38" s="198" t="s">
        <v>11297</v>
      </c>
      <c r="AX38" s="198" t="s">
        <v>10932</v>
      </c>
      <c r="AY38" s="149"/>
      <c r="AZ38" s="447"/>
      <c r="BA38" s="198"/>
      <c r="BB38" s="198"/>
      <c r="BC38" s="198"/>
      <c r="BD38" s="198"/>
      <c r="BE38" s="198"/>
      <c r="BF38" s="198"/>
      <c r="BG38" s="198"/>
      <c r="BH38" s="198"/>
    </row>
    <row r="39">
      <c r="A39" s="179" t="s">
        <v>11298</v>
      </c>
      <c r="B39" s="447" t="s">
        <v>589</v>
      </c>
      <c r="C39" s="464" t="s">
        <v>11283</v>
      </c>
      <c r="D39" s="142"/>
      <c r="E39" s="142"/>
      <c r="F39" s="149" t="s">
        <v>11299</v>
      </c>
      <c r="G39" s="447" t="s">
        <v>589</v>
      </c>
      <c r="H39" s="464" t="s">
        <v>11285</v>
      </c>
      <c r="I39" s="142"/>
      <c r="J39" s="142"/>
      <c r="K39" s="243" t="s">
        <v>11300</v>
      </c>
      <c r="L39" s="447" t="s">
        <v>589</v>
      </c>
      <c r="M39" s="167" t="s">
        <v>11287</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589</v>
      </c>
      <c r="AB39" s="167" t="s">
        <v>11289</v>
      </c>
      <c r="AC39" s="198"/>
      <c r="AD39" s="198"/>
      <c r="AE39" s="465" t="s">
        <v>11301</v>
      </c>
      <c r="AF39" s="460" t="s">
        <v>10859</v>
      </c>
      <c r="AG39" s="464" t="s">
        <v>11291</v>
      </c>
      <c r="AH39" s="466"/>
      <c r="AI39" s="466"/>
      <c r="AJ39" s="467" t="s">
        <v>11302</v>
      </c>
      <c r="AK39" s="461" t="s">
        <v>589</v>
      </c>
      <c r="AL39" s="167" t="s">
        <v>11293</v>
      </c>
      <c r="AM39" s="198"/>
      <c r="AN39" s="198"/>
      <c r="AO39" s="153" t="s">
        <v>11303</v>
      </c>
      <c r="AP39" s="447" t="s">
        <v>589</v>
      </c>
      <c r="AQ39" s="198" t="s">
        <v>11295</v>
      </c>
      <c r="AR39" s="142"/>
      <c r="AS39" s="142"/>
      <c r="AT39" s="149" t="s">
        <v>11304</v>
      </c>
      <c r="AU39" s="447" t="s">
        <v>589</v>
      </c>
      <c r="AV39" s="198" t="s">
        <v>11297</v>
      </c>
      <c r="AW39" s="76"/>
      <c r="AX39" s="76"/>
      <c r="AY39" s="149"/>
      <c r="AZ39" s="447"/>
      <c r="BA39" s="198"/>
      <c r="BB39" s="76"/>
      <c r="BC39" s="76"/>
      <c r="BD39" s="76"/>
      <c r="BE39" s="76"/>
      <c r="BF39" s="76"/>
      <c r="BG39" s="76"/>
      <c r="BH39" s="76"/>
    </row>
    <row r="40">
      <c r="A40" s="149" t="s">
        <v>11305</v>
      </c>
      <c r="B40" s="447" t="s">
        <v>589</v>
      </c>
      <c r="C40" s="464" t="s">
        <v>10898</v>
      </c>
      <c r="D40" s="464" t="s">
        <v>11283</v>
      </c>
      <c r="E40" s="142"/>
      <c r="F40" s="149" t="s">
        <v>11306</v>
      </c>
      <c r="G40" s="447" t="s">
        <v>589</v>
      </c>
      <c r="H40" s="464" t="s">
        <v>10901</v>
      </c>
      <c r="I40" s="464" t="s">
        <v>11285</v>
      </c>
      <c r="J40" s="142"/>
      <c r="K40" s="243" t="s">
        <v>11307</v>
      </c>
      <c r="L40" s="447" t="s">
        <v>589</v>
      </c>
      <c r="M40" s="167" t="s">
        <v>11047</v>
      </c>
      <c r="N40" s="167" t="s">
        <v>11287</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11308</v>
      </c>
      <c r="AA40" s="461" t="s">
        <v>589</v>
      </c>
      <c r="AB40" s="198" t="str">
        <f>IFERROR(__xludf.DUMMYFUNCTION("GOOGLETRANSLATE(C40,""zh-tw"",""KO"")"),"흰쌀")</f>
        <v>흰쌀</v>
      </c>
      <c r="AC40" s="167" t="s">
        <v>11289</v>
      </c>
      <c r="AD40" s="198"/>
      <c r="AE40" s="465" t="s">
        <v>11309</v>
      </c>
      <c r="AF40" s="460" t="s">
        <v>10859</v>
      </c>
      <c r="AG40" s="464" t="s">
        <v>10908</v>
      </c>
      <c r="AH40" s="464" t="s">
        <v>11291</v>
      </c>
      <c r="AI40" s="466"/>
      <c r="AJ40" s="467" t="s">
        <v>11310</v>
      </c>
      <c r="AK40" s="461" t="s">
        <v>589</v>
      </c>
      <c r="AL40" s="167" t="s">
        <v>10911</v>
      </c>
      <c r="AM40" s="167" t="s">
        <v>11293</v>
      </c>
      <c r="AN40" s="198"/>
      <c r="AO40" s="197" t="s">
        <v>11307</v>
      </c>
      <c r="AP40" s="447" t="s">
        <v>589</v>
      </c>
      <c r="AQ40" s="198" t="s">
        <v>10914</v>
      </c>
      <c r="AR40" s="198" t="s">
        <v>11295</v>
      </c>
      <c r="AS40" s="142"/>
      <c r="AT40" s="149" t="s">
        <v>11307</v>
      </c>
      <c r="AU40" s="447" t="s">
        <v>589</v>
      </c>
      <c r="AV40" s="198" t="s">
        <v>10917</v>
      </c>
      <c r="AW40" s="198" t="s">
        <v>11297</v>
      </c>
      <c r="AX40" s="76"/>
      <c r="AY40" s="149"/>
      <c r="AZ40" s="447"/>
      <c r="BA40" s="198"/>
      <c r="BB40" s="198"/>
      <c r="BC40" s="76"/>
      <c r="BD40" s="76"/>
      <c r="BE40" s="76"/>
      <c r="BF40" s="76"/>
      <c r="BG40" s="76"/>
      <c r="BH40" s="76"/>
    </row>
    <row r="41">
      <c r="A41" s="149" t="s">
        <v>11311</v>
      </c>
      <c r="B41" s="463"/>
      <c r="C41" s="464" t="s">
        <v>11312</v>
      </c>
      <c r="D41" s="464" t="s">
        <v>11312</v>
      </c>
      <c r="E41" s="464" t="s">
        <v>11312</v>
      </c>
      <c r="F41" s="149" t="s">
        <v>11313</v>
      </c>
      <c r="G41" s="470"/>
      <c r="H41" s="464" t="s">
        <v>11246</v>
      </c>
      <c r="I41" s="464" t="s">
        <v>11246</v>
      </c>
      <c r="J41" s="464" t="s">
        <v>11246</v>
      </c>
      <c r="K41" s="243" t="s">
        <v>11314</v>
      </c>
      <c r="L41" s="463"/>
      <c r="M41" s="167" t="s">
        <v>11315</v>
      </c>
      <c r="N41" s="167" t="s">
        <v>11315</v>
      </c>
      <c r="O41" s="167" t="s">
        <v>11315</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11316</v>
      </c>
      <c r="AA41" s="461"/>
      <c r="AB41" s="167" t="s">
        <v>11248</v>
      </c>
      <c r="AC41" s="167" t="s">
        <v>11248</v>
      </c>
      <c r="AD41" s="167" t="s">
        <v>11248</v>
      </c>
      <c r="AE41" s="465" t="s">
        <v>11317</v>
      </c>
      <c r="AF41" s="222"/>
      <c r="AG41" s="464" t="s">
        <v>11250</v>
      </c>
      <c r="AH41" s="464" t="s">
        <v>11250</v>
      </c>
      <c r="AI41" s="464" t="s">
        <v>11250</v>
      </c>
      <c r="AJ41" s="467" t="s">
        <v>11318</v>
      </c>
      <c r="AK41" s="461"/>
      <c r="AL41" s="167" t="s">
        <v>11252</v>
      </c>
      <c r="AM41" s="167" t="s">
        <v>11252</v>
      </c>
      <c r="AN41" s="167" t="s">
        <v>11252</v>
      </c>
      <c r="AO41" s="197" t="s">
        <v>11319</v>
      </c>
      <c r="AP41" s="463"/>
      <c r="AQ41" s="198" t="s">
        <v>11320</v>
      </c>
      <c r="AR41" s="198" t="s">
        <v>11320</v>
      </c>
      <c r="AS41" s="198" t="s">
        <v>11320</v>
      </c>
      <c r="AT41" s="149" t="s">
        <v>11321</v>
      </c>
      <c r="AU41" s="468"/>
      <c r="AV41" s="198" t="s">
        <v>11322</v>
      </c>
      <c r="AW41" s="198" t="s">
        <v>11322</v>
      </c>
      <c r="AX41" s="198" t="s">
        <v>11322</v>
      </c>
      <c r="AY41" s="149"/>
      <c r="AZ41" s="468"/>
      <c r="BA41" s="198"/>
      <c r="BB41" s="198"/>
      <c r="BC41" s="198"/>
      <c r="BD41" s="198"/>
      <c r="BE41" s="198"/>
      <c r="BF41" s="198"/>
      <c r="BG41" s="198"/>
      <c r="BH41" s="198"/>
    </row>
    <row r="42">
      <c r="A42" s="149" t="s">
        <v>11323</v>
      </c>
      <c r="B42" s="463"/>
      <c r="C42" s="464" t="s">
        <v>11324</v>
      </c>
      <c r="D42" s="464" t="s">
        <v>11324</v>
      </c>
      <c r="E42" s="464" t="s">
        <v>11324</v>
      </c>
      <c r="F42" s="149" t="s">
        <v>11325</v>
      </c>
      <c r="G42" s="470"/>
      <c r="H42" s="464" t="s">
        <v>11326</v>
      </c>
      <c r="I42" s="464" t="s">
        <v>11326</v>
      </c>
      <c r="J42" s="464" t="s">
        <v>11326</v>
      </c>
      <c r="K42" s="243" t="s">
        <v>11327</v>
      </c>
      <c r="L42" s="463"/>
      <c r="M42" s="167" t="s">
        <v>11328</v>
      </c>
      <c r="N42" s="167" t="s">
        <v>11328</v>
      </c>
      <c r="O42" s="167" t="s">
        <v>11328</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11329</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11330</v>
      </c>
      <c r="AF42" s="222"/>
      <c r="AG42" s="464" t="s">
        <v>11331</v>
      </c>
      <c r="AH42" s="464" t="s">
        <v>11331</v>
      </c>
      <c r="AI42" s="464" t="s">
        <v>11331</v>
      </c>
      <c r="AJ42" s="467" t="s">
        <v>11332</v>
      </c>
      <c r="AK42" s="461"/>
      <c r="AL42" s="167" t="s">
        <v>11333</v>
      </c>
      <c r="AM42" s="167" t="s">
        <v>11333</v>
      </c>
      <c r="AN42" s="167" t="s">
        <v>11333</v>
      </c>
      <c r="AO42" s="197" t="s">
        <v>11334</v>
      </c>
      <c r="AP42" s="463"/>
      <c r="AQ42" s="198" t="s">
        <v>11335</v>
      </c>
      <c r="AR42" s="198" t="s">
        <v>11335</v>
      </c>
      <c r="AS42" s="198" t="s">
        <v>11335</v>
      </c>
      <c r="AT42" s="149" t="s">
        <v>11336</v>
      </c>
      <c r="AU42" s="468"/>
      <c r="AV42" s="198" t="s">
        <v>11337</v>
      </c>
      <c r="AW42" s="198" t="s">
        <v>11337</v>
      </c>
      <c r="AX42" s="198" t="s">
        <v>11337</v>
      </c>
      <c r="AY42" s="149"/>
      <c r="AZ42" s="468"/>
      <c r="BA42" s="198"/>
      <c r="BB42" s="198"/>
      <c r="BC42" s="198"/>
      <c r="BD42" s="198"/>
      <c r="BE42" s="198"/>
      <c r="BF42" s="198"/>
      <c r="BG42" s="198"/>
      <c r="BH42" s="198"/>
    </row>
    <row r="43">
      <c r="A43" s="179" t="s">
        <v>11338</v>
      </c>
      <c r="B43" s="463"/>
      <c r="C43" s="464" t="s">
        <v>11339</v>
      </c>
      <c r="D43" s="142"/>
      <c r="E43" s="142"/>
      <c r="F43" s="149" t="s">
        <v>11340</v>
      </c>
      <c r="G43" s="470"/>
      <c r="H43" s="464" t="s">
        <v>11341</v>
      </c>
      <c r="I43" s="142"/>
      <c r="J43" s="142"/>
      <c r="K43" s="243" t="s">
        <v>11342</v>
      </c>
      <c r="L43" s="463"/>
      <c r="M43" s="167" t="s">
        <v>11343</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11344</v>
      </c>
      <c r="AF43" s="222"/>
      <c r="AG43" s="464" t="s">
        <v>11345</v>
      </c>
      <c r="AH43" s="466"/>
      <c r="AI43" s="466"/>
      <c r="AJ43" s="467" t="s">
        <v>11346</v>
      </c>
      <c r="AK43" s="461"/>
      <c r="AL43" s="167" t="s">
        <v>11347</v>
      </c>
      <c r="AM43" s="198"/>
      <c r="AN43" s="198"/>
      <c r="AO43" s="153" t="s">
        <v>11348</v>
      </c>
      <c r="AP43" s="463"/>
      <c r="AQ43" s="198" t="s">
        <v>11349</v>
      </c>
      <c r="AR43" s="198" t="s">
        <v>10930</v>
      </c>
      <c r="AS43" s="142"/>
      <c r="AT43" s="149" t="s">
        <v>11350</v>
      </c>
      <c r="AU43" s="468"/>
      <c r="AV43" s="198" t="s">
        <v>11351</v>
      </c>
      <c r="AW43" s="76"/>
      <c r="AX43" s="76"/>
      <c r="AY43" s="149"/>
      <c r="AZ43" s="468"/>
      <c r="BA43" s="198"/>
      <c r="BB43" s="76"/>
      <c r="BC43" s="76"/>
      <c r="BD43" s="76"/>
      <c r="BE43" s="76"/>
      <c r="BF43" s="76"/>
      <c r="BG43" s="76"/>
      <c r="BH43" s="76"/>
    </row>
    <row r="44">
      <c r="A44" s="149" t="s">
        <v>11352</v>
      </c>
      <c r="B44" s="470"/>
      <c r="C44" s="464" t="s">
        <v>11133</v>
      </c>
      <c r="D44" s="464" t="s">
        <v>10920</v>
      </c>
      <c r="E44" s="142"/>
      <c r="F44" s="149" t="s">
        <v>11353</v>
      </c>
      <c r="G44" s="470"/>
      <c r="H44" s="464" t="s">
        <v>11135</v>
      </c>
      <c r="I44" s="464" t="s">
        <v>10922</v>
      </c>
      <c r="J44" s="142"/>
      <c r="K44" s="243" t="s">
        <v>11354</v>
      </c>
      <c r="L44" s="463"/>
      <c r="M44" s="167" t="s">
        <v>11137</v>
      </c>
      <c r="N44" s="167" t="s">
        <v>10924</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11355</v>
      </c>
      <c r="AA44" s="461"/>
      <c r="AB44" s="167" t="s">
        <v>11139</v>
      </c>
      <c r="AC44" s="198" t="str">
        <f>IFERROR(__xludf.DUMMYFUNCTION("GOOGLETRANSLATE(D44,""zh-tw"",""KO"")"),"밀가루")</f>
        <v>밀가루</v>
      </c>
      <c r="AD44" s="198"/>
      <c r="AE44" s="465" t="s">
        <v>11356</v>
      </c>
      <c r="AF44" s="222"/>
      <c r="AG44" s="464" t="s">
        <v>11141</v>
      </c>
      <c r="AH44" s="464" t="s">
        <v>10926</v>
      </c>
      <c r="AI44" s="466"/>
      <c r="AJ44" s="467" t="s">
        <v>11357</v>
      </c>
      <c r="AK44" s="461"/>
      <c r="AL44" s="167" t="s">
        <v>11143</v>
      </c>
      <c r="AM44" s="167" t="s">
        <v>10928</v>
      </c>
      <c r="AN44" s="198"/>
      <c r="AO44" s="197" t="s">
        <v>11354</v>
      </c>
      <c r="AP44" s="463"/>
      <c r="AQ44" s="198" t="s">
        <v>11145</v>
      </c>
      <c r="AR44" s="142"/>
      <c r="AS44" s="142"/>
      <c r="AT44" s="149" t="s">
        <v>11354</v>
      </c>
      <c r="AU44" s="468"/>
      <c r="AV44" s="198" t="s">
        <v>11137</v>
      </c>
      <c r="AW44" s="198" t="s">
        <v>10932</v>
      </c>
      <c r="AX44" s="76"/>
      <c r="AY44" s="149"/>
      <c r="AZ44" s="468"/>
      <c r="BA44" s="198"/>
      <c r="BB44" s="198"/>
      <c r="BC44" s="76"/>
      <c r="BD44" s="76"/>
      <c r="BE44" s="76"/>
      <c r="BF44" s="76"/>
      <c r="BG44" s="76"/>
      <c r="BH44" s="76"/>
    </row>
    <row r="45">
      <c r="A45" s="149" t="s">
        <v>11358</v>
      </c>
      <c r="B45" s="470"/>
      <c r="C45" s="464" t="s">
        <v>10982</v>
      </c>
      <c r="D45" s="142"/>
      <c r="E45" s="142"/>
      <c r="F45" s="149" t="s">
        <v>11023</v>
      </c>
      <c r="G45" s="470"/>
      <c r="H45" s="464" t="s">
        <v>10984</v>
      </c>
      <c r="I45" s="142"/>
      <c r="J45" s="142"/>
      <c r="K45" s="243" t="s">
        <v>11359</v>
      </c>
      <c r="L45" s="463"/>
      <c r="M45" s="167" t="s">
        <v>10987</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11360</v>
      </c>
      <c r="AA45" s="461"/>
      <c r="AB45" s="167" t="s">
        <v>10989</v>
      </c>
      <c r="AC45" s="198"/>
      <c r="AD45" s="198"/>
      <c r="AE45" s="465" t="s">
        <v>11361</v>
      </c>
      <c r="AF45" s="222"/>
      <c r="AG45" s="464" t="s">
        <v>10991</v>
      </c>
      <c r="AH45" s="466"/>
      <c r="AI45" s="466"/>
      <c r="AJ45" s="467" t="s">
        <v>11362</v>
      </c>
      <c r="AK45" s="461"/>
      <c r="AL45" s="167" t="s">
        <v>10993</v>
      </c>
      <c r="AM45" s="198"/>
      <c r="AN45" s="198"/>
      <c r="AO45" s="197" t="s">
        <v>11363</v>
      </c>
      <c r="AP45" s="463"/>
      <c r="AQ45" s="198" t="s">
        <v>10994</v>
      </c>
      <c r="AR45" s="142"/>
      <c r="AS45" s="142"/>
      <c r="AT45" s="149" t="s">
        <v>11364</v>
      </c>
      <c r="AU45" s="468"/>
      <c r="AV45" s="198" t="s">
        <v>10995</v>
      </c>
      <c r="AW45" s="76"/>
      <c r="AX45" s="76"/>
      <c r="AY45" s="149"/>
      <c r="AZ45" s="468"/>
      <c r="BA45" s="198"/>
      <c r="BB45" s="76"/>
      <c r="BC45" s="76"/>
      <c r="BD45" s="76"/>
      <c r="BE45" s="76"/>
      <c r="BF45" s="76"/>
      <c r="BG45" s="76"/>
      <c r="BH45" s="76"/>
    </row>
    <row r="46">
      <c r="A46" s="149" t="s">
        <v>11365</v>
      </c>
      <c r="B46" s="447" t="s">
        <v>1445</v>
      </c>
      <c r="C46" s="464" t="s">
        <v>6931</v>
      </c>
      <c r="D46" s="464" t="s">
        <v>6960</v>
      </c>
      <c r="E46" s="142"/>
      <c r="F46" s="149" t="s">
        <v>11366</v>
      </c>
      <c r="G46" s="447" t="s">
        <v>1445</v>
      </c>
      <c r="H46" s="464" t="s">
        <v>11121</v>
      </c>
      <c r="I46" s="464" t="s">
        <v>11367</v>
      </c>
      <c r="J46" s="142"/>
      <c r="K46" s="243" t="s">
        <v>11368</v>
      </c>
      <c r="L46" s="447" t="s">
        <v>1445</v>
      </c>
      <c r="M46" s="167" t="s">
        <v>6933</v>
      </c>
      <c r="N46" s="167" t="s">
        <v>6962</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11369</v>
      </c>
      <c r="AA46" s="461" t="s">
        <v>1445</v>
      </c>
      <c r="AB46" s="198" t="str">
        <f>IFERROR(__xludf.DUMMYFUNCTION("GOOGLETRANSLATE(C46,""zh-tw"",""KO"")"),"감자")</f>
        <v>감자</v>
      </c>
      <c r="AC46" s="202" t="s">
        <v>11370</v>
      </c>
      <c r="AD46" s="198"/>
      <c r="AE46" s="465" t="s">
        <v>11371</v>
      </c>
      <c r="AF46" s="460" t="s">
        <v>10871</v>
      </c>
      <c r="AG46" s="464" t="s">
        <v>6936</v>
      </c>
      <c r="AH46" s="464" t="s">
        <v>11372</v>
      </c>
      <c r="AI46" s="466"/>
      <c r="AJ46" s="467" t="s">
        <v>11373</v>
      </c>
      <c r="AK46" s="461" t="s">
        <v>1445</v>
      </c>
      <c r="AL46" s="167" t="s">
        <v>6938</v>
      </c>
      <c r="AM46" s="167" t="s">
        <v>11374</v>
      </c>
      <c r="AN46" s="198"/>
      <c r="AO46" s="197" t="s">
        <v>11375</v>
      </c>
      <c r="AP46" s="447" t="s">
        <v>1445</v>
      </c>
      <c r="AQ46" s="198" t="s">
        <v>6940</v>
      </c>
      <c r="AR46" s="198" t="s">
        <v>6968</v>
      </c>
      <c r="AS46" s="142"/>
      <c r="AT46" s="149" t="s">
        <v>11376</v>
      </c>
      <c r="AU46" s="447" t="s">
        <v>1445</v>
      </c>
      <c r="AV46" s="198" t="s">
        <v>6942</v>
      </c>
      <c r="AW46" s="198" t="s">
        <v>6962</v>
      </c>
      <c r="AX46" s="76"/>
      <c r="AY46" s="149"/>
      <c r="AZ46" s="447"/>
      <c r="BA46" s="198"/>
      <c r="BB46" s="198"/>
      <c r="BC46" s="76"/>
      <c r="BD46" s="76"/>
      <c r="BE46" s="76"/>
      <c r="BF46" s="76"/>
      <c r="BG46" s="76"/>
      <c r="BH46" s="76"/>
    </row>
    <row r="47">
      <c r="A47" s="149" t="s">
        <v>11377</v>
      </c>
      <c r="B47" s="447" t="s">
        <v>1445</v>
      </c>
      <c r="C47" s="464" t="s">
        <v>6960</v>
      </c>
      <c r="D47" s="142"/>
      <c r="E47" s="142"/>
      <c r="F47" s="149" t="s">
        <v>11378</v>
      </c>
      <c r="G47" s="447" t="s">
        <v>1445</v>
      </c>
      <c r="H47" s="464" t="s">
        <v>11367</v>
      </c>
      <c r="I47" s="142"/>
      <c r="J47" s="142"/>
      <c r="K47" s="243" t="s">
        <v>11379</v>
      </c>
      <c r="L47" s="447" t="s">
        <v>1445</v>
      </c>
      <c r="M47" s="167" t="s">
        <v>6962</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11380</v>
      </c>
      <c r="AA47" s="461" t="s">
        <v>1445</v>
      </c>
      <c r="AB47" s="202" t="s">
        <v>11370</v>
      </c>
      <c r="AC47" s="198"/>
      <c r="AD47" s="198"/>
      <c r="AE47" s="465" t="s">
        <v>11381</v>
      </c>
      <c r="AF47" s="460" t="s">
        <v>10871</v>
      </c>
      <c r="AG47" s="464" t="s">
        <v>11372</v>
      </c>
      <c r="AH47" s="466"/>
      <c r="AI47" s="466"/>
      <c r="AJ47" s="467" t="s">
        <v>11382</v>
      </c>
      <c r="AK47" s="461" t="s">
        <v>1445</v>
      </c>
      <c r="AL47" s="167" t="s">
        <v>11374</v>
      </c>
      <c r="AM47" s="198"/>
      <c r="AN47" s="198"/>
      <c r="AO47" s="197" t="s">
        <v>11383</v>
      </c>
      <c r="AP47" s="447" t="s">
        <v>1445</v>
      </c>
      <c r="AQ47" s="198" t="s">
        <v>6968</v>
      </c>
      <c r="AR47" s="142"/>
      <c r="AS47" s="142"/>
      <c r="AT47" s="149" t="s">
        <v>11384</v>
      </c>
      <c r="AU47" s="447" t="s">
        <v>1445</v>
      </c>
      <c r="AV47" s="198" t="s">
        <v>6962</v>
      </c>
      <c r="AW47" s="76"/>
      <c r="AX47" s="76"/>
      <c r="AY47" s="149"/>
      <c r="AZ47" s="447"/>
      <c r="BA47" s="198"/>
      <c r="BB47" s="76"/>
      <c r="BC47" s="76"/>
      <c r="BD47" s="76"/>
      <c r="BE47" s="76"/>
      <c r="BF47" s="76"/>
      <c r="BG47" s="76"/>
      <c r="BH47" s="76"/>
    </row>
    <row r="48">
      <c r="A48" s="149" t="s">
        <v>11385</v>
      </c>
      <c r="B48" s="470"/>
      <c r="C48" s="464" t="s">
        <v>10884</v>
      </c>
      <c r="D48" s="464" t="s">
        <v>11055</v>
      </c>
      <c r="E48" s="142"/>
      <c r="F48" s="149" t="s">
        <v>11386</v>
      </c>
      <c r="G48" s="470"/>
      <c r="H48" s="464" t="s">
        <v>10886</v>
      </c>
      <c r="I48" s="464" t="s">
        <v>11057</v>
      </c>
      <c r="J48" s="142"/>
      <c r="K48" s="243" t="s">
        <v>11387</v>
      </c>
      <c r="L48" s="463"/>
      <c r="M48" s="167" t="s">
        <v>10888</v>
      </c>
      <c r="N48" s="167" t="s">
        <v>11059</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IFERROR(__xludf.DUMMYFUNCTION("GOOGLETRANSLATE(A48,""zh-tw"",""es-MX"")"),"Gomitas de monstruo de agua")</f>
        <v>Gomitas de monstruo de agua</v>
      </c>
      <c r="V48" s="460"/>
      <c r="W48" s="464" t="str">
        <f>IFERROR(__xludf.DUMMYFUNCTION("GOOGLETRANSLATE(C48,""zh-tw"",""es-MX"")"),"limo")</f>
        <v>limo</v>
      </c>
      <c r="X48" s="464" t="str">
        <f>IFERROR(__xludf.DUMMYFUNCTION("GOOGLETRANSLATE(D48,""zh-tw"",""es-MX"")"),"Slime de monstruo de agua")</f>
        <v>Slime de monstruo de agua</v>
      </c>
      <c r="Y48" s="464"/>
      <c r="Z48" s="467" t="s">
        <v>11388</v>
      </c>
      <c r="AA48" s="461"/>
      <c r="AB48" s="202" t="s">
        <v>10889</v>
      </c>
      <c r="AC48" s="167" t="s">
        <v>11060</v>
      </c>
      <c r="AD48" s="198"/>
      <c r="AE48" s="465" t="s">
        <v>11389</v>
      </c>
      <c r="AF48" s="222"/>
      <c r="AG48" s="464" t="s">
        <v>10891</v>
      </c>
      <c r="AH48" s="464" t="s">
        <v>11061</v>
      </c>
      <c r="AI48" s="466"/>
      <c r="AJ48" s="467" t="s">
        <v>11390</v>
      </c>
      <c r="AK48" s="461"/>
      <c r="AL48" s="167" t="s">
        <v>10893</v>
      </c>
      <c r="AM48" s="167" t="s">
        <v>11063</v>
      </c>
      <c r="AN48" s="198"/>
      <c r="AO48" s="197" t="s">
        <v>11391</v>
      </c>
      <c r="AP48" s="463"/>
      <c r="AQ48" s="198" t="s">
        <v>10895</v>
      </c>
      <c r="AR48" s="198" t="s">
        <v>11065</v>
      </c>
      <c r="AS48" s="142"/>
      <c r="AT48" s="149" t="s">
        <v>11392</v>
      </c>
      <c r="AU48" s="468"/>
      <c r="AV48" s="198" t="s">
        <v>10896</v>
      </c>
      <c r="AW48" s="198" t="s">
        <v>11393</v>
      </c>
      <c r="AX48" s="76"/>
      <c r="AY48" s="149"/>
      <c r="AZ48" s="468"/>
      <c r="BA48" s="198"/>
      <c r="BB48" s="198"/>
      <c r="BC48" s="76"/>
      <c r="BD48" s="76"/>
      <c r="BE48" s="76"/>
      <c r="BF48" s="76"/>
      <c r="BG48" s="76"/>
      <c r="BH48" s="76"/>
    </row>
    <row r="49">
      <c r="A49" s="149" t="s">
        <v>11394</v>
      </c>
      <c r="B49" s="470"/>
      <c r="C49" s="464" t="s">
        <v>10884</v>
      </c>
      <c r="D49" s="464" t="s">
        <v>11055</v>
      </c>
      <c r="E49" s="142"/>
      <c r="F49" s="149" t="s">
        <v>11395</v>
      </c>
      <c r="G49" s="470"/>
      <c r="H49" s="464" t="s">
        <v>10886</v>
      </c>
      <c r="I49" s="464" t="s">
        <v>11057</v>
      </c>
      <c r="J49" s="142"/>
      <c r="K49" s="243" t="s">
        <v>11396</v>
      </c>
      <c r="L49" s="463"/>
      <c r="M49" s="167" t="s">
        <v>10888</v>
      </c>
      <c r="N49" s="167" t="s">
        <v>11059</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11397</v>
      </c>
      <c r="AA49" s="461"/>
      <c r="AB49" s="202" t="s">
        <v>10889</v>
      </c>
      <c r="AC49" s="202" t="s">
        <v>11060</v>
      </c>
      <c r="AD49" s="198"/>
      <c r="AE49" s="465" t="s">
        <v>11398</v>
      </c>
      <c r="AF49" s="222"/>
      <c r="AG49" s="464" t="s">
        <v>10891</v>
      </c>
      <c r="AH49" s="464" t="s">
        <v>11061</v>
      </c>
      <c r="AI49" s="466"/>
      <c r="AJ49" s="467" t="s">
        <v>11399</v>
      </c>
      <c r="AK49" s="461"/>
      <c r="AL49" s="167" t="s">
        <v>10893</v>
      </c>
      <c r="AM49" s="167" t="s">
        <v>11063</v>
      </c>
      <c r="AN49" s="198"/>
      <c r="AO49" s="197" t="s">
        <v>11400</v>
      </c>
      <c r="AP49" s="463"/>
      <c r="AQ49" s="198" t="s">
        <v>10895</v>
      </c>
      <c r="AR49" s="198" t="s">
        <v>11065</v>
      </c>
      <c r="AS49" s="142"/>
      <c r="AT49" s="149" t="s">
        <v>11401</v>
      </c>
      <c r="AU49" s="468"/>
      <c r="AV49" s="198" t="s">
        <v>10896</v>
      </c>
      <c r="AW49" s="198" t="s">
        <v>11393</v>
      </c>
      <c r="AX49" s="76"/>
      <c r="AY49" s="149"/>
      <c r="AZ49" s="468"/>
      <c r="BA49" s="198"/>
      <c r="BB49" s="198"/>
      <c r="BC49" s="76"/>
      <c r="BD49" s="76"/>
      <c r="BE49" s="76"/>
      <c r="BF49" s="76"/>
      <c r="BG49" s="76"/>
      <c r="BH49" s="76"/>
    </row>
    <row r="50">
      <c r="A50" s="149" t="s">
        <v>11402</v>
      </c>
      <c r="B50" s="471" t="s">
        <v>11403</v>
      </c>
      <c r="C50" s="464" t="s">
        <v>10884</v>
      </c>
      <c r="D50" s="464" t="s">
        <v>11055</v>
      </c>
      <c r="E50" s="464" t="s">
        <v>11404</v>
      </c>
      <c r="F50" s="149" t="s">
        <v>11405</v>
      </c>
      <c r="G50" s="471" t="s">
        <v>11406</v>
      </c>
      <c r="H50" s="464" t="s">
        <v>10886</v>
      </c>
      <c r="I50" s="464" t="s">
        <v>11057</v>
      </c>
      <c r="J50" s="464" t="s">
        <v>11407</v>
      </c>
      <c r="K50" s="243" t="s">
        <v>11408</v>
      </c>
      <c r="L50" s="472" t="s">
        <v>11409</v>
      </c>
      <c r="M50" s="167" t="s">
        <v>10888</v>
      </c>
      <c r="N50" s="167" t="s">
        <v>11059</v>
      </c>
      <c r="O50" s="167" t="s">
        <v>11410</v>
      </c>
      <c r="P50" s="243" t="str">
        <f>IFERROR(__xludf.DUMMYFUNCTION("GOOGLETRANSLATE(A50,""zh-tw"",""zh"")"),"水怪软糖(红)")</f>
        <v>水怪软糖(红)</v>
      </c>
      <c r="Q50" s="471" t="s">
        <v>11403</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Water Monster (rojas)")</f>
        <v>Gomitas Water Monster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11411</v>
      </c>
      <c r="AA50" s="461" t="s">
        <v>11412</v>
      </c>
      <c r="AB50" s="167" t="s">
        <v>10889</v>
      </c>
      <c r="AC50" s="202" t="s">
        <v>11060</v>
      </c>
      <c r="AD50" s="198" t="str">
        <f>IFERROR(__xludf.DUMMYFUNCTION("GOOGLETRANSLATE(E50,""zh-tw"",""KO"")"),"토마토/피망")</f>
        <v>토마토/피망</v>
      </c>
      <c r="AE50" s="465" t="s">
        <v>11413</v>
      </c>
      <c r="AF50" s="460" t="s">
        <v>11414</v>
      </c>
      <c r="AG50" s="464" t="s">
        <v>10891</v>
      </c>
      <c r="AH50" s="464" t="s">
        <v>11061</v>
      </c>
      <c r="AI50" s="464" t="s">
        <v>11415</v>
      </c>
      <c r="AJ50" s="467" t="s">
        <v>11416</v>
      </c>
      <c r="AK50" s="461" t="s">
        <v>1445</v>
      </c>
      <c r="AL50" s="167" t="s">
        <v>10893</v>
      </c>
      <c r="AM50" s="167" t="s">
        <v>11063</v>
      </c>
      <c r="AN50" s="198" t="str">
        <f>IFERROR(__xludf.DUMMYFUNCTION("GOOGLETRANSLATE(E50,""zh-tw"",""de"")"),"Tomaten/Paprika")</f>
        <v>Tomaten/Paprika</v>
      </c>
      <c r="AO50" s="197" t="s">
        <v>11417</v>
      </c>
      <c r="AP50" s="195" t="s">
        <v>11418</v>
      </c>
      <c r="AQ50" s="198" t="s">
        <v>10895</v>
      </c>
      <c r="AR50" s="198" t="s">
        <v>11065</v>
      </c>
      <c r="AS50" s="198" t="s">
        <v>11419</v>
      </c>
      <c r="AT50" s="149" t="s">
        <v>11420</v>
      </c>
      <c r="AU50" s="457" t="s">
        <v>11421</v>
      </c>
      <c r="AV50" s="198" t="s">
        <v>10896</v>
      </c>
      <c r="AW50" s="198" t="s">
        <v>11393</v>
      </c>
      <c r="AX50" s="198" t="s">
        <v>11422</v>
      </c>
      <c r="AY50" s="149"/>
      <c r="AZ50" s="457"/>
      <c r="BA50" s="198"/>
      <c r="BB50" s="198"/>
      <c r="BC50" s="198"/>
      <c r="BD50" s="198"/>
      <c r="BE50" s="198"/>
      <c r="BF50" s="198"/>
      <c r="BG50" s="198"/>
      <c r="BH50" s="198"/>
    </row>
    <row r="51">
      <c r="A51" s="149" t="s">
        <v>11423</v>
      </c>
      <c r="B51" s="470"/>
      <c r="C51" s="464" t="s">
        <v>10920</v>
      </c>
      <c r="D51" s="142"/>
      <c r="E51" s="142"/>
      <c r="F51" s="149" t="s">
        <v>11424</v>
      </c>
      <c r="G51" s="470"/>
      <c r="H51" s="464" t="s">
        <v>10922</v>
      </c>
      <c r="I51" s="142"/>
      <c r="J51" s="142"/>
      <c r="K51" s="243" t="s">
        <v>11425</v>
      </c>
      <c r="L51" s="463"/>
      <c r="M51" s="167" t="s">
        <v>10924</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11426</v>
      </c>
      <c r="AF51" s="222"/>
      <c r="AG51" s="464" t="s">
        <v>10926</v>
      </c>
      <c r="AH51" s="466"/>
      <c r="AI51" s="466"/>
      <c r="AJ51" s="467" t="s">
        <v>11427</v>
      </c>
      <c r="AK51" s="461"/>
      <c r="AL51" s="167" t="s">
        <v>10928</v>
      </c>
      <c r="AM51" s="198"/>
      <c r="AN51" s="198"/>
      <c r="AO51" s="197" t="s">
        <v>11428</v>
      </c>
      <c r="AP51" s="463"/>
      <c r="AQ51" s="198" t="s">
        <v>10930</v>
      </c>
      <c r="AR51" s="142"/>
      <c r="AS51" s="142"/>
      <c r="AT51" s="149" t="s">
        <v>11429</v>
      </c>
      <c r="AU51" s="468"/>
      <c r="AV51" s="198" t="s">
        <v>10932</v>
      </c>
      <c r="AW51" s="76"/>
      <c r="AX51" s="76"/>
      <c r="AY51" s="149"/>
      <c r="AZ51" s="468"/>
      <c r="BA51" s="198"/>
      <c r="BB51" s="76"/>
      <c r="BC51" s="76"/>
      <c r="BD51" s="76"/>
      <c r="BE51" s="76"/>
      <c r="BF51" s="76"/>
      <c r="BG51" s="76"/>
      <c r="BH51" s="76"/>
    </row>
    <row r="52">
      <c r="A52" s="149" t="s">
        <v>11430</v>
      </c>
      <c r="B52" s="470"/>
      <c r="C52" s="464" t="s">
        <v>6909</v>
      </c>
      <c r="D52" s="464" t="s">
        <v>10920</v>
      </c>
      <c r="E52" s="142"/>
      <c r="F52" s="149" t="s">
        <v>11431</v>
      </c>
      <c r="G52" s="470"/>
      <c r="H52" s="464" t="s">
        <v>11432</v>
      </c>
      <c r="I52" s="464" t="s">
        <v>10922</v>
      </c>
      <c r="J52" s="142"/>
      <c r="K52" s="243" t="s">
        <v>11433</v>
      </c>
      <c r="L52" s="463"/>
      <c r="M52" s="167" t="s">
        <v>6913</v>
      </c>
      <c r="N52" s="167" t="s">
        <v>10924</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IFERROR(__xludf.DUMMYFUNCTION("GOOGLETRANSLATE(A52,""zh-tw"",""es-MX"")"),"Panqueques de fresa")</f>
        <v>Panqueques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11434</v>
      </c>
      <c r="AF52" s="222"/>
      <c r="AG52" s="464" t="s">
        <v>6916</v>
      </c>
      <c r="AH52" s="464" t="s">
        <v>10926</v>
      </c>
      <c r="AI52" s="466"/>
      <c r="AJ52" s="467" t="s">
        <v>11435</v>
      </c>
      <c r="AK52" s="461"/>
      <c r="AL52" s="167" t="s">
        <v>11436</v>
      </c>
      <c r="AM52" s="167" t="s">
        <v>10928</v>
      </c>
      <c r="AN52" s="198"/>
      <c r="AO52" s="197" t="s">
        <v>11437</v>
      </c>
      <c r="AP52" s="463"/>
      <c r="AQ52" s="198" t="s">
        <v>6922</v>
      </c>
      <c r="AR52" s="198" t="s">
        <v>10930</v>
      </c>
      <c r="AS52" s="142"/>
      <c r="AT52" s="149" t="s">
        <v>11438</v>
      </c>
      <c r="AU52" s="468"/>
      <c r="AV52" s="198" t="s">
        <v>6925</v>
      </c>
      <c r="AW52" s="198" t="s">
        <v>10932</v>
      </c>
      <c r="AX52" s="76"/>
      <c r="AY52" s="149"/>
      <c r="AZ52" s="468"/>
      <c r="BA52" s="198"/>
      <c r="BB52" s="198"/>
      <c r="BC52" s="76"/>
      <c r="BD52" s="76"/>
      <c r="BE52" s="76"/>
      <c r="BF52" s="76"/>
      <c r="BG52" s="76"/>
      <c r="BH52" s="76"/>
    </row>
    <row r="53">
      <c r="A53" s="149" t="s">
        <v>11439</v>
      </c>
      <c r="B53" s="470"/>
      <c r="C53" s="464" t="s">
        <v>6946</v>
      </c>
      <c r="D53" s="142"/>
      <c r="E53" s="142"/>
      <c r="F53" s="149" t="s">
        <v>11440</v>
      </c>
      <c r="G53" s="470"/>
      <c r="H53" s="464" t="s">
        <v>11236</v>
      </c>
      <c r="I53" s="142"/>
      <c r="J53" s="142"/>
      <c r="K53" s="243" t="s">
        <v>11441</v>
      </c>
      <c r="L53" s="463"/>
      <c r="M53" s="167" t="s">
        <v>6948</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11442</v>
      </c>
      <c r="AF53" s="222"/>
      <c r="AG53" s="464" t="s">
        <v>6950</v>
      </c>
      <c r="AH53" s="466"/>
      <c r="AI53" s="466"/>
      <c r="AJ53" s="467" t="s">
        <v>11443</v>
      </c>
      <c r="AK53" s="461"/>
      <c r="AL53" s="167" t="s">
        <v>6956</v>
      </c>
      <c r="AM53" s="198"/>
      <c r="AN53" s="198"/>
      <c r="AO53" s="197" t="s">
        <v>11444</v>
      </c>
      <c r="AP53" s="463"/>
      <c r="AQ53" s="198" t="s">
        <v>6940</v>
      </c>
      <c r="AR53" s="142"/>
      <c r="AS53" s="142"/>
      <c r="AT53" s="149" t="s">
        <v>11445</v>
      </c>
      <c r="AU53" s="468"/>
      <c r="AV53" s="198" t="s">
        <v>6956</v>
      </c>
      <c r="AW53" s="76"/>
      <c r="AX53" s="76"/>
      <c r="AY53" s="149"/>
      <c r="AZ53" s="468"/>
      <c r="BA53" s="198"/>
      <c r="BB53" s="76"/>
      <c r="BC53" s="76"/>
      <c r="BD53" s="76"/>
      <c r="BE53" s="76"/>
      <c r="BF53" s="76"/>
      <c r="BG53" s="76"/>
      <c r="BH53" s="76"/>
    </row>
    <row r="54">
      <c r="A54" s="149" t="s">
        <v>6909</v>
      </c>
      <c r="B54" s="470"/>
      <c r="C54" s="464" t="s">
        <v>6909</v>
      </c>
      <c r="D54" s="142"/>
      <c r="E54" s="142"/>
      <c r="F54" s="149" t="s">
        <v>11446</v>
      </c>
      <c r="G54" s="470"/>
      <c r="H54" s="464" t="s">
        <v>11432</v>
      </c>
      <c r="I54" s="142"/>
      <c r="J54" s="142"/>
      <c r="K54" s="243" t="s">
        <v>6913</v>
      </c>
      <c r="L54" s="463"/>
      <c r="M54" s="167" t="s">
        <v>6913</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11447</v>
      </c>
      <c r="AF54" s="222"/>
      <c r="AG54" s="464" t="s">
        <v>6916</v>
      </c>
      <c r="AH54" s="466"/>
      <c r="AI54" s="466"/>
      <c r="AJ54" s="467" t="s">
        <v>11436</v>
      </c>
      <c r="AK54" s="461"/>
      <c r="AL54" s="167" t="s">
        <v>11436</v>
      </c>
      <c r="AM54" s="198"/>
      <c r="AN54" s="198"/>
      <c r="AO54" s="197" t="s">
        <v>6922</v>
      </c>
      <c r="AP54" s="463"/>
      <c r="AQ54" s="198" t="s">
        <v>6922</v>
      </c>
      <c r="AR54" s="142"/>
      <c r="AS54" s="142"/>
      <c r="AT54" s="149" t="s">
        <v>6925</v>
      </c>
      <c r="AU54" s="468"/>
      <c r="AV54" s="198" t="s">
        <v>6925</v>
      </c>
      <c r="AW54" s="76"/>
      <c r="AX54" s="76"/>
      <c r="AY54" s="149"/>
      <c r="AZ54" s="468"/>
      <c r="BA54" s="198"/>
      <c r="BB54" s="76"/>
      <c r="BC54" s="76"/>
      <c r="BD54" s="76"/>
      <c r="BE54" s="76"/>
      <c r="BF54" s="76"/>
      <c r="BG54" s="76"/>
      <c r="BH54" s="76"/>
    </row>
    <row r="55">
      <c r="A55" s="179" t="s">
        <v>11448</v>
      </c>
      <c r="B55" s="463"/>
      <c r="C55" s="473" t="s">
        <v>11283</v>
      </c>
      <c r="D55" s="473" t="s">
        <v>11449</v>
      </c>
      <c r="E55" s="473" t="s">
        <v>11450</v>
      </c>
      <c r="F55" s="140"/>
      <c r="G55" s="470"/>
      <c r="H55" s="142"/>
      <c r="I55" s="142"/>
      <c r="J55" s="142"/>
      <c r="K55" s="235" t="s">
        <v>11451</v>
      </c>
      <c r="L55" s="457"/>
      <c r="M55" s="167" t="s">
        <v>11287</v>
      </c>
      <c r="N55" s="167" t="s">
        <v>11452</v>
      </c>
      <c r="O55" s="167" t="s">
        <v>10904</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11453</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11454</v>
      </c>
      <c r="AF55" s="222"/>
      <c r="AG55" s="464" t="s">
        <v>11455</v>
      </c>
      <c r="AH55" s="464" t="s">
        <v>11456</v>
      </c>
      <c r="AI55" s="464" t="s">
        <v>10908</v>
      </c>
      <c r="AJ55" s="140"/>
      <c r="AK55" s="463"/>
      <c r="AL55" s="142"/>
      <c r="AM55" s="142"/>
      <c r="AN55" s="142"/>
      <c r="AO55" s="165" t="s">
        <v>11457</v>
      </c>
      <c r="AP55" s="457"/>
      <c r="AQ55" s="167" t="s">
        <v>11295</v>
      </c>
      <c r="AR55" s="167" t="s">
        <v>11458</v>
      </c>
      <c r="AS55" s="167" t="s">
        <v>10914</v>
      </c>
      <c r="AT55" s="179" t="s">
        <v>11459</v>
      </c>
      <c r="AU55" s="468"/>
      <c r="AV55" s="167" t="s">
        <v>11297</v>
      </c>
      <c r="AW55" s="167" t="s">
        <v>11460</v>
      </c>
      <c r="AX55" s="198" t="s">
        <v>10917</v>
      </c>
      <c r="AY55" s="179"/>
      <c r="AZ55" s="468"/>
      <c r="BA55" s="167"/>
      <c r="BB55" s="167"/>
      <c r="BC55" s="198"/>
      <c r="BD55" s="198"/>
      <c r="BE55" s="198"/>
      <c r="BF55" s="198"/>
      <c r="BG55" s="198"/>
      <c r="BH55" s="198"/>
    </row>
    <row r="56">
      <c r="A56" s="179" t="s">
        <v>11461</v>
      </c>
      <c r="B56" s="463"/>
      <c r="C56" s="473" t="s">
        <v>11283</v>
      </c>
      <c r="D56" s="473" t="s">
        <v>11462</v>
      </c>
      <c r="E56" s="473" t="s">
        <v>11450</v>
      </c>
      <c r="F56" s="140"/>
      <c r="G56" s="470"/>
      <c r="H56" s="142"/>
      <c r="I56" s="142"/>
      <c r="J56" s="142"/>
      <c r="K56" s="235" t="s">
        <v>11463</v>
      </c>
      <c r="L56" s="463"/>
      <c r="M56" s="167" t="s">
        <v>11287</v>
      </c>
      <c r="N56" s="167" t="s">
        <v>10905</v>
      </c>
      <c r="O56" s="167" t="s">
        <v>10904</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11464</v>
      </c>
      <c r="AF56" s="222"/>
      <c r="AG56" s="464" t="s">
        <v>11455</v>
      </c>
      <c r="AH56" s="464" t="s">
        <v>10909</v>
      </c>
      <c r="AI56" s="464" t="s">
        <v>10908</v>
      </c>
      <c r="AJ56" s="140"/>
      <c r="AK56" s="463"/>
      <c r="AL56" s="142"/>
      <c r="AM56" s="142"/>
      <c r="AN56" s="142"/>
      <c r="AO56" s="165" t="s">
        <v>11465</v>
      </c>
      <c r="AP56" s="457"/>
      <c r="AQ56" s="167" t="s">
        <v>11295</v>
      </c>
      <c r="AR56" s="167" t="s">
        <v>10915</v>
      </c>
      <c r="AS56" s="167" t="s">
        <v>10914</v>
      </c>
      <c r="AT56" s="179" t="s">
        <v>11466</v>
      </c>
      <c r="AU56" s="468"/>
      <c r="AV56" s="167" t="s">
        <v>11297</v>
      </c>
      <c r="AW56" s="474" t="s">
        <v>10918</v>
      </c>
      <c r="AX56" s="198" t="s">
        <v>10917</v>
      </c>
      <c r="AY56" s="179"/>
      <c r="AZ56" s="468"/>
      <c r="BA56" s="167"/>
      <c r="BB56" s="474"/>
      <c r="BC56" s="198"/>
      <c r="BD56" s="198"/>
      <c r="BE56" s="198"/>
      <c r="BF56" s="198"/>
      <c r="BG56" s="198"/>
      <c r="BH56" s="198"/>
    </row>
    <row r="57">
      <c r="A57" s="179" t="s">
        <v>11467</v>
      </c>
      <c r="B57" s="463"/>
      <c r="C57" s="473" t="s">
        <v>11119</v>
      </c>
      <c r="D57" s="473" t="s">
        <v>11119</v>
      </c>
      <c r="E57" s="473" t="s">
        <v>11119</v>
      </c>
      <c r="F57" s="140"/>
      <c r="G57" s="463"/>
      <c r="H57" s="142"/>
      <c r="I57" s="142"/>
      <c r="J57" s="142"/>
      <c r="K57" s="235" t="s">
        <v>11468</v>
      </c>
      <c r="L57" s="463"/>
      <c r="M57" s="167" t="s">
        <v>11124</v>
      </c>
      <c r="N57" s="167" t="s">
        <v>11124</v>
      </c>
      <c r="O57" s="167" t="s">
        <v>11124</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11469</v>
      </c>
      <c r="AF57" s="222"/>
      <c r="AG57" s="464" t="s">
        <v>11127</v>
      </c>
      <c r="AH57" s="464" t="s">
        <v>11127</v>
      </c>
      <c r="AI57" s="464" t="s">
        <v>11127</v>
      </c>
      <c r="AJ57" s="140"/>
      <c r="AK57" s="463"/>
      <c r="AL57" s="142"/>
      <c r="AM57" s="142"/>
      <c r="AN57" s="142"/>
      <c r="AO57" s="165" t="s">
        <v>11470</v>
      </c>
      <c r="AP57" s="457"/>
      <c r="AQ57" s="167" t="s">
        <v>11130</v>
      </c>
      <c r="AR57" s="167" t="s">
        <v>11130</v>
      </c>
      <c r="AS57" s="167" t="s">
        <v>11130</v>
      </c>
      <c r="AT57" s="179" t="s">
        <v>11471</v>
      </c>
      <c r="AU57" s="468"/>
      <c r="AV57" s="167" t="s">
        <v>11131</v>
      </c>
      <c r="AW57" s="167" t="s">
        <v>11131</v>
      </c>
      <c r="AX57" s="167" t="s">
        <v>11131</v>
      </c>
      <c r="AY57" s="179"/>
      <c r="AZ57" s="468"/>
      <c r="BA57" s="167"/>
      <c r="BB57" s="167"/>
      <c r="BC57" s="167"/>
      <c r="BD57" s="167"/>
      <c r="BE57" s="167"/>
      <c r="BF57" s="167"/>
      <c r="BG57" s="167"/>
      <c r="BH57" s="167"/>
    </row>
    <row r="58">
      <c r="A58" s="475" t="s">
        <v>11472</v>
      </c>
      <c r="B58" s="470"/>
      <c r="C58" s="476" t="s">
        <v>11473</v>
      </c>
      <c r="D58" s="477" t="s">
        <v>11474</v>
      </c>
      <c r="E58" s="478"/>
      <c r="F58" s="479" t="s">
        <v>11475</v>
      </c>
      <c r="G58" s="480" t="s">
        <v>11473</v>
      </c>
      <c r="H58" s="476" t="s">
        <v>11473</v>
      </c>
      <c r="I58" s="477" t="s">
        <v>11474</v>
      </c>
      <c r="J58" s="478"/>
      <c r="K58" s="481" t="s">
        <v>11476</v>
      </c>
      <c r="L58" s="470"/>
      <c r="M58" s="476" t="s">
        <v>11477</v>
      </c>
      <c r="N58" s="482" t="s">
        <v>11474</v>
      </c>
      <c r="O58" s="478"/>
      <c r="P58" s="481" t="s">
        <v>11478</v>
      </c>
      <c r="Q58" s="447"/>
      <c r="R58" s="476" t="s">
        <v>11479</v>
      </c>
      <c r="S58" s="476" t="s">
        <v>11474</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11480</v>
      </c>
      <c r="AF58" s="222"/>
      <c r="AG58" s="464" t="s">
        <v>10908</v>
      </c>
      <c r="AH58" s="483" t="s">
        <v>11474</v>
      </c>
      <c r="AI58" s="466"/>
      <c r="AJ58" s="484" t="s">
        <v>11476</v>
      </c>
      <c r="AK58" s="463"/>
      <c r="AL58" s="485" t="s">
        <v>11481</v>
      </c>
      <c r="AM58" s="486" t="s">
        <v>11474</v>
      </c>
      <c r="AN58" s="142"/>
      <c r="AO58" s="487" t="s">
        <v>11482</v>
      </c>
      <c r="AP58" s="457"/>
      <c r="AQ58" s="486" t="s">
        <v>11483</v>
      </c>
      <c r="AR58" s="486" t="s">
        <v>11474</v>
      </c>
      <c r="AS58" s="198"/>
      <c r="AT58" s="475" t="s">
        <v>11484</v>
      </c>
      <c r="AU58" s="468"/>
      <c r="AV58" s="485" t="s">
        <v>10917</v>
      </c>
      <c r="AW58" s="488" t="s">
        <v>11474</v>
      </c>
      <c r="AX58" s="489"/>
      <c r="AY58" s="490" t="s">
        <v>11485</v>
      </c>
      <c r="AZ58" s="468"/>
      <c r="BA58" s="485" t="s">
        <v>11486</v>
      </c>
      <c r="BB58" s="488" t="s">
        <v>11474</v>
      </c>
      <c r="BC58" s="489"/>
      <c r="BD58" s="142"/>
      <c r="BE58" s="142"/>
      <c r="BF58" s="142"/>
      <c r="BG58" s="142"/>
      <c r="BH58" s="142"/>
    </row>
    <row r="59">
      <c r="A59" s="475" t="s">
        <v>11487</v>
      </c>
      <c r="B59" s="470"/>
      <c r="C59" s="476" t="s">
        <v>11473</v>
      </c>
      <c r="D59" s="477" t="s">
        <v>11474</v>
      </c>
      <c r="E59" s="477" t="s">
        <v>11488</v>
      </c>
      <c r="F59" s="479" t="s">
        <v>11489</v>
      </c>
      <c r="G59" s="480" t="s">
        <v>11473</v>
      </c>
      <c r="H59" s="476" t="s">
        <v>11473</v>
      </c>
      <c r="I59" s="477" t="s">
        <v>11474</v>
      </c>
      <c r="J59" s="477" t="s">
        <v>11490</v>
      </c>
      <c r="K59" s="481" t="s">
        <v>11491</v>
      </c>
      <c r="L59" s="470"/>
      <c r="M59" s="476" t="s">
        <v>11477</v>
      </c>
      <c r="N59" s="482" t="s">
        <v>11474</v>
      </c>
      <c r="O59" s="476" t="s">
        <v>11492</v>
      </c>
      <c r="P59" s="481" t="s">
        <v>11493</v>
      </c>
      <c r="Q59" s="447"/>
      <c r="R59" s="476" t="s">
        <v>11479</v>
      </c>
      <c r="S59" s="476" t="s">
        <v>11474</v>
      </c>
      <c r="T59" s="476" t="s">
        <v>11494</v>
      </c>
      <c r="U59" s="149" t="str">
        <f>IFERROR(__xludf.DUMMYFUNCTION("GOOGLETRANSLATE(A59,""zh-tw"",""es-MX"")"),"Sashimi de camarones sushi prensado")</f>
        <v>Sashimi de camarones sushi prensado</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11495</v>
      </c>
      <c r="AF59" s="222"/>
      <c r="AG59" s="464" t="s">
        <v>10908</v>
      </c>
      <c r="AH59" s="483" t="s">
        <v>11474</v>
      </c>
      <c r="AI59" s="464" t="s">
        <v>11496</v>
      </c>
      <c r="AJ59" s="484" t="s">
        <v>11497</v>
      </c>
      <c r="AK59" s="463"/>
      <c r="AL59" s="485" t="s">
        <v>11481</v>
      </c>
      <c r="AM59" s="486" t="s">
        <v>11474</v>
      </c>
      <c r="AN59" s="485" t="s">
        <v>11498</v>
      </c>
      <c r="AO59" s="487" t="s">
        <v>11499</v>
      </c>
      <c r="AP59" s="457"/>
      <c r="AQ59" s="486" t="s">
        <v>11500</v>
      </c>
      <c r="AR59" s="486" t="s">
        <v>11474</v>
      </c>
      <c r="AS59" s="486" t="s">
        <v>11501</v>
      </c>
      <c r="AT59" s="475" t="s">
        <v>11502</v>
      </c>
      <c r="AU59" s="468"/>
      <c r="AV59" s="485" t="s">
        <v>10917</v>
      </c>
      <c r="AW59" s="488" t="s">
        <v>11474</v>
      </c>
      <c r="AX59" s="488" t="s">
        <v>11503</v>
      </c>
      <c r="AY59" s="490" t="s">
        <v>11504</v>
      </c>
      <c r="AZ59" s="468"/>
      <c r="BA59" s="485" t="s">
        <v>11486</v>
      </c>
      <c r="BB59" s="488" t="s">
        <v>11474</v>
      </c>
      <c r="BC59" s="488" t="s">
        <v>11505</v>
      </c>
      <c r="BD59" s="142"/>
      <c r="BE59" s="142"/>
      <c r="BF59" s="142"/>
      <c r="BG59" s="142"/>
      <c r="BH59" s="142"/>
    </row>
    <row r="60">
      <c r="A60" s="475" t="s">
        <v>11506</v>
      </c>
      <c r="B60" s="470"/>
      <c r="C60" s="476" t="s">
        <v>11473</v>
      </c>
      <c r="D60" s="477" t="s">
        <v>11474</v>
      </c>
      <c r="E60" s="477" t="s">
        <v>11507</v>
      </c>
      <c r="F60" s="479" t="s">
        <v>11508</v>
      </c>
      <c r="G60" s="480" t="s">
        <v>11473</v>
      </c>
      <c r="H60" s="476" t="s">
        <v>11473</v>
      </c>
      <c r="I60" s="477" t="s">
        <v>11474</v>
      </c>
      <c r="J60" s="477" t="s">
        <v>11507</v>
      </c>
      <c r="K60" s="481" t="s">
        <v>11509</v>
      </c>
      <c r="L60" s="470"/>
      <c r="M60" s="476" t="s">
        <v>11477</v>
      </c>
      <c r="N60" s="482" t="s">
        <v>11474</v>
      </c>
      <c r="O60" s="476" t="s">
        <v>11510</v>
      </c>
      <c r="P60" s="481" t="s">
        <v>11511</v>
      </c>
      <c r="Q60" s="447"/>
      <c r="R60" s="476" t="s">
        <v>11479</v>
      </c>
      <c r="S60" s="476" t="s">
        <v>11474</v>
      </c>
      <c r="T60" s="476" t="s">
        <v>11507</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만든 누름 초밥")</f>
        <v>돈까스로 만든 누름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11512</v>
      </c>
      <c r="AF60" s="222"/>
      <c r="AG60" s="464" t="s">
        <v>10908</v>
      </c>
      <c r="AH60" s="483" t="s">
        <v>11474</v>
      </c>
      <c r="AI60" s="464" t="s">
        <v>11513</v>
      </c>
      <c r="AJ60" s="484" t="s">
        <v>11514</v>
      </c>
      <c r="AK60" s="463"/>
      <c r="AL60" s="485" t="s">
        <v>11481</v>
      </c>
      <c r="AM60" s="486" t="s">
        <v>11474</v>
      </c>
      <c r="AN60" s="485" t="s">
        <v>11515</v>
      </c>
      <c r="AO60" s="140"/>
      <c r="AP60" s="463"/>
      <c r="AQ60" s="486" t="s">
        <v>11500</v>
      </c>
      <c r="AR60" s="486" t="s">
        <v>11474</v>
      </c>
      <c r="AS60" s="486" t="s">
        <v>11516</v>
      </c>
      <c r="AT60" s="475" t="s">
        <v>11517</v>
      </c>
      <c r="AU60" s="468"/>
      <c r="AV60" s="485" t="s">
        <v>10917</v>
      </c>
      <c r="AW60" s="488" t="s">
        <v>11474</v>
      </c>
      <c r="AX60" s="488" t="s">
        <v>11518</v>
      </c>
      <c r="AY60" s="490" t="s">
        <v>11519</v>
      </c>
      <c r="AZ60" s="468"/>
      <c r="BA60" s="485" t="s">
        <v>11486</v>
      </c>
      <c r="BB60" s="488" t="s">
        <v>11474</v>
      </c>
      <c r="BC60" s="488" t="s">
        <v>11520</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11521</v>
      </c>
      <c r="B1" s="27" t="s">
        <v>11522</v>
      </c>
      <c r="C1" s="492" t="s">
        <v>11523</v>
      </c>
      <c r="D1" s="224" t="s">
        <v>11524</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11525</v>
      </c>
      <c r="J1" s="27" t="s">
        <v>11526</v>
      </c>
      <c r="K1" s="492" t="s">
        <v>11527</v>
      </c>
      <c r="L1" s="224" t="s">
        <v>11528</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11529</v>
      </c>
      <c r="Z1" s="88" t="s">
        <v>11530</v>
      </c>
      <c r="AA1" s="364" t="s">
        <v>3357</v>
      </c>
      <c r="AB1" s="87" t="s">
        <v>11531</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11532</v>
      </c>
      <c r="AH1" s="497" t="s">
        <v>11533</v>
      </c>
      <c r="AI1" s="498" t="s">
        <v>11534</v>
      </c>
      <c r="AJ1" s="499" t="s">
        <v>5957</v>
      </c>
      <c r="AK1" s="500" t="s">
        <v>11535</v>
      </c>
      <c r="AL1" s="501" t="s">
        <v>11536</v>
      </c>
      <c r="AM1" s="502" t="s">
        <v>11537</v>
      </c>
      <c r="AN1" s="503" t="s">
        <v>5961</v>
      </c>
      <c r="AO1" s="197"/>
      <c r="AP1" s="501"/>
      <c r="AQ1" s="502"/>
      <c r="AR1" s="503"/>
      <c r="AS1" s="504"/>
      <c r="AT1" s="504"/>
    </row>
    <row r="2" ht="26.25" customHeight="1">
      <c r="A2" s="505" t="s">
        <v>11538</v>
      </c>
      <c r="B2" s="202" t="s">
        <v>11539</v>
      </c>
      <c r="C2" s="386" t="s">
        <v>1240</v>
      </c>
      <c r="D2" s="506" t="s">
        <v>11540</v>
      </c>
      <c r="E2" s="505" t="s">
        <v>11541</v>
      </c>
      <c r="F2" s="418" t="str">
        <f>IFERROR(__xludf.DUMMYFUNCTION("GOOGLETRANSLATE(B2,""zh-tw"",""ja"")"),"少し落ち着かない気分です")</f>
        <v>少し落ち着かない気分です</v>
      </c>
      <c r="G2" s="383" t="str">
        <f>IFERROR(__xludf.DUMMYFUNCTION("GOOGLETRANSLATE(C2,""zh-tw"",""ja"")"),"-")</f>
        <v>-</v>
      </c>
      <c r="H2" s="506" t="s">
        <v>11542</v>
      </c>
      <c r="I2" s="505" t="s">
        <v>11543</v>
      </c>
      <c r="J2" s="202" t="s">
        <v>11544</v>
      </c>
      <c r="K2" s="383" t="str">
        <f>IFERROR(__xludf.DUMMYFUNCTION("GOOGLETRANSLATE(C2,""zh-tw"",""en"")"),"-")</f>
        <v>-</v>
      </c>
      <c r="L2" s="506" t="s">
        <v>11545</v>
      </c>
      <c r="M2" s="382" t="str">
        <f>IFERROR(__xludf.DUMMYFUNCTION("GOOGLETRANSLATE(A2,""zh-tw"",""zh"")"),"兴奋")</f>
        <v>兴奋</v>
      </c>
      <c r="N2" s="418"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11546</v>
      </c>
      <c r="Z2" s="198" t="s">
        <v>11547</v>
      </c>
      <c r="AA2" s="379" t="s">
        <v>1240</v>
      </c>
      <c r="AB2" s="196" t="s">
        <v>11548</v>
      </c>
      <c r="AC2" s="382" t="str">
        <f>IFERROR(__xludf.DUMMYFUNCTION("GOOGLETRANSLATE(A2,""zh-tw"",""DE"")"),"aufgeregt")</f>
        <v>aufgeregt</v>
      </c>
      <c r="AD2" s="418"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11549</v>
      </c>
      <c r="AH2" s="155" t="s">
        <v>11550</v>
      </c>
      <c r="AI2" s="380" t="s">
        <v>1240</v>
      </c>
      <c r="AJ2" s="154" t="s">
        <v>11551</v>
      </c>
      <c r="AK2" s="153" t="s">
        <v>11552</v>
      </c>
      <c r="AL2" s="155" t="s">
        <v>11553</v>
      </c>
      <c r="AM2" s="380" t="s">
        <v>1240</v>
      </c>
      <c r="AN2" s="154" t="s">
        <v>11554</v>
      </c>
      <c r="AO2" s="197"/>
      <c r="AP2" s="155"/>
      <c r="AQ2" s="380"/>
      <c r="AR2" s="154"/>
      <c r="AS2" s="508"/>
      <c r="AT2" s="508"/>
    </row>
    <row r="3" ht="26.25" customHeight="1">
      <c r="A3" s="505" t="s">
        <v>11538</v>
      </c>
      <c r="B3" s="202" t="s">
        <v>11555</v>
      </c>
      <c r="C3" s="386" t="s">
        <v>1240</v>
      </c>
      <c r="D3" s="506" t="s">
        <v>11556</v>
      </c>
      <c r="E3" s="505" t="s">
        <v>11541</v>
      </c>
      <c r="F3" s="418" t="str">
        <f>IFERROR(__xludf.DUMMYFUNCTION("GOOGLETRANSLATE(B3,""zh-tw"",""ja"")"),"体全体が何らかの刺激を求めている。")</f>
        <v>体全体が何らかの刺激を求めている。</v>
      </c>
      <c r="G3" s="386" t="s">
        <v>1240</v>
      </c>
      <c r="H3" s="506" t="s">
        <v>11557</v>
      </c>
      <c r="I3" s="505" t="s">
        <v>11543</v>
      </c>
      <c r="J3" s="202" t="s">
        <v>11558</v>
      </c>
      <c r="K3" s="386" t="s">
        <v>1240</v>
      </c>
      <c r="L3" s="506" t="s">
        <v>11559</v>
      </c>
      <c r="M3" s="382" t="str">
        <f>IFERROR(__xludf.DUMMYFUNCTION("GOOGLETRANSLATE(A3,""zh-tw"",""zh"")"),"兴奋")</f>
        <v>兴奋</v>
      </c>
      <c r="N3" s="418"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11546</v>
      </c>
      <c r="Z3" s="198" t="s">
        <v>11560</v>
      </c>
      <c r="AA3" s="379" t="s">
        <v>1240</v>
      </c>
      <c r="AB3" s="196" t="s">
        <v>11561</v>
      </c>
      <c r="AC3" s="382" t="str">
        <f>IFERROR(__xludf.DUMMYFUNCTION("GOOGLETRANSLATE(A3,""zh-tw"",""DE"")"),"aufgeregt")</f>
        <v>aufgeregt</v>
      </c>
      <c r="AD3" s="418"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11549</v>
      </c>
      <c r="AH3" s="155" t="s">
        <v>11562</v>
      </c>
      <c r="AI3" s="380" t="s">
        <v>1240</v>
      </c>
      <c r="AJ3" s="154" t="s">
        <v>11563</v>
      </c>
      <c r="AK3" s="153" t="s">
        <v>11552</v>
      </c>
      <c r="AL3" s="155" t="s">
        <v>11564</v>
      </c>
      <c r="AM3" s="380" t="s">
        <v>1240</v>
      </c>
      <c r="AN3" s="154" t="s">
        <v>11565</v>
      </c>
      <c r="AO3" s="197"/>
      <c r="AP3" s="155"/>
      <c r="AQ3" s="380"/>
      <c r="AR3" s="154"/>
      <c r="AS3" s="508"/>
      <c r="AT3" s="508"/>
    </row>
    <row r="4" ht="26.25" customHeight="1">
      <c r="A4" s="505" t="s">
        <v>11538</v>
      </c>
      <c r="B4" s="202" t="s">
        <v>11566</v>
      </c>
      <c r="C4" s="386" t="s">
        <v>1240</v>
      </c>
      <c r="D4" s="506" t="s">
        <v>11567</v>
      </c>
      <c r="E4" s="505" t="s">
        <v>11541</v>
      </c>
      <c r="F4" s="418" t="str">
        <f>IFERROR(__xludf.DUMMYFUNCTION("GOOGLETRANSLATE(B4,""zh-tw"",""ja"")"),"もう自分をコントロールできない。")</f>
        <v>もう自分をコントロールできない。</v>
      </c>
      <c r="G4" s="386" t="s">
        <v>1240</v>
      </c>
      <c r="H4" s="506" t="s">
        <v>11568</v>
      </c>
      <c r="I4" s="505" t="s">
        <v>11543</v>
      </c>
      <c r="J4" s="202" t="s">
        <v>11569</v>
      </c>
      <c r="K4" s="386" t="s">
        <v>1240</v>
      </c>
      <c r="L4" s="506" t="s">
        <v>11570</v>
      </c>
      <c r="M4" s="382" t="str">
        <f>IFERROR(__xludf.DUMMYFUNCTION("GOOGLETRANSLATE(A4,""zh-tw"",""zh"")"),"兴奋")</f>
        <v>兴奋</v>
      </c>
      <c r="N4" s="418"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11546</v>
      </c>
      <c r="Z4" s="198" t="s">
        <v>11571</v>
      </c>
      <c r="AA4" s="379" t="s">
        <v>1240</v>
      </c>
      <c r="AB4" s="196" t="s">
        <v>11572</v>
      </c>
      <c r="AC4" s="382" t="str">
        <f>IFERROR(__xludf.DUMMYFUNCTION("GOOGLETRANSLATE(A4,""zh-tw"",""DE"")"),"aufgeregt")</f>
        <v>aufgeregt</v>
      </c>
      <c r="AD4" s="418"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11549</v>
      </c>
      <c r="AH4" s="155" t="s">
        <v>11573</v>
      </c>
      <c r="AI4" s="380" t="s">
        <v>1240</v>
      </c>
      <c r="AJ4" s="154" t="s">
        <v>11574</v>
      </c>
      <c r="AK4" s="153" t="s">
        <v>11552</v>
      </c>
      <c r="AL4" s="155" t="s">
        <v>11575</v>
      </c>
      <c r="AM4" s="380" t="s">
        <v>1240</v>
      </c>
      <c r="AN4" s="154" t="s">
        <v>11576</v>
      </c>
      <c r="AO4" s="197"/>
      <c r="AP4" s="155"/>
      <c r="AQ4" s="380"/>
      <c r="AR4" s="154"/>
      <c r="AS4" s="508"/>
      <c r="AT4" s="508"/>
    </row>
    <row r="5">
      <c r="A5" s="505" t="s">
        <v>11577</v>
      </c>
      <c r="B5" s="202" t="s">
        <v>11578</v>
      </c>
      <c r="C5" s="386" t="s">
        <v>11579</v>
      </c>
      <c r="D5" s="506" t="s">
        <v>11580</v>
      </c>
      <c r="E5" s="505" t="s">
        <v>11581</v>
      </c>
      <c r="F5" s="418" t="str">
        <f>IFERROR(__xludf.DUMMYFUNCTION("GOOGLETRANSLATE(B5,""zh-tw"",""ja"")"),"うーん…")</f>
        <v>うーん…</v>
      </c>
      <c r="G5" s="386" t="s">
        <v>11582</v>
      </c>
      <c r="H5" s="506" t="s">
        <v>11583</v>
      </c>
      <c r="I5" s="505" t="s">
        <v>11584</v>
      </c>
      <c r="J5" s="202" t="s">
        <v>11585</v>
      </c>
      <c r="K5" s="386" t="s">
        <v>11586</v>
      </c>
      <c r="L5" s="506" t="s">
        <v>11587</v>
      </c>
      <c r="M5" s="382" t="str">
        <f>IFERROR(__xludf.DUMMYFUNCTION("GOOGLETRANSLATE(A5,""zh-tw"",""zh"")"),"兽人")</f>
        <v>兽人</v>
      </c>
      <c r="N5" s="418"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11588</v>
      </c>
      <c r="Z5" s="198" t="s">
        <v>11589</v>
      </c>
      <c r="AA5" s="379" t="s">
        <v>11590</v>
      </c>
      <c r="AB5" s="196" t="s">
        <v>11591</v>
      </c>
      <c r="AC5" s="382" t="str">
        <f>IFERROR(__xludf.DUMMYFUNCTION("GOOGLETRANSLATE(A5,""zh-tw"",""DE"")"),"Orks")</f>
        <v>Orks</v>
      </c>
      <c r="AD5" s="418"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11584</v>
      </c>
      <c r="AH5" s="167" t="s">
        <v>11592</v>
      </c>
      <c r="AI5" s="380" t="s">
        <v>11593</v>
      </c>
      <c r="AJ5" s="154" t="s">
        <v>11594</v>
      </c>
      <c r="AK5" s="153" t="s">
        <v>11584</v>
      </c>
      <c r="AL5" s="155" t="s">
        <v>11585</v>
      </c>
      <c r="AM5" s="385" t="s">
        <v>11595</v>
      </c>
      <c r="AN5" s="154" t="s">
        <v>11596</v>
      </c>
      <c r="AO5" s="197"/>
      <c r="AP5" s="155"/>
      <c r="AQ5" s="385"/>
      <c r="AR5" s="154"/>
      <c r="AS5" s="508"/>
      <c r="AT5" s="508"/>
    </row>
    <row r="6">
      <c r="A6" s="505" t="s">
        <v>11597</v>
      </c>
      <c r="B6" s="202" t="s">
        <v>11598</v>
      </c>
      <c r="C6" s="386" t="s">
        <v>11599</v>
      </c>
      <c r="D6" s="506" t="s">
        <v>11600</v>
      </c>
      <c r="E6" s="505" t="s">
        <v>11601</v>
      </c>
      <c r="F6" s="202" t="s">
        <v>11602</v>
      </c>
      <c r="G6" s="383" t="str">
        <f>IFERROR(__xludf.DUMMYFUNCTION("GOOGLETRANSLATE(C6,""zh-tw"",""ja"")"),"賢者モードに入ると、すべての属性が上昇します。")</f>
        <v>賢者モードに入ると、すべての属性が上昇します。</v>
      </c>
      <c r="H6" s="506" t="s">
        <v>11603</v>
      </c>
      <c r="I6" s="505" t="s">
        <v>11604</v>
      </c>
      <c r="J6" s="202" t="s">
        <v>11605</v>
      </c>
      <c r="K6" s="386" t="s">
        <v>11606</v>
      </c>
      <c r="L6" s="506" t="s">
        <v>11607</v>
      </c>
      <c r="M6" s="382" t="str">
        <f>IFERROR(__xludf.DUMMYFUNCTION("GOOGLETRANSLATE(A6,""zh-tw"",""zh"")"),"贤者")</f>
        <v>贤者</v>
      </c>
      <c r="N6" s="418"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11608</v>
      </c>
      <c r="Z6" s="198" t="s">
        <v>11609</v>
      </c>
      <c r="AA6" s="379" t="s">
        <v>11610</v>
      </c>
      <c r="AB6" s="196" t="s">
        <v>11611</v>
      </c>
      <c r="AC6" s="382" t="str">
        <f>IFERROR(__xludf.DUMMYFUNCTION("GOOGLETRANSLATE(A6,""zh-tw"",""DE"")"),"Salbei")</f>
        <v>Salbei</v>
      </c>
      <c r="AD6" s="418"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11612</v>
      </c>
      <c r="AH6" s="167" t="s">
        <v>11613</v>
      </c>
      <c r="AI6" s="385" t="s">
        <v>11614</v>
      </c>
      <c r="AJ6" s="154" t="s">
        <v>11615</v>
      </c>
      <c r="AK6" s="153" t="s">
        <v>11616</v>
      </c>
      <c r="AL6" s="155" t="s">
        <v>11617</v>
      </c>
      <c r="AM6" s="380" t="s">
        <v>11618</v>
      </c>
      <c r="AN6" s="154" t="s">
        <v>11619</v>
      </c>
      <c r="AO6" s="197"/>
      <c r="AP6" s="155"/>
      <c r="AQ6" s="380"/>
      <c r="AR6" s="154"/>
      <c r="AS6" s="508"/>
      <c r="AT6" s="508"/>
    </row>
    <row r="7">
      <c r="A7" s="505" t="s">
        <v>11620</v>
      </c>
      <c r="B7" s="202" t="s">
        <v>1240</v>
      </c>
      <c r="C7" s="386" t="s">
        <v>11621</v>
      </c>
      <c r="D7" s="506" t="s">
        <v>11622</v>
      </c>
      <c r="E7" s="382" t="str">
        <f>IFERROR(__xludf.DUMMYFUNCTION("GOOGLETRANSLATE(A7,""zh-tw"",""ja"")"),"集中")</f>
        <v>集中</v>
      </c>
      <c r="F7" s="418" t="str">
        <f>IFERROR(__xludf.DUMMYFUNCTION("GOOGLETRANSLATE(B7,""zh-tw"",""ja"")"),"-")</f>
        <v>-</v>
      </c>
      <c r="G7" s="386" t="s">
        <v>11623</v>
      </c>
      <c r="H7" s="506" t="s">
        <v>11624</v>
      </c>
      <c r="I7" s="505" t="s">
        <v>11625</v>
      </c>
      <c r="J7" s="418" t="str">
        <f>IFERROR(__xludf.DUMMYFUNCTION("GOOGLETRANSLATE(B7,""zh-tw"",""en"")"),"-")</f>
        <v>-</v>
      </c>
      <c r="K7" s="386" t="s">
        <v>11626</v>
      </c>
      <c r="L7" s="506" t="s">
        <v>11627</v>
      </c>
      <c r="M7" s="382" t="str">
        <f>IFERROR(__xludf.DUMMYFUNCTION("GOOGLETRANSLATE(A7,""zh-tw"",""zh"")"),"专注")</f>
        <v>专注</v>
      </c>
      <c r="N7" s="418"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11628</v>
      </c>
      <c r="Z7" s="198" t="s">
        <v>1240</v>
      </c>
      <c r="AA7" s="379" t="s">
        <v>11629</v>
      </c>
      <c r="AB7" s="196" t="s">
        <v>11630</v>
      </c>
      <c r="AC7" s="382" t="str">
        <f>IFERROR(__xludf.DUMMYFUNCTION("GOOGLETRANSLATE(A7,""zh-tw"",""DE"")"),"Fokus")</f>
        <v>Fokus</v>
      </c>
      <c r="AD7" s="418"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11631</v>
      </c>
      <c r="AH7" s="155" t="s">
        <v>1240</v>
      </c>
      <c r="AI7" s="385" t="s">
        <v>11632</v>
      </c>
      <c r="AJ7" s="154" t="s">
        <v>11633</v>
      </c>
      <c r="AK7" s="153" t="s">
        <v>11625</v>
      </c>
      <c r="AL7" s="155" t="s">
        <v>1240</v>
      </c>
      <c r="AM7" s="380" t="s">
        <v>11634</v>
      </c>
      <c r="AN7" s="154" t="s">
        <v>11635</v>
      </c>
      <c r="AO7" s="197"/>
      <c r="AP7" s="155"/>
      <c r="AQ7" s="380"/>
      <c r="AR7" s="154"/>
      <c r="AS7" s="508"/>
      <c r="AT7" s="508"/>
    </row>
    <row r="8">
      <c r="A8" s="505" t="s">
        <v>11636</v>
      </c>
      <c r="B8" s="202" t="s">
        <v>11637</v>
      </c>
      <c r="C8" s="386" t="s">
        <v>1240</v>
      </c>
      <c r="D8" s="506" t="s">
        <v>11638</v>
      </c>
      <c r="E8" s="505" t="s">
        <v>11639</v>
      </c>
      <c r="F8" s="202" t="s">
        <v>11640</v>
      </c>
      <c r="G8" s="383" t="str">
        <f>IFERROR(__xludf.DUMMYFUNCTION("GOOGLETRANSLATE(C8,""zh-tw"",""ja"")"),"-")</f>
        <v>-</v>
      </c>
      <c r="H8" s="506" t="s">
        <v>11641</v>
      </c>
      <c r="I8" s="505" t="s">
        <v>11642</v>
      </c>
      <c r="J8" s="202" t="s">
        <v>11643</v>
      </c>
      <c r="K8" s="383" t="str">
        <f>IFERROR(__xludf.DUMMYFUNCTION("GOOGLETRANSLATE(C8,""zh-tw"",""en"")"),"-")</f>
        <v>-</v>
      </c>
      <c r="L8" s="506" t="s">
        <v>11644</v>
      </c>
      <c r="M8" s="382" t="str">
        <f>IFERROR(__xludf.DUMMYFUNCTION("GOOGLETRANSLATE(A8,""zh-tw"",""zh"")"),"闪步")</f>
        <v>闪步</v>
      </c>
      <c r="N8" s="418"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11645</v>
      </c>
      <c r="Z8" s="198" t="s">
        <v>11646</v>
      </c>
      <c r="AA8" s="379" t="s">
        <v>1240</v>
      </c>
      <c r="AB8" s="196" t="s">
        <v>11647</v>
      </c>
      <c r="AC8" s="382" t="str">
        <f>IFERROR(__xludf.DUMMYFUNCTION("GOOGLETRANSLATE(A8,""zh-tw"",""DE"")"),"Blitzschritt")</f>
        <v>Blitzschritt</v>
      </c>
      <c r="AD8" s="418"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11642</v>
      </c>
      <c r="AH8" s="167" t="s">
        <v>11648</v>
      </c>
      <c r="AI8" s="380" t="s">
        <v>1240</v>
      </c>
      <c r="AJ8" s="154" t="s">
        <v>11649</v>
      </c>
      <c r="AK8" s="153" t="s">
        <v>11642</v>
      </c>
      <c r="AL8" s="155" t="s">
        <v>11650</v>
      </c>
      <c r="AM8" s="380" t="s">
        <v>1240</v>
      </c>
      <c r="AN8" s="154" t="s">
        <v>11651</v>
      </c>
      <c r="AO8" s="197"/>
      <c r="AP8" s="155"/>
      <c r="AQ8" s="380"/>
      <c r="AR8" s="154"/>
      <c r="AS8" s="508"/>
      <c r="AT8" s="508"/>
    </row>
    <row r="9">
      <c r="A9" s="505" t="s">
        <v>11652</v>
      </c>
      <c r="B9" s="202" t="s">
        <v>1240</v>
      </c>
      <c r="C9" s="386" t="s">
        <v>11653</v>
      </c>
      <c r="D9" s="506" t="s">
        <v>11654</v>
      </c>
      <c r="E9" s="505" t="s">
        <v>11655</v>
      </c>
      <c r="F9" s="418" t="str">
        <f>IFERROR(__xludf.DUMMYFUNCTION("GOOGLETRANSLATE(B9,""zh-tw"",""ja"")"),"-")</f>
        <v>-</v>
      </c>
      <c r="G9" s="386" t="s">
        <v>11656</v>
      </c>
      <c r="H9" s="506" t="s">
        <v>11657</v>
      </c>
      <c r="I9" s="505" t="s">
        <v>11658</v>
      </c>
      <c r="J9" s="418" t="str">
        <f>IFERROR(__xludf.DUMMYFUNCTION("GOOGLETRANSLATE(B9,""zh-tw"",""en"")"),"-")</f>
        <v>-</v>
      </c>
      <c r="K9" s="386" t="s">
        <v>11659</v>
      </c>
      <c r="L9" s="506" t="s">
        <v>11660</v>
      </c>
      <c r="M9" s="382" t="str">
        <f>IFERROR(__xludf.DUMMYFUNCTION("GOOGLETRANSLATE(A9,""zh-tw"",""zh"")"),"闪步禁止")</f>
        <v>闪步禁止</v>
      </c>
      <c r="N9" s="418"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11661</v>
      </c>
      <c r="Z9" s="198" t="s">
        <v>1240</v>
      </c>
      <c r="AA9" s="379" t="s">
        <v>11662</v>
      </c>
      <c r="AB9" s="196" t="s">
        <v>11661</v>
      </c>
      <c r="AC9" s="382" t="str">
        <f>IFERROR(__xludf.DUMMYFUNCTION("GOOGLETRANSLATE(A9,""zh-tw"",""DE"")"),"Blitzschritt verboten")</f>
        <v>Blitzschritt verboten</v>
      </c>
      <c r="AD9" s="418"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11663</v>
      </c>
      <c r="AH9" s="155" t="s">
        <v>1240</v>
      </c>
      <c r="AI9" s="380" t="s">
        <v>11664</v>
      </c>
      <c r="AJ9" s="154" t="s">
        <v>11665</v>
      </c>
      <c r="AK9" s="153" t="s">
        <v>11666</v>
      </c>
      <c r="AL9" s="155" t="s">
        <v>1240</v>
      </c>
      <c r="AM9" s="380" t="s">
        <v>11666</v>
      </c>
      <c r="AN9" s="154" t="s">
        <v>11667</v>
      </c>
      <c r="AO9" s="197"/>
      <c r="AP9" s="155"/>
      <c r="AQ9" s="380"/>
      <c r="AR9" s="154"/>
      <c r="AS9" s="508"/>
      <c r="AT9" s="508"/>
    </row>
    <row r="10">
      <c r="A10" s="505" t="s">
        <v>11668</v>
      </c>
      <c r="B10" s="202" t="s">
        <v>1240</v>
      </c>
      <c r="C10" s="386" t="s">
        <v>11669</v>
      </c>
      <c r="D10" s="506" t="s">
        <v>11670</v>
      </c>
      <c r="E10" s="505" t="s">
        <v>11671</v>
      </c>
      <c r="F10" s="418" t="str">
        <f>IFERROR(__xludf.DUMMYFUNCTION("GOOGLETRANSLATE(B10,""zh-tw"",""ja"")"),"-")</f>
        <v>-</v>
      </c>
      <c r="G10" s="386" t="s">
        <v>11672</v>
      </c>
      <c r="H10" s="506" t="s">
        <v>11673</v>
      </c>
      <c r="I10" s="505" t="s">
        <v>11674</v>
      </c>
      <c r="J10" s="418" t="str">
        <f>IFERROR(__xludf.DUMMYFUNCTION("GOOGLETRANSLATE(B10,""zh-tw"",""en"")"),"-")</f>
        <v>-</v>
      </c>
      <c r="K10" s="386" t="s">
        <v>11675</v>
      </c>
      <c r="L10" s="506" t="s">
        <v>11676</v>
      </c>
      <c r="M10" s="382" t="str">
        <f>IFERROR(__xludf.DUMMYFUNCTION("GOOGLETRANSLATE(A10,""zh-tw"",""zh"")"),"眩晕")</f>
        <v>眩晕</v>
      </c>
      <c r="N10" s="418"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11677</v>
      </c>
      <c r="Z10" s="198" t="s">
        <v>11678</v>
      </c>
      <c r="AA10" s="379" t="s">
        <v>11679</v>
      </c>
      <c r="AB10" s="196" t="s">
        <v>11680</v>
      </c>
      <c r="AC10" s="382" t="str">
        <f>IFERROR(__xludf.DUMMYFUNCTION("GOOGLETRANSLATE(A10,""zh-tw"",""DE"")"),"Schwindel")</f>
        <v>Schwindel</v>
      </c>
      <c r="AD10" s="418"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11681</v>
      </c>
      <c r="AH10" s="155" t="s">
        <v>1240</v>
      </c>
      <c r="AI10" s="380" t="s">
        <v>11682</v>
      </c>
      <c r="AJ10" s="154" t="s">
        <v>11683</v>
      </c>
      <c r="AK10" s="153" t="s">
        <v>11684</v>
      </c>
      <c r="AL10" s="155" t="s">
        <v>1240</v>
      </c>
      <c r="AM10" s="380" t="s">
        <v>11685</v>
      </c>
      <c r="AN10" s="154" t="s">
        <v>11686</v>
      </c>
      <c r="AO10" s="197"/>
      <c r="AP10" s="155"/>
      <c r="AQ10" s="380"/>
      <c r="AR10" s="154"/>
      <c r="AS10" s="508"/>
      <c r="AT10" s="508"/>
    </row>
    <row r="11">
      <c r="A11" s="505" t="s">
        <v>11687</v>
      </c>
      <c r="B11" s="202" t="s">
        <v>1240</v>
      </c>
      <c r="C11" s="386" t="s">
        <v>11688</v>
      </c>
      <c r="D11" s="506" t="s">
        <v>11689</v>
      </c>
      <c r="E11" s="382" t="str">
        <f>IFERROR(__xludf.DUMMYFUNCTION("GOOGLETRANSLATE(A11,""zh-tw"",""ja"")"),"呪文詠唱")</f>
        <v>呪文詠唱</v>
      </c>
      <c r="F11" s="418" t="str">
        <f>IFERROR(__xludf.DUMMYFUNCTION("GOOGLETRANSLATE(B11,""zh-tw"",""ja"")"),"-")</f>
        <v>-</v>
      </c>
      <c r="G11" s="383" t="str">
        <f>IFERROR(__xludf.DUMMYFUNCTION("GOOGLETRANSLATE(C11,""zh-tw"",""ja"")"),"魔法の詠唱中")</f>
        <v>魔法の詠唱中</v>
      </c>
      <c r="H11" s="507" t="str">
        <f>IFERROR(__xludf.DUMMYFUNCTION("GOOGLETRANSLATE(D11,""zh-tw"",""ja"")"),"杖武器を右クリックします。")</f>
        <v>杖武器を右クリックします。</v>
      </c>
      <c r="I11" s="505" t="s">
        <v>11690</v>
      </c>
      <c r="J11" s="418" t="str">
        <f>IFERROR(__xludf.DUMMYFUNCTION("GOOGLETRANSLATE(B11,""zh-tw"",""en"")"),"-")</f>
        <v>-</v>
      </c>
      <c r="K11" s="386" t="s">
        <v>11691</v>
      </c>
      <c r="L11" s="506" t="s">
        <v>11692</v>
      </c>
      <c r="M11" s="382" t="str">
        <f>IFERROR(__xludf.DUMMYFUNCTION("GOOGLETRANSLATE(A11,""zh-tw"",""zh"")"),"施法")</f>
        <v>施法</v>
      </c>
      <c r="N11" s="418"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11693</v>
      </c>
      <c r="Z11" s="198" t="s">
        <v>1240</v>
      </c>
      <c r="AA11" s="379" t="s">
        <v>11694</v>
      </c>
      <c r="AB11" s="196" t="s">
        <v>11695</v>
      </c>
      <c r="AC11" s="382" t="str">
        <f>IFERROR(__xludf.DUMMYFUNCTION("GOOGLETRANSLATE(A11,""zh-tw"",""DE"")"),"Zauberwirken")</f>
        <v>Zauberwirken</v>
      </c>
      <c r="AD11" s="418"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11696</v>
      </c>
      <c r="AH11" s="155" t="s">
        <v>1240</v>
      </c>
      <c r="AI11" s="385" t="s">
        <v>11697</v>
      </c>
      <c r="AJ11" s="154" t="s">
        <v>11698</v>
      </c>
      <c r="AK11" s="153" t="s">
        <v>11699</v>
      </c>
      <c r="AL11" s="155" t="s">
        <v>1240</v>
      </c>
      <c r="AM11" s="380" t="s">
        <v>11700</v>
      </c>
      <c r="AN11" s="154" t="s">
        <v>11701</v>
      </c>
      <c r="AO11" s="197"/>
      <c r="AP11" s="155"/>
      <c r="AQ11" s="380"/>
      <c r="AR11" s="154"/>
      <c r="AS11" s="508"/>
      <c r="AT11" s="508"/>
    </row>
    <row r="12">
      <c r="A12" s="505" t="s">
        <v>11702</v>
      </c>
      <c r="B12" s="202" t="s">
        <v>11703</v>
      </c>
      <c r="C12" s="386" t="s">
        <v>11704</v>
      </c>
      <c r="D12" s="506" t="s">
        <v>11705</v>
      </c>
      <c r="E12" s="505" t="s">
        <v>11702</v>
      </c>
      <c r="F12" s="202" t="s">
        <v>11706</v>
      </c>
      <c r="G12" s="386" t="s">
        <v>11707</v>
      </c>
      <c r="H12" s="506" t="s">
        <v>11708</v>
      </c>
      <c r="I12" s="505" t="s">
        <v>11709</v>
      </c>
      <c r="J12" s="202" t="s">
        <v>11710</v>
      </c>
      <c r="K12" s="386" t="s">
        <v>11711</v>
      </c>
      <c r="L12" s="506" t="s">
        <v>11712</v>
      </c>
      <c r="M12" s="382" t="str">
        <f>IFERROR(__xludf.DUMMYFUNCTION("GOOGLETRANSLATE(A12,""zh-tw"",""zh"")"),"中毒")</f>
        <v>中毒</v>
      </c>
      <c r="N12" s="418"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9"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11713</v>
      </c>
      <c r="Z12" s="198" t="s">
        <v>11714</v>
      </c>
      <c r="AA12" s="379" t="s">
        <v>11715</v>
      </c>
      <c r="AB12" s="196" t="s">
        <v>11716</v>
      </c>
      <c r="AC12" s="382" t="str">
        <f>IFERROR(__xludf.DUMMYFUNCTION("GOOGLETRANSLATE(A12,""zh-tw"",""DE"")"),"Vergiftung")</f>
        <v>Vergiftung</v>
      </c>
      <c r="AD12" s="418"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11717</v>
      </c>
      <c r="AH12" s="167" t="s">
        <v>11718</v>
      </c>
      <c r="AI12" s="380" t="s">
        <v>11719</v>
      </c>
      <c r="AJ12" s="154" t="s">
        <v>11720</v>
      </c>
      <c r="AK12" s="153" t="s">
        <v>11721</v>
      </c>
      <c r="AL12" s="155" t="s">
        <v>11722</v>
      </c>
      <c r="AM12" s="380" t="s">
        <v>11723</v>
      </c>
      <c r="AN12" s="154" t="s">
        <v>11724</v>
      </c>
      <c r="AO12" s="197"/>
      <c r="AP12" s="155"/>
      <c r="AQ12" s="380"/>
      <c r="AR12" s="154"/>
      <c r="AS12" s="508"/>
      <c r="AT12" s="508"/>
    </row>
    <row r="13">
      <c r="A13" s="505" t="s">
        <v>11725</v>
      </c>
      <c r="B13" s="202" t="s">
        <v>11726</v>
      </c>
      <c r="C13" s="386" t="s">
        <v>11727</v>
      </c>
      <c r="D13" s="506" t="s">
        <v>11728</v>
      </c>
      <c r="E13" s="382" t="str">
        <f>IFERROR(__xludf.DUMMYFUNCTION("GOOGLETRANSLATE(A13,""zh-tw"",""ja"")"),"出血")</f>
        <v>出血</v>
      </c>
      <c r="F13" s="202" t="s">
        <v>11729</v>
      </c>
      <c r="G13" s="383" t="str">
        <f>IFERROR(__xludf.DUMMYFUNCTION("GOOGLETRANSLATE(C13,""zh-tw"",""ja"")"),"受けるダメージは最大スタミナに基づいて決まります。")</f>
        <v>受けるダメージは最大スタミナに基づいて決まります。</v>
      </c>
      <c r="H13" s="506" t="s">
        <v>11730</v>
      </c>
      <c r="I13" s="382" t="str">
        <f>IFERROR(__xludf.DUMMYFUNCTION("GOOGLETRANSLATE(A13,""zh-tw"",""en"")"),"Bleeding")</f>
        <v>Bleeding</v>
      </c>
      <c r="J13" s="202" t="s">
        <v>11731</v>
      </c>
      <c r="K13" s="386" t="s">
        <v>11732</v>
      </c>
      <c r="L13" s="506" t="s">
        <v>11733</v>
      </c>
      <c r="M13" s="382" t="str">
        <f>IFERROR(__xludf.DUMMYFUNCTION("GOOGLETRANSLATE(A13,""zh-tw"",""zh"")"),"出血")</f>
        <v>出血</v>
      </c>
      <c r="N13" s="418"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9"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11734</v>
      </c>
      <c r="Z13" s="198" t="s">
        <v>11735</v>
      </c>
      <c r="AA13" s="379" t="s">
        <v>11736</v>
      </c>
      <c r="AB13" s="196" t="s">
        <v>11737</v>
      </c>
      <c r="AC13" s="382" t="str">
        <f>IFERROR(__xludf.DUMMYFUNCTION("GOOGLETRANSLATE(A13,""zh-tw"",""DE"")"),"Blutung")</f>
        <v>Blutung</v>
      </c>
      <c r="AD13" s="418"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11738</v>
      </c>
      <c r="AH13" s="167" t="s">
        <v>11739</v>
      </c>
      <c r="AI13" s="380" t="s">
        <v>11740</v>
      </c>
      <c r="AJ13" s="154" t="s">
        <v>11741</v>
      </c>
      <c r="AK13" s="153" t="s">
        <v>11742</v>
      </c>
      <c r="AL13" s="155" t="s">
        <v>11743</v>
      </c>
      <c r="AM13" s="380" t="s">
        <v>11744</v>
      </c>
      <c r="AN13" s="154" t="s">
        <v>11745</v>
      </c>
      <c r="AO13" s="197"/>
      <c r="AP13" s="155"/>
      <c r="AQ13" s="380"/>
      <c r="AR13" s="154"/>
      <c r="AS13" s="508"/>
      <c r="AT13" s="508"/>
    </row>
    <row r="14">
      <c r="A14" s="505" t="s">
        <v>11746</v>
      </c>
      <c r="B14" s="202" t="s">
        <v>11747</v>
      </c>
      <c r="C14" s="386" t="s">
        <v>11748</v>
      </c>
      <c r="D14" s="506" t="s">
        <v>11749</v>
      </c>
      <c r="E14" s="505" t="s">
        <v>11750</v>
      </c>
      <c r="F14" s="418" t="str">
        <f>IFERROR(__xludf.DUMMYFUNCTION("GOOGLETRANSLATE(B14,""zh-tw"",""ja"")"),"見て、この男は雷に打たれたんだ！")</f>
        <v>見て、この男は雷に打たれたんだ！</v>
      </c>
      <c r="G14" s="386" t="s">
        <v>11751</v>
      </c>
      <c r="H14" s="506" t="s">
        <v>11752</v>
      </c>
      <c r="I14" s="505" t="s">
        <v>11753</v>
      </c>
      <c r="J14" s="202" t="s">
        <v>11754</v>
      </c>
      <c r="K14" s="386" t="s">
        <v>11755</v>
      </c>
      <c r="L14" s="506" t="s">
        <v>11756</v>
      </c>
      <c r="M14" s="382" t="str">
        <f>IFERROR(__xludf.DUMMYFUNCTION("GOOGLETRANSLATE(A14,""zh-tw"",""zh"")"),"打雷")</f>
        <v>打雷</v>
      </c>
      <c r="N14" s="418"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11757</v>
      </c>
      <c r="Z14" s="198" t="s">
        <v>11758</v>
      </c>
      <c r="AA14" s="379" t="s">
        <v>11759</v>
      </c>
      <c r="AB14" s="196" t="s">
        <v>11760</v>
      </c>
      <c r="AC14" s="382" t="str">
        <f>IFERROR(__xludf.DUMMYFUNCTION("GOOGLETRANSLATE(A14,""zh-tw"",""DE"")"),"Donner")</f>
        <v>Donner</v>
      </c>
      <c r="AD14" s="418"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11761</v>
      </c>
      <c r="AH14" s="167" t="s">
        <v>11762</v>
      </c>
      <c r="AI14" s="385" t="s">
        <v>11763</v>
      </c>
      <c r="AJ14" s="154" t="s">
        <v>11764</v>
      </c>
      <c r="AK14" s="153" t="s">
        <v>11765</v>
      </c>
      <c r="AL14" s="155" t="s">
        <v>11766</v>
      </c>
      <c r="AM14" s="380" t="s">
        <v>11767</v>
      </c>
      <c r="AN14" s="154" t="s">
        <v>11768</v>
      </c>
      <c r="AO14" s="197"/>
      <c r="AP14" s="155"/>
      <c r="AQ14" s="380"/>
      <c r="AR14" s="154"/>
      <c r="AS14" s="508"/>
      <c r="AT14" s="508"/>
    </row>
    <row r="15">
      <c r="A15" s="505" t="s">
        <v>11769</v>
      </c>
      <c r="B15" s="202" t="s">
        <v>11770</v>
      </c>
      <c r="C15" s="386" t="s">
        <v>11771</v>
      </c>
      <c r="D15" s="506" t="s">
        <v>11772</v>
      </c>
      <c r="E15" s="505" t="s">
        <v>11769</v>
      </c>
      <c r="F15" s="418" t="str">
        <f>IFERROR(__xludf.DUMMYFUNCTION("GOOGLETRANSLATE(B15,""zh-tw"",""ja"")"),"暑い！暑い！暑い！暑い！")</f>
        <v>暑い！暑い！暑い！暑い！</v>
      </c>
      <c r="G15" s="386" t="s">
        <v>11773</v>
      </c>
      <c r="H15" s="506" t="s">
        <v>11774</v>
      </c>
      <c r="I15" s="505" t="s">
        <v>11775</v>
      </c>
      <c r="J15" s="202" t="s">
        <v>11776</v>
      </c>
      <c r="K15" s="386" t="s">
        <v>11777</v>
      </c>
      <c r="L15" s="506" t="s">
        <v>11778</v>
      </c>
      <c r="M15" s="382" t="str">
        <f>IFERROR(__xludf.DUMMYFUNCTION("GOOGLETRANSLATE(A15,""zh-tw"",""zh"")"),"炎上")</f>
        <v>炎上</v>
      </c>
      <c r="N15" s="418"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11779</v>
      </c>
      <c r="AA15" s="379" t="s">
        <v>11780</v>
      </c>
      <c r="AB15" s="196" t="s">
        <v>11781</v>
      </c>
      <c r="AC15" s="382" t="str">
        <f>IFERROR(__xludf.DUMMYFUNCTION("GOOGLETRANSLATE(A15,""zh-tw"",""DE"")"),"Yan Shang")</f>
        <v>Yan Shang</v>
      </c>
      <c r="AD15" s="418"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11782</v>
      </c>
      <c r="AH15" s="155" t="s">
        <v>11783</v>
      </c>
      <c r="AI15" s="385" t="s">
        <v>11784</v>
      </c>
      <c r="AJ15" s="166" t="s">
        <v>11785</v>
      </c>
      <c r="AK15" s="153" t="s">
        <v>11786</v>
      </c>
      <c r="AL15" s="155" t="s">
        <v>11787</v>
      </c>
      <c r="AM15" s="380" t="s">
        <v>11788</v>
      </c>
      <c r="AN15" s="154" t="s">
        <v>11789</v>
      </c>
      <c r="AO15" s="197"/>
      <c r="AP15" s="155"/>
      <c r="AQ15" s="380"/>
      <c r="AR15" s="154"/>
      <c r="AS15" s="508"/>
      <c r="AT15" s="508"/>
    </row>
    <row r="16">
      <c r="A16" s="505" t="s">
        <v>11790</v>
      </c>
      <c r="B16" s="202" t="s">
        <v>11791</v>
      </c>
      <c r="C16" s="386" t="s">
        <v>11792</v>
      </c>
      <c r="D16" s="506" t="s">
        <v>6047</v>
      </c>
      <c r="E16" s="505" t="s">
        <v>11793</v>
      </c>
      <c r="F16" s="418" t="str">
        <f>IFERROR(__xludf.DUMMYFUNCTION("GOOGLETRANSLATE(B16,""zh-tw"",""ja"")"),"アイスキャンディーにしちゃおう！")</f>
        <v>アイスキャンディーにしちゃおう！</v>
      </c>
      <c r="G16" s="386" t="s">
        <v>11794</v>
      </c>
      <c r="H16" s="506" t="s">
        <v>11795</v>
      </c>
      <c r="I16" s="505" t="s">
        <v>11796</v>
      </c>
      <c r="J16" s="202" t="s">
        <v>11797</v>
      </c>
      <c r="K16" s="386" t="s">
        <v>11798</v>
      </c>
      <c r="L16" s="506" t="s">
        <v>6052</v>
      </c>
      <c r="M16" s="382" t="str">
        <f>IFERROR(__xludf.DUMMYFUNCTION("GOOGLETRANSLATE(A16,""zh-tw"",""zh"")"),"冰结")</f>
        <v>冰结</v>
      </c>
      <c r="N16" s="418"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9"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IFERROR(__xludf.DUMMYFUNCTION("GOOGLETRANSLATE(B16,""zh-tw"",""KO"")"),"아이스크림처럼 얼려 보세요!")</f>
        <v>아이스크림처럼 얼려 보세요!</v>
      </c>
      <c r="W16" s="379" t="str">
        <f>IFERROR(__xludf.DUMMYFUNCTION("GOOGLETRANSLATE(C16,""zh-tw"",""KO"")"),"완전히 꽁꽁 얼었어요!")</f>
        <v>완전히 꽁꽁 얼었어요!</v>
      </c>
      <c r="X16" s="196" t="str">
        <f>IFERROR(__xludf.DUMMYFUNCTION("GOOGLETRANSLATE(D16,""zh-tw"",""KO"")"),"냉동 슬라임")</f>
        <v>냉동 슬라임</v>
      </c>
      <c r="Y16" s="197" t="s">
        <v>11799</v>
      </c>
      <c r="Z16" s="198" t="s">
        <v>11800</v>
      </c>
      <c r="AA16" s="379" t="s">
        <v>11801</v>
      </c>
      <c r="AB16" s="196" t="s">
        <v>11802</v>
      </c>
      <c r="AC16" s="382" t="str">
        <f>IFERROR(__xludf.DUMMYFUNCTION("GOOGLETRANSLATE(A16,""zh-tw"",""DE"")"),"Eis")</f>
        <v>Eis</v>
      </c>
      <c r="AD16" s="418"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11803</v>
      </c>
      <c r="AH16" s="167" t="s">
        <v>11804</v>
      </c>
      <c r="AI16" s="385" t="s">
        <v>11805</v>
      </c>
      <c r="AJ16" s="154" t="s">
        <v>6059</v>
      </c>
      <c r="AK16" s="153" t="s">
        <v>11806</v>
      </c>
      <c r="AL16" s="155" t="s">
        <v>11807</v>
      </c>
      <c r="AM16" s="380" t="s">
        <v>11808</v>
      </c>
      <c r="AN16" s="154" t="s">
        <v>6061</v>
      </c>
      <c r="AO16" s="197"/>
      <c r="AP16" s="155"/>
      <c r="AQ16" s="380"/>
      <c r="AR16" s="154"/>
      <c r="AS16" s="508"/>
      <c r="AT16" s="508"/>
    </row>
    <row r="17">
      <c r="A17" s="505" t="s">
        <v>11809</v>
      </c>
      <c r="B17" s="202" t="s">
        <v>11810</v>
      </c>
      <c r="C17" s="386" t="s">
        <v>11811</v>
      </c>
      <c r="D17" s="506" t="s">
        <v>11812</v>
      </c>
      <c r="E17" s="505" t="s">
        <v>11813</v>
      </c>
      <c r="F17" s="418" t="str">
        <f>IFERROR(__xludf.DUMMYFUNCTION("GOOGLETRANSLATE(B17,""zh-tw"",""ja"")"),"ふふ、私に反抗するとこうなるのね～♡")</f>
        <v>ふふ、私に反抗するとこうなるのね～♡</v>
      </c>
      <c r="G17" s="386" t="s">
        <v>11814</v>
      </c>
      <c r="H17" s="507" t="str">
        <f>IFERROR(__xludf.DUMMYFUNCTION("GOOGLETRANSLATE(D17,""zh-tw"",""ja"")"),"ミステリーショップでは魚はもらえません。")</f>
        <v>ミステリーショップでは魚はもらえません。</v>
      </c>
      <c r="I17" s="505" t="s">
        <v>11815</v>
      </c>
      <c r="J17" s="202" t="s">
        <v>11816</v>
      </c>
      <c r="K17" s="386" t="s">
        <v>11817</v>
      </c>
      <c r="L17" s="506" t="s">
        <v>11818</v>
      </c>
      <c r="M17" s="382" t="str">
        <f>IFERROR(__xludf.DUMMYFUNCTION("GOOGLETRANSLATE(A17,""zh-tw"",""zh"")"),"恶魔诅咒")</f>
        <v>恶魔诅咒</v>
      </c>
      <c r="N17" s="418"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11819</v>
      </c>
      <c r="Z17" s="198" t="s">
        <v>11820</v>
      </c>
      <c r="AA17" s="379" t="s">
        <v>11821</v>
      </c>
      <c r="AB17" s="196" t="s">
        <v>11822</v>
      </c>
      <c r="AC17" s="382" t="str">
        <f>IFERROR(__xludf.DUMMYFUNCTION("GOOGLETRANSLATE(A17,""zh-tw"",""DE"")"),"Dämonenfluch")</f>
        <v>Dämonenfluch</v>
      </c>
      <c r="AD17" s="418"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11823</v>
      </c>
      <c r="AH17" s="167" t="s">
        <v>11824</v>
      </c>
      <c r="AI17" s="380" t="s">
        <v>11825</v>
      </c>
      <c r="AJ17" s="166" t="s">
        <v>11826</v>
      </c>
      <c r="AK17" s="153" t="s">
        <v>11827</v>
      </c>
      <c r="AL17" s="155" t="s">
        <v>11828</v>
      </c>
      <c r="AM17" s="380" t="s">
        <v>11829</v>
      </c>
      <c r="AN17" s="154" t="s">
        <v>11830</v>
      </c>
      <c r="AO17" s="197"/>
      <c r="AP17" s="155"/>
      <c r="AQ17" s="380"/>
      <c r="AR17" s="154"/>
      <c r="AS17" s="508"/>
      <c r="AT17" s="508"/>
    </row>
    <row r="18">
      <c r="A18" s="505" t="s">
        <v>11831</v>
      </c>
      <c r="B18" s="202" t="s">
        <v>11832</v>
      </c>
      <c r="C18" s="386" t="s">
        <v>11833</v>
      </c>
      <c r="D18" s="506" t="s">
        <v>11834</v>
      </c>
      <c r="E18" s="505" t="s">
        <v>11835</v>
      </c>
      <c r="F18" s="418" t="str">
        <f>IFERROR(__xludf.DUMMYFUNCTION("GOOGLETRANSLATE(B18,""zh-tw"",""ja"")"),"ここは私の領土だから悪いことはしちゃダメよ！♡")</f>
        <v>ここは私の領土だから悪いことはしちゃダメよ！♡</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11836</v>
      </c>
      <c r="J18" s="202" t="s">
        <v>11837</v>
      </c>
      <c r="K18" s="386" t="s">
        <v>11838</v>
      </c>
      <c r="L18" s="506" t="s">
        <v>11839</v>
      </c>
      <c r="M18" s="382" t="str">
        <f>IFERROR(__xludf.DUMMYFUNCTION("GOOGLETRANSLATE(A18,""zh-tw"",""zh"")"),"禁止攻击")</f>
        <v>禁止攻击</v>
      </c>
      <c r="N18" s="418"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9"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11840</v>
      </c>
      <c r="Z18" s="198" t="s">
        <v>11841</v>
      </c>
      <c r="AA18" s="379" t="s">
        <v>11842</v>
      </c>
      <c r="AB18" s="196" t="s">
        <v>11843</v>
      </c>
      <c r="AC18" s="382" t="str">
        <f>IFERROR(__xludf.DUMMYFUNCTION("GOOGLETRANSLATE(A18,""zh-tw"",""DE"")"),"Nicht angreifen")</f>
        <v>Nicht angreifen</v>
      </c>
      <c r="AD18" s="418"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11844</v>
      </c>
      <c r="AH18" s="167" t="s">
        <v>11845</v>
      </c>
      <c r="AI18" s="385" t="s">
        <v>11846</v>
      </c>
      <c r="AJ18" s="154" t="s">
        <v>11847</v>
      </c>
      <c r="AK18" s="153" t="s">
        <v>11848</v>
      </c>
      <c r="AL18" s="155" t="s">
        <v>11849</v>
      </c>
      <c r="AM18" s="380" t="s">
        <v>11850</v>
      </c>
      <c r="AN18" s="154" t="s">
        <v>11851</v>
      </c>
      <c r="AO18" s="197"/>
      <c r="AP18" s="155"/>
      <c r="AQ18" s="380"/>
      <c r="AR18" s="154"/>
      <c r="AS18" s="508"/>
      <c r="AT18" s="508"/>
    </row>
    <row r="19">
      <c r="A19" s="505" t="s">
        <v>11852</v>
      </c>
      <c r="B19" s="202" t="s">
        <v>11853</v>
      </c>
      <c r="C19" s="386" t="s">
        <v>11854</v>
      </c>
      <c r="D19" s="506" t="s">
        <v>11855</v>
      </c>
      <c r="E19" s="505" t="s">
        <v>11856</v>
      </c>
      <c r="F19" s="202" t="s">
        <v>11857</v>
      </c>
      <c r="G19" s="386" t="s">
        <v>11858</v>
      </c>
      <c r="H19" s="507" t="str">
        <f>IFERROR(__xludf.DUMMYFUNCTION("GOOGLETRANSLATE(D19,""zh-tw"",""ja"")"),"妹にいたずらをすると怒る")</f>
        <v>妹にいたずらをすると怒る</v>
      </c>
      <c r="I19" s="505" t="s">
        <v>11859</v>
      </c>
      <c r="J19" s="202" t="s">
        <v>11860</v>
      </c>
      <c r="K19" s="386" t="s">
        <v>11861</v>
      </c>
      <c r="L19" s="506" t="s">
        <v>11862</v>
      </c>
      <c r="M19" s="382" t="str">
        <f>IFERROR(__xludf.DUMMYFUNCTION("GOOGLETRANSLATE(A19,""zh-tw"",""zh"")"),"不要受伤")</f>
        <v>不要受伤</v>
      </c>
      <c r="N19" s="418"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9"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11863</v>
      </c>
      <c r="Z19" s="198" t="s">
        <v>11864</v>
      </c>
      <c r="AA19" s="379" t="s">
        <v>11865</v>
      </c>
      <c r="AB19" s="196" t="s">
        <v>11866</v>
      </c>
      <c r="AC19" s="382" t="str">
        <f>IFERROR(__xludf.DUMMYFUNCTION("GOOGLETRANSLATE(A19,""zh-tw"",""DE"")"),"Verletz dich nicht.")</f>
        <v>Verletz dich nicht.</v>
      </c>
      <c r="AD19" s="418"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11867</v>
      </c>
      <c r="AH19" s="167" t="s">
        <v>11868</v>
      </c>
      <c r="AI19" s="380" t="s">
        <v>11867</v>
      </c>
      <c r="AJ19" s="166" t="s">
        <v>11869</v>
      </c>
      <c r="AK19" s="153" t="s">
        <v>11870</v>
      </c>
      <c r="AL19" s="155" t="s">
        <v>11871</v>
      </c>
      <c r="AM19" s="380" t="s">
        <v>11872</v>
      </c>
      <c r="AN19" s="154" t="s">
        <v>11873</v>
      </c>
      <c r="AO19" s="197"/>
      <c r="AP19" s="155"/>
      <c r="AQ19" s="380"/>
      <c r="AR19" s="154"/>
      <c r="AS19" s="508"/>
      <c r="AT19" s="508"/>
    </row>
    <row r="20">
      <c r="A20" s="505" t="s">
        <v>11874</v>
      </c>
      <c r="B20" s="202" t="s">
        <v>11853</v>
      </c>
      <c r="C20" s="386" t="s">
        <v>11875</v>
      </c>
      <c r="D20" s="506" t="s">
        <v>11855</v>
      </c>
      <c r="E20" s="505" t="s">
        <v>11876</v>
      </c>
      <c r="F20" s="202" t="s">
        <v>11857</v>
      </c>
      <c r="G20" s="383" t="str">
        <f>IFERROR(__xludf.DUMMYFUNCTION("GOOGLETRANSLATE(C20,""zh-tw"",""ja"")"),"肉料理を作る")</f>
        <v>肉料理を作る</v>
      </c>
      <c r="H20" s="507" t="str">
        <f>IFERROR(__xludf.DUMMYFUNCTION("GOOGLETRANSLATE(D20,""zh-tw"",""ja"")"),"妹にいたずらをすると怒る")</f>
        <v>妹にいたずらをすると怒る</v>
      </c>
      <c r="I20" s="505" t="s">
        <v>11877</v>
      </c>
      <c r="J20" s="202" t="s">
        <v>11860</v>
      </c>
      <c r="K20" s="383" t="str">
        <f>IFERROR(__xludf.DUMMYFUNCTION("GOOGLETRANSLATE(C20,""zh-tw"",""en"")"),"Making meat dishes")</f>
        <v>Making meat dishes</v>
      </c>
      <c r="L20" s="506" t="s">
        <v>11862</v>
      </c>
      <c r="M20" s="382" t="str">
        <f>IFERROR(__xludf.DUMMYFUNCTION("GOOGLETRANSLATE(A20,""zh-tw"",""zh"")"),"肉料理")</f>
        <v>肉料理</v>
      </c>
      <c r="N20" s="418"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9"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11878</v>
      </c>
      <c r="Z20" s="198" t="s">
        <v>11864</v>
      </c>
      <c r="AA20" s="379" t="s">
        <v>729</v>
      </c>
      <c r="AB20" s="196" t="s">
        <v>11866</v>
      </c>
      <c r="AC20" s="382" t="str">
        <f>IFERROR(__xludf.DUMMYFUNCTION("GOOGLETRANSLATE(A20,""zh-tw"",""DE"")"),"Fleischgerichte")</f>
        <v>Fleischgerichte</v>
      </c>
      <c r="AD20" s="418"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11879</v>
      </c>
      <c r="AH20" s="167" t="s">
        <v>11868</v>
      </c>
      <c r="AI20" s="380" t="s">
        <v>11880</v>
      </c>
      <c r="AJ20" s="154" t="s">
        <v>11881</v>
      </c>
      <c r="AK20" s="153" t="s">
        <v>11882</v>
      </c>
      <c r="AL20" s="155" t="s">
        <v>11871</v>
      </c>
      <c r="AM20" s="385" t="s">
        <v>11883</v>
      </c>
      <c r="AN20" s="154" t="s">
        <v>11873</v>
      </c>
      <c r="AO20" s="197"/>
      <c r="AP20" s="155"/>
      <c r="AQ20" s="385"/>
      <c r="AR20" s="154"/>
      <c r="AS20" s="508"/>
      <c r="AT20" s="508"/>
    </row>
    <row r="21">
      <c r="A21" s="505" t="s">
        <v>11884</v>
      </c>
      <c r="B21" s="202" t="s">
        <v>11885</v>
      </c>
      <c r="C21" s="386" t="s">
        <v>11886</v>
      </c>
      <c r="D21" s="506" t="s">
        <v>600</v>
      </c>
      <c r="E21" s="505" t="s">
        <v>673</v>
      </c>
      <c r="F21" s="418" t="str">
        <f>IFERROR(__xludf.DUMMYFUNCTION("GOOGLETRANSLATE(B21,""zh-tw"",""ja"")"),"...")</f>
        <v>...</v>
      </c>
      <c r="G21" s="386" t="s">
        <v>11887</v>
      </c>
      <c r="H21" s="506" t="s">
        <v>603</v>
      </c>
      <c r="I21" s="505" t="s">
        <v>11888</v>
      </c>
      <c r="J21" s="418" t="str">
        <f>IFERROR(__xludf.DUMMYFUNCTION("GOOGLETRANSLATE(B21,""zh-tw"",""en"")"),"...")</f>
        <v>...</v>
      </c>
      <c r="K21" s="386" t="s">
        <v>11889</v>
      </c>
      <c r="L21" s="506" t="s">
        <v>606</v>
      </c>
      <c r="M21" s="382" t="str">
        <f>IFERROR(__xludf.DUMMYFUNCTION("GOOGLETRANSLATE(A21,""zh-tw"",""zh"")"),"到底忘记了什么")</f>
        <v>到底忘记了什么</v>
      </c>
      <c r="N21" s="418"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11890</v>
      </c>
      <c r="Z21" s="198" t="s">
        <v>11891</v>
      </c>
      <c r="AA21" s="379" t="s">
        <v>11892</v>
      </c>
      <c r="AB21" s="196" t="s">
        <v>11893</v>
      </c>
      <c r="AC21" s="382" t="str">
        <f>IFERROR(__xludf.DUMMYFUNCTION("GOOGLETRANSLATE(A21,""zh-tw"",""DE"")"),"Was genau haben Sie vergessen?")</f>
        <v>Was genau haben Sie vergessen?</v>
      </c>
      <c r="AD21" s="418"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11894</v>
      </c>
      <c r="AH21" s="155" t="s">
        <v>11891</v>
      </c>
      <c r="AI21" s="385" t="s">
        <v>11895</v>
      </c>
      <c r="AJ21" s="154" t="s">
        <v>622</v>
      </c>
      <c r="AK21" s="153" t="s">
        <v>11896</v>
      </c>
      <c r="AL21" s="155" t="s">
        <v>1240</v>
      </c>
      <c r="AM21" s="380" t="s">
        <v>11897</v>
      </c>
      <c r="AN21" s="154" t="s">
        <v>625</v>
      </c>
      <c r="AO21" s="197"/>
      <c r="AP21" s="155"/>
      <c r="AQ21" s="380"/>
      <c r="AR21" s="154"/>
      <c r="AS21" s="508"/>
      <c r="AT21" s="508"/>
    </row>
    <row r="22">
      <c r="A22" s="505" t="s">
        <v>11898</v>
      </c>
      <c r="B22" s="202" t="s">
        <v>11899</v>
      </c>
      <c r="C22" s="386" t="s">
        <v>11900</v>
      </c>
      <c r="D22" s="506" t="s">
        <v>7272</v>
      </c>
      <c r="E22" s="505" t="s">
        <v>11901</v>
      </c>
      <c r="F22" s="202" t="s">
        <v>11902</v>
      </c>
      <c r="G22" s="383" t="str">
        <f>IFERROR(__xludf.DUMMYFUNCTION("GOOGLETRANSLATE(C22,""zh-tw"",""ja"")"),"彼の体は常に悪臭を放っていた")</f>
        <v>彼の体は常に悪臭を放っていた</v>
      </c>
      <c r="H22" s="506" t="s">
        <v>7274</v>
      </c>
      <c r="I22" s="505" t="s">
        <v>11903</v>
      </c>
      <c r="J22" s="202" t="s">
        <v>11904</v>
      </c>
      <c r="K22" s="386" t="s">
        <v>11905</v>
      </c>
      <c r="L22" s="506" t="s">
        <v>7276</v>
      </c>
      <c r="M22" s="382" t="str">
        <f>IFERROR(__xludf.DUMMYFUNCTION("GOOGLETRANSLATE(A22,""zh-tw"",""zh"")"),"浑身恶臭")</f>
        <v>浑身恶臭</v>
      </c>
      <c r="N22" s="418"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11906</v>
      </c>
      <c r="Z22" s="198" t="s">
        <v>11907</v>
      </c>
      <c r="AA22" s="379" t="s">
        <v>11908</v>
      </c>
      <c r="AB22" s="196" t="s">
        <v>11909</v>
      </c>
      <c r="AC22" s="382" t="str">
        <f>IFERROR(__xludf.DUMMYFUNCTION("GOOGLETRANSLATE(A22,""zh-tw"",""DE"")"),"Der ganze Körper roch widerlich.")</f>
        <v>Der ganze Körper roch widerlich.</v>
      </c>
      <c r="AD22" s="418"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11910</v>
      </c>
      <c r="AH22" s="155" t="s">
        <v>11911</v>
      </c>
      <c r="AI22" s="385" t="s">
        <v>11912</v>
      </c>
      <c r="AJ22" s="154" t="s">
        <v>7284</v>
      </c>
      <c r="AK22" s="153" t="s">
        <v>11913</v>
      </c>
      <c r="AL22" s="155" t="s">
        <v>11914</v>
      </c>
      <c r="AM22" s="380" t="s">
        <v>11915</v>
      </c>
      <c r="AN22" s="154" t="s">
        <v>7286</v>
      </c>
      <c r="AO22" s="197"/>
      <c r="AP22" s="155"/>
      <c r="AQ22" s="380"/>
      <c r="AR22" s="154"/>
      <c r="AS22" s="508"/>
      <c r="AT22" s="508"/>
    </row>
    <row r="23">
      <c r="A23" s="505" t="s">
        <v>11916</v>
      </c>
      <c r="B23" s="202" t="s">
        <v>11917</v>
      </c>
      <c r="C23" s="386" t="s">
        <v>11918</v>
      </c>
      <c r="D23" s="506" t="s">
        <v>11919</v>
      </c>
      <c r="E23" s="382" t="str">
        <f>IFERROR(__xludf.DUMMYFUNCTION("GOOGLETRANSLATE(A23,""zh-tw"",""ja"")"),"美味しい")</f>
        <v>美味しい</v>
      </c>
      <c r="F23" s="418" t="str">
        <f>IFERROR(__xludf.DUMMYFUNCTION("GOOGLETRANSLATE(B23,""zh-tw"",""ja"")"),"美味しいものを食べてお腹も温まりました〜")</f>
        <v>美味しいものを食べてお腹も温まりました〜</v>
      </c>
      <c r="G23" s="383" t="str">
        <f>IFERROR(__xludf.DUMMYFUNCTION("GOOGLETRANSLATE(C23,""zh-tw"",""ja"")"),"スタミナは1秒ごとに少しずつ回復します")</f>
        <v>スタミナは1秒ごとに少しずつ回復します</v>
      </c>
      <c r="H23" s="507" t="str">
        <f>IFERROR(__xludf.DUMMYFUNCTION("GOOGLETRANSLATE(D23,""zh-tw"",""ja"")"),"美味しい料理")</f>
        <v>美味しい料理</v>
      </c>
      <c r="I23" s="505" t="s">
        <v>11920</v>
      </c>
      <c r="J23" s="202" t="s">
        <v>11921</v>
      </c>
      <c r="K23" s="386" t="s">
        <v>11922</v>
      </c>
      <c r="L23" s="506" t="s">
        <v>11923</v>
      </c>
      <c r="M23" s="382" t="str">
        <f>IFERROR(__xludf.DUMMYFUNCTION("GOOGLETRANSLATE(A23,""zh-tw"",""zh"")"),"美味い")</f>
        <v>美味い</v>
      </c>
      <c r="N23" s="418"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9"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11924</v>
      </c>
      <c r="Z23" s="198" t="s">
        <v>11925</v>
      </c>
      <c r="AA23" s="379" t="s">
        <v>11926</v>
      </c>
      <c r="AB23" s="196" t="s">
        <v>11927</v>
      </c>
      <c r="AC23" s="382" t="str">
        <f>IFERROR(__xludf.DUMMYFUNCTION("GOOGLETRANSLATE(A23,""zh-tw"",""DE"")"),"Lecker")</f>
        <v>Lecker</v>
      </c>
      <c r="AD23" s="418"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11928</v>
      </c>
      <c r="AH23" s="167" t="s">
        <v>11929</v>
      </c>
      <c r="AI23" s="380" t="s">
        <v>11930</v>
      </c>
      <c r="AJ23" s="166" t="s">
        <v>11931</v>
      </c>
      <c r="AK23" s="153" t="s">
        <v>11932</v>
      </c>
      <c r="AL23" s="155" t="s">
        <v>11933</v>
      </c>
      <c r="AM23" s="380" t="s">
        <v>11934</v>
      </c>
      <c r="AN23" s="154" t="s">
        <v>11935</v>
      </c>
      <c r="AO23" s="197"/>
      <c r="AP23" s="155"/>
      <c r="AQ23" s="380"/>
      <c r="AR23" s="154"/>
      <c r="AS23" s="508"/>
      <c r="AT23" s="508"/>
    </row>
    <row r="24">
      <c r="A24" s="505" t="s">
        <v>11936</v>
      </c>
      <c r="B24" s="202" t="s">
        <v>11937</v>
      </c>
      <c r="C24" s="386" t="s">
        <v>11938</v>
      </c>
      <c r="D24" s="506" t="s">
        <v>11939</v>
      </c>
      <c r="E24" s="505" t="s">
        <v>11940</v>
      </c>
      <c r="F24" s="202" t="s">
        <v>11941</v>
      </c>
      <c r="G24" s="383" t="str">
        <f>IFERROR(__xludf.DUMMYFUNCTION("GOOGLETRANSLATE(C24,""zh-tw"",""ja"")"),"攻撃力+50%")</f>
        <v>攻撃力+50%</v>
      </c>
      <c r="H24" s="507" t="str">
        <f>IFERROR(__xludf.DUMMYFUNCTION("GOOGLETRANSLATE(D24,""zh-tw"",""ja"")"),"食べ物")</f>
        <v>食べ物</v>
      </c>
      <c r="I24" s="505" t="s">
        <v>11942</v>
      </c>
      <c r="J24" s="202" t="s">
        <v>11943</v>
      </c>
      <c r="K24" s="386" t="s">
        <v>11944</v>
      </c>
      <c r="L24" s="506" t="s">
        <v>11945</v>
      </c>
      <c r="M24" s="382" t="str">
        <f>IFERROR(__xludf.DUMMYFUNCTION("GOOGLETRANSLATE(A24,""zh-tw"",""zh"")"),"力量提升")</f>
        <v>力量提升</v>
      </c>
      <c r="N24" s="418"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11946</v>
      </c>
      <c r="Z24" s="198" t="s">
        <v>11947</v>
      </c>
      <c r="AA24" s="379" t="s">
        <v>11948</v>
      </c>
      <c r="AB24" s="196" t="s">
        <v>11949</v>
      </c>
      <c r="AC24" s="382" t="str">
        <f>IFERROR(__xludf.DUMMYFUNCTION("GOOGLETRANSLATE(A24,""zh-tw"",""DE"")"),"Kraftsteigerung")</f>
        <v>Kraftsteigerung</v>
      </c>
      <c r="AD24" s="418"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11950</v>
      </c>
      <c r="AH24" s="167" t="s">
        <v>11951</v>
      </c>
      <c r="AI24" s="380" t="s">
        <v>11952</v>
      </c>
      <c r="AJ24" s="154" t="s">
        <v>11953</v>
      </c>
      <c r="AK24" s="153" t="s">
        <v>11954</v>
      </c>
      <c r="AL24" s="155" t="s">
        <v>11955</v>
      </c>
      <c r="AM24" s="380" t="s">
        <v>11956</v>
      </c>
      <c r="AN24" s="154" t="s">
        <v>11957</v>
      </c>
      <c r="AO24" s="197"/>
      <c r="AP24" s="155"/>
      <c r="AQ24" s="380"/>
      <c r="AR24" s="154"/>
      <c r="AS24" s="508"/>
      <c r="AT24" s="508"/>
    </row>
    <row r="25">
      <c r="A25" s="505" t="s">
        <v>11958</v>
      </c>
      <c r="B25" s="202" t="s">
        <v>11959</v>
      </c>
      <c r="C25" s="386" t="s">
        <v>11960</v>
      </c>
      <c r="D25" s="506" t="s">
        <v>11939</v>
      </c>
      <c r="E25" s="505" t="s">
        <v>11961</v>
      </c>
      <c r="F25" s="202" t="s">
        <v>11962</v>
      </c>
      <c r="G25" s="383" t="str">
        <f>IFERROR(__xludf.DUMMYFUNCTION("GOOGLETRANSLATE(C25,""zh-tw"",""ja"")"),"魔法力+50%")</f>
        <v>魔法力+50%</v>
      </c>
      <c r="H25" s="507" t="str">
        <f>IFERROR(__xludf.DUMMYFUNCTION("GOOGLETRANSLATE(D25,""zh-tw"",""ja"")"),"食べ物")</f>
        <v>食べ物</v>
      </c>
      <c r="I25" s="505" t="s">
        <v>11963</v>
      </c>
      <c r="J25" s="202" t="s">
        <v>11964</v>
      </c>
      <c r="K25" s="386" t="s">
        <v>11965</v>
      </c>
      <c r="L25" s="506" t="s">
        <v>11945</v>
      </c>
      <c r="M25" s="382" t="str">
        <f>IFERROR(__xludf.DUMMYFUNCTION("GOOGLETRANSLATE(A25,""zh-tw"",""zh"")"),"魔力提升")</f>
        <v>魔力提升</v>
      </c>
      <c r="N25" s="418"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11966</v>
      </c>
      <c r="Z25" s="198" t="s">
        <v>11967</v>
      </c>
      <c r="AA25" s="379" t="s">
        <v>11968</v>
      </c>
      <c r="AB25" s="196" t="s">
        <v>11949</v>
      </c>
      <c r="AC25" s="382" t="str">
        <f>IFERROR(__xludf.DUMMYFUNCTION("GOOGLETRANSLATE(A25,""zh-tw"",""DE"")"),"Magische Verstärkung")</f>
        <v>Magische Verstärkung</v>
      </c>
      <c r="AD25" s="418"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11969</v>
      </c>
      <c r="AH25" s="167" t="s">
        <v>11970</v>
      </c>
      <c r="AI25" s="380" t="s">
        <v>11971</v>
      </c>
      <c r="AJ25" s="154" t="s">
        <v>11953</v>
      </c>
      <c r="AK25" s="153" t="s">
        <v>11972</v>
      </c>
      <c r="AL25" s="155" t="s">
        <v>11973</v>
      </c>
      <c r="AM25" s="380" t="s">
        <v>11974</v>
      </c>
      <c r="AN25" s="154" t="s">
        <v>11957</v>
      </c>
      <c r="AO25" s="197"/>
      <c r="AP25" s="155"/>
      <c r="AQ25" s="380"/>
      <c r="AR25" s="154"/>
      <c r="AS25" s="508"/>
      <c r="AT25" s="508"/>
    </row>
    <row r="26">
      <c r="A26" s="505" t="s">
        <v>11975</v>
      </c>
      <c r="B26" s="202" t="s">
        <v>11976</v>
      </c>
      <c r="C26" s="386" t="s">
        <v>11977</v>
      </c>
      <c r="D26" s="506" t="s">
        <v>11939</v>
      </c>
      <c r="E26" s="382" t="str">
        <f>IFERROR(__xludf.DUMMYFUNCTION("GOOGLETRANSLATE(A26,""zh-tw"",""ja"")"),"速度増加")</f>
        <v>速度増加</v>
      </c>
      <c r="F26" s="418" t="str">
        <f>IFERROR(__xludf.DUMMYFUNCTION("GOOGLETRANSLATE(B26,""zh-tw"",""ja"")"),"ついていけるかな…？私のスピード！")</f>
        <v>ついていけるかな…？私のスピード！</v>
      </c>
      <c r="G26" s="383" t="str">
        <f>IFERROR(__xludf.DUMMYFUNCTION("GOOGLETRANSLATE(C26,""zh-tw"",""ja"")"),"移動速度の向上")</f>
        <v>移動速度の向上</v>
      </c>
      <c r="H26" s="507" t="str">
        <f>IFERROR(__xludf.DUMMYFUNCTION("GOOGLETRANSLATE(D26,""zh-tw"",""ja"")"),"食べ物")</f>
        <v>食べ物</v>
      </c>
      <c r="I26" s="505" t="s">
        <v>11978</v>
      </c>
      <c r="J26" s="202" t="s">
        <v>11979</v>
      </c>
      <c r="K26" s="386" t="s">
        <v>11980</v>
      </c>
      <c r="L26" s="506" t="s">
        <v>11945</v>
      </c>
      <c r="M26" s="382" t="str">
        <f>IFERROR(__xludf.DUMMYFUNCTION("GOOGLETRANSLATE(A26,""zh-tw"",""zh"")"),"速度提升")</f>
        <v>速度提升</v>
      </c>
      <c r="N26" s="418"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11981</v>
      </c>
      <c r="Z26" s="198" t="s">
        <v>11982</v>
      </c>
      <c r="AA26" s="379" t="s">
        <v>11983</v>
      </c>
      <c r="AB26" s="196" t="s">
        <v>11949</v>
      </c>
      <c r="AC26" s="382" t="str">
        <f>IFERROR(__xludf.DUMMYFUNCTION("GOOGLETRANSLATE(A26,""zh-tw"",""DE"")"),"Geschwindigkeitserhöhung")</f>
        <v>Geschwindigkeitserhöhung</v>
      </c>
      <c r="AD26" s="418"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11984</v>
      </c>
      <c r="AH26" s="167" t="s">
        <v>11985</v>
      </c>
      <c r="AI26" s="380" t="s">
        <v>11986</v>
      </c>
      <c r="AJ26" s="154" t="s">
        <v>11953</v>
      </c>
      <c r="AK26" s="153" t="s">
        <v>11987</v>
      </c>
      <c r="AL26" s="155" t="s">
        <v>11988</v>
      </c>
      <c r="AM26" s="380" t="s">
        <v>11989</v>
      </c>
      <c r="AN26" s="154" t="s">
        <v>11957</v>
      </c>
      <c r="AO26" s="197"/>
      <c r="AP26" s="155"/>
      <c r="AQ26" s="380"/>
      <c r="AR26" s="154"/>
      <c r="AS26" s="508"/>
      <c r="AT26" s="508"/>
    </row>
    <row r="27">
      <c r="A27" s="505" t="s">
        <v>11990</v>
      </c>
      <c r="B27" s="202" t="s">
        <v>11991</v>
      </c>
      <c r="C27" s="386" t="s">
        <v>11992</v>
      </c>
      <c r="D27" s="506" t="s">
        <v>11993</v>
      </c>
      <c r="E27" s="382" t="str">
        <f>IFERROR(__xludf.DUMMYFUNCTION("GOOGLETRANSLATE(A27,""zh-tw"",""ja"")"),"巨神兵")</f>
        <v>巨神兵</v>
      </c>
      <c r="F27" s="202" t="s">
        <v>11994</v>
      </c>
      <c r="G27" s="386" t="s">
        <v>11995</v>
      </c>
      <c r="H27" s="507" t="str">
        <f>IFERROR(__xludf.DUMMYFUNCTION("GOOGLETRANSLATE(D27,""zh-tw"",""ja"")"),"タロットカード")</f>
        <v>タロットカード</v>
      </c>
      <c r="I27" s="505" t="s">
        <v>11996</v>
      </c>
      <c r="J27" s="202" t="s">
        <v>11997</v>
      </c>
      <c r="K27" s="386" t="s">
        <v>11998</v>
      </c>
      <c r="L27" s="506" t="s">
        <v>11999</v>
      </c>
      <c r="M27" s="382" t="str">
        <f>IFERROR(__xludf.DUMMYFUNCTION("GOOGLETRANSLATE(A27,""zh-tw"",""zh"")"),"巨神兵")</f>
        <v>巨神兵</v>
      </c>
      <c r="N27" s="418"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9"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12000</v>
      </c>
      <c r="Z27" s="198" t="s">
        <v>12001</v>
      </c>
      <c r="AA27" s="379" t="s">
        <v>12002</v>
      </c>
      <c r="AB27" s="196" t="s">
        <v>12003</v>
      </c>
      <c r="AC27" s="382" t="str">
        <f>IFERROR(__xludf.DUMMYFUNCTION("GOOGLETRANSLATE(A27,""zh-tw"",""DE"")"),"Riesengottsoldat")</f>
        <v>Riesengottsoldat</v>
      </c>
      <c r="AD27" s="418"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12004</v>
      </c>
      <c r="AH27" s="155" t="s">
        <v>12005</v>
      </c>
      <c r="AI27" s="385" t="s">
        <v>12006</v>
      </c>
      <c r="AJ27" s="154" t="s">
        <v>12007</v>
      </c>
      <c r="AK27" s="153" t="s">
        <v>12008</v>
      </c>
      <c r="AL27" s="155" t="s">
        <v>12009</v>
      </c>
      <c r="AM27" s="380" t="s">
        <v>12010</v>
      </c>
      <c r="AN27" s="154" t="s">
        <v>12011</v>
      </c>
      <c r="AO27" s="197"/>
      <c r="AP27" s="155"/>
      <c r="AQ27" s="380"/>
      <c r="AR27" s="154"/>
      <c r="AS27" s="508"/>
      <c r="AT27" s="508"/>
    </row>
    <row r="28">
      <c r="A28" s="505" t="s">
        <v>12012</v>
      </c>
      <c r="B28" s="202" t="s">
        <v>12013</v>
      </c>
      <c r="C28" s="386" t="s">
        <v>12014</v>
      </c>
      <c r="D28" s="506" t="s">
        <v>11993</v>
      </c>
      <c r="E28" s="505" t="s">
        <v>12015</v>
      </c>
      <c r="F28" s="418" t="str">
        <f>IFERROR(__xludf.DUMMYFUNCTION("GOOGLETRANSLATE(B28,""zh-tw"",""ja"")"),"運命の流れ…")</f>
        <v>運命の流れ…</v>
      </c>
      <c r="G28" s="383"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12016</v>
      </c>
      <c r="J28" s="202" t="s">
        <v>12017</v>
      </c>
      <c r="K28" s="383" t="str">
        <f>IFERROR(__xludf.DUMMYFUNCTION("GOOGLETRANSLATE(C28,""zh-tw"",""en"")"),"With the blessing of fate, it's easier to encounter happy things!")</f>
        <v>With the blessing of fate, it's easier to encounter happy things!</v>
      </c>
      <c r="L28" s="506" t="s">
        <v>12018</v>
      </c>
      <c r="M28" s="382" t="str">
        <f>IFERROR(__xludf.DUMMYFUNCTION("GOOGLETRANSLATE(A28,""zh-tw"",""zh"")"),"命运之轮-正")</f>
        <v>命运之轮-正</v>
      </c>
      <c r="N28" s="418"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9"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12019</v>
      </c>
      <c r="Z28" s="198" t="s">
        <v>12020</v>
      </c>
      <c r="AA28" s="379" t="s">
        <v>12021</v>
      </c>
      <c r="AB28" s="196" t="s">
        <v>12003</v>
      </c>
      <c r="AC28" s="382" t="str">
        <f>IFERROR(__xludf.DUMMYFUNCTION("GOOGLETRANSLATE(A28,""zh-tw"",""DE"")"),"Glücksrad - Rechts")</f>
        <v>Glücksrad - Rechts</v>
      </c>
      <c r="AD28" s="418"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12022</v>
      </c>
      <c r="AH28" s="167" t="s">
        <v>12023</v>
      </c>
      <c r="AI28" s="385" t="s">
        <v>12024</v>
      </c>
      <c r="AJ28" s="154" t="s">
        <v>12025</v>
      </c>
      <c r="AK28" s="153" t="s">
        <v>12026</v>
      </c>
      <c r="AL28" s="155" t="s">
        <v>12027</v>
      </c>
      <c r="AM28" s="380" t="s">
        <v>12028</v>
      </c>
      <c r="AN28" s="154" t="s">
        <v>12029</v>
      </c>
      <c r="AO28" s="197"/>
      <c r="AP28" s="155"/>
      <c r="AQ28" s="380"/>
      <c r="AR28" s="154"/>
      <c r="AS28" s="508"/>
      <c r="AT28" s="508"/>
    </row>
    <row r="29">
      <c r="A29" s="505" t="s">
        <v>12030</v>
      </c>
      <c r="B29" s="202" t="s">
        <v>12031</v>
      </c>
      <c r="C29" s="386" t="s">
        <v>12032</v>
      </c>
      <c r="D29" s="506" t="s">
        <v>11993</v>
      </c>
      <c r="E29" s="505" t="s">
        <v>12033</v>
      </c>
      <c r="F29" s="418" t="str">
        <f>IFERROR(__xludf.DUMMYFUNCTION("GOOGLETRANSLATE(B29,""zh-tw"",""ja"")"),"運命は流れる…")</f>
        <v>運命は流れる…</v>
      </c>
      <c r="G29" s="383"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12034</v>
      </c>
      <c r="J29" s="202" t="s">
        <v>12035</v>
      </c>
      <c r="K29" s="383" t="str">
        <f>IFERROR(__xludf.DUMMYFUNCTION("GOOGLETRANSLATE(C29,""zh-tw"",""en"")"),"Being blessed by fate makes it easier to encounter difficult things!")</f>
        <v>Being blessed by fate makes it easier to encounter difficult things!</v>
      </c>
      <c r="L29" s="506" t="s">
        <v>12018</v>
      </c>
      <c r="M29" s="382" t="str">
        <f>IFERROR(__xludf.DUMMYFUNCTION("GOOGLETRANSLATE(A29,""zh-tw"",""zh"")"),"命运之轮-逆")</f>
        <v>命运之轮-逆</v>
      </c>
      <c r="N29" s="418"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12036</v>
      </c>
      <c r="Z29" s="198" t="s">
        <v>12020</v>
      </c>
      <c r="AA29" s="379" t="s">
        <v>12037</v>
      </c>
      <c r="AB29" s="196" t="s">
        <v>12003</v>
      </c>
      <c r="AC29" s="382" t="str">
        <f>IFERROR(__xludf.DUMMYFUNCTION("GOOGLETRANSLATE(A29,""zh-tw"",""DE"")"),"Glücksrad – Rückwärts")</f>
        <v>Glücksrad – Rückwärts</v>
      </c>
      <c r="AD29" s="418"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12038</v>
      </c>
      <c r="AH29" s="167" t="s">
        <v>12039</v>
      </c>
      <c r="AI29" s="385" t="s">
        <v>12040</v>
      </c>
      <c r="AJ29" s="154" t="s">
        <v>12025</v>
      </c>
      <c r="AK29" s="153" t="s">
        <v>12041</v>
      </c>
      <c r="AL29" s="155" t="s">
        <v>12042</v>
      </c>
      <c r="AM29" s="380" t="s">
        <v>12043</v>
      </c>
      <c r="AN29" s="154" t="s">
        <v>12029</v>
      </c>
      <c r="AO29" s="197"/>
      <c r="AP29" s="155"/>
      <c r="AQ29" s="380"/>
      <c r="AR29" s="154"/>
      <c r="AS29" s="508"/>
      <c r="AT29" s="508"/>
    </row>
    <row r="30">
      <c r="A30" s="505" t="s">
        <v>12044</v>
      </c>
      <c r="B30" s="202" t="s">
        <v>12045</v>
      </c>
      <c r="C30" s="386" t="s">
        <v>12046</v>
      </c>
      <c r="D30" s="506" t="s">
        <v>9878</v>
      </c>
      <c r="E30" s="505" t="s">
        <v>12047</v>
      </c>
      <c r="F30" s="202" t="s">
        <v>12048</v>
      </c>
      <c r="G30" s="386" t="s">
        <v>12049</v>
      </c>
      <c r="H30" s="506" t="s">
        <v>9880</v>
      </c>
      <c r="I30" s="505" t="s">
        <v>12050</v>
      </c>
      <c r="J30" s="202" t="s">
        <v>12051</v>
      </c>
      <c r="K30" s="386" t="s">
        <v>12052</v>
      </c>
      <c r="L30" s="506" t="s">
        <v>9882</v>
      </c>
      <c r="M30" s="382" t="str">
        <f>IFERROR(__xludf.DUMMYFUNCTION("GOOGLETRANSLATE(A30,""zh-tw"",""zh"")"),"生命力")</f>
        <v>生命力</v>
      </c>
      <c r="N30" s="418"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12053</v>
      </c>
      <c r="Z30" s="198" t="s">
        <v>12054</v>
      </c>
      <c r="AA30" s="379" t="s">
        <v>12055</v>
      </c>
      <c r="AB30" s="196" t="s">
        <v>12056</v>
      </c>
      <c r="AC30" s="382" t="str">
        <f>IFERROR(__xludf.DUMMYFUNCTION("GOOGLETRANSLATE(A30,""zh-tw"",""DE"")"),"Vitalität")</f>
        <v>Vitalität</v>
      </c>
      <c r="AD30" s="418"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12057</v>
      </c>
      <c r="AH30" s="167" t="s">
        <v>12058</v>
      </c>
      <c r="AI30" s="385" t="s">
        <v>12059</v>
      </c>
      <c r="AJ30" s="154" t="s">
        <v>9891</v>
      </c>
      <c r="AK30" s="153" t="s">
        <v>12060</v>
      </c>
      <c r="AL30" s="155" t="s">
        <v>12061</v>
      </c>
      <c r="AM30" s="380" t="s">
        <v>12062</v>
      </c>
      <c r="AN30" s="154" t="s">
        <v>9893</v>
      </c>
      <c r="AO30" s="197"/>
      <c r="AP30" s="155"/>
      <c r="AQ30" s="380"/>
      <c r="AR30" s="154"/>
      <c r="AS30" s="508"/>
      <c r="AT30" s="508"/>
    </row>
    <row r="31">
      <c r="A31" s="505" t="s">
        <v>12063</v>
      </c>
      <c r="B31" s="202" t="s">
        <v>12064</v>
      </c>
      <c r="C31" s="386" t="s">
        <v>12065</v>
      </c>
      <c r="D31" s="506" t="s">
        <v>12066</v>
      </c>
      <c r="E31" s="505" t="s">
        <v>12067</v>
      </c>
      <c r="F31" s="202" t="s">
        <v>12068</v>
      </c>
      <c r="G31" s="383"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12069</v>
      </c>
      <c r="I31" s="505" t="s">
        <v>12070</v>
      </c>
      <c r="J31" s="202" t="s">
        <v>12071</v>
      </c>
      <c r="K31" s="386" t="s">
        <v>12072</v>
      </c>
      <c r="L31" s="506" t="s">
        <v>12073</v>
      </c>
      <c r="M31" s="382" t="str">
        <f>IFERROR(__xludf.DUMMYFUNCTION("GOOGLETRANSLATE(A31,""zh-tw"",""zh"")"),"力不从心")</f>
        <v>力不从心</v>
      </c>
      <c r="N31" s="418"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12074</v>
      </c>
      <c r="Z31" s="198" t="s">
        <v>12075</v>
      </c>
      <c r="AA31" s="379" t="s">
        <v>12076</v>
      </c>
      <c r="AB31" s="196" t="s">
        <v>12077</v>
      </c>
      <c r="AC31" s="382" t="str">
        <f>IFERROR(__xludf.DUMMYFUNCTION("GOOGLETRANSLATE(A31,""zh-tw"",""DE"")"),"Ich fühle mich machtlos")</f>
        <v>Ich fühle mich machtlos</v>
      </c>
      <c r="AD31" s="418"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12078</v>
      </c>
      <c r="AH31" s="167" t="s">
        <v>12079</v>
      </c>
      <c r="AI31" s="385" t="s">
        <v>12080</v>
      </c>
      <c r="AJ31" s="154" t="s">
        <v>12081</v>
      </c>
      <c r="AK31" s="153" t="s">
        <v>12082</v>
      </c>
      <c r="AL31" s="155" t="s">
        <v>12083</v>
      </c>
      <c r="AM31" s="380" t="s">
        <v>12084</v>
      </c>
      <c r="AN31" s="154" t="s">
        <v>12085</v>
      </c>
      <c r="AO31" s="197"/>
      <c r="AP31" s="155"/>
      <c r="AQ31" s="380"/>
      <c r="AR31" s="154"/>
      <c r="AS31" s="508"/>
      <c r="AT31" s="508"/>
    </row>
    <row r="32">
      <c r="A32" s="505" t="s">
        <v>12086</v>
      </c>
      <c r="B32" s="202" t="s">
        <v>12087</v>
      </c>
      <c r="C32" s="386" t="s">
        <v>12088</v>
      </c>
      <c r="D32" s="506" t="s">
        <v>8862</v>
      </c>
      <c r="E32" s="505" t="s">
        <v>12089</v>
      </c>
      <c r="F32" s="418" t="str">
        <f>IFERROR(__xludf.DUMMYFUNCTION("GOOGLETRANSLATE(B32,""zh-tw"",""ja"")"),"祝福を享受できますように")</f>
        <v>祝福を享受できますように</v>
      </c>
      <c r="G32" s="386" t="s">
        <v>12090</v>
      </c>
      <c r="H32" s="506" t="s">
        <v>8864</v>
      </c>
      <c r="I32" s="505" t="s">
        <v>12091</v>
      </c>
      <c r="J32" s="202" t="s">
        <v>12092</v>
      </c>
      <c r="K32" s="386" t="s">
        <v>12093</v>
      </c>
      <c r="L32" s="506" t="s">
        <v>8866</v>
      </c>
      <c r="M32" s="382" t="str">
        <f>IFERROR(__xludf.DUMMYFUNCTION("GOOGLETRANSLATE(A32,""zh-tw"",""zh"")"),"丰收的祝福")</f>
        <v>丰收的祝福</v>
      </c>
      <c r="N32" s="418"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12094</v>
      </c>
      <c r="Z32" s="198" t="s">
        <v>12095</v>
      </c>
      <c r="AA32" s="379" t="s">
        <v>12096</v>
      </c>
      <c r="AB32" s="196" t="s">
        <v>8871</v>
      </c>
      <c r="AC32" s="382" t="str">
        <f>IFERROR(__xludf.DUMMYFUNCTION("GOOGLETRANSLATE(A32,""zh-tw"",""DE"")"),"Segen einer reichen Ernte")</f>
        <v>Segen einer reichen Ernte</v>
      </c>
      <c r="AD32" s="418"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12097</v>
      </c>
      <c r="AH32" s="167" t="s">
        <v>12098</v>
      </c>
      <c r="AI32" s="380" t="s">
        <v>12099</v>
      </c>
      <c r="AJ32" s="154" t="s">
        <v>12100</v>
      </c>
      <c r="AK32" s="153" t="s">
        <v>12101</v>
      </c>
      <c r="AL32" s="155" t="s">
        <v>12102</v>
      </c>
      <c r="AM32" s="380" t="s">
        <v>12103</v>
      </c>
      <c r="AN32" s="509" t="s">
        <v>12104</v>
      </c>
      <c r="AO32" s="197"/>
      <c r="AP32" s="155"/>
      <c r="AQ32" s="380"/>
      <c r="AR32" s="509"/>
      <c r="AS32" s="508"/>
      <c r="AT32" s="508"/>
    </row>
    <row r="33">
      <c r="A33" s="505" t="s">
        <v>12105</v>
      </c>
      <c r="B33" s="202" t="s">
        <v>1240</v>
      </c>
      <c r="C33" s="386" t="s">
        <v>1240</v>
      </c>
      <c r="D33" s="506" t="s">
        <v>12106</v>
      </c>
      <c r="E33" s="382" t="str">
        <f>IFERROR(__xludf.DUMMYFUNCTION("GOOGLETRANSLATE(A33,""zh-tw"",""ja"")"),"氷床")</f>
        <v>氷床</v>
      </c>
      <c r="F33" s="418" t="str">
        <f>IFERROR(__xludf.DUMMYFUNCTION("GOOGLETRANSLATE(B33,""zh-tw"",""ja"")"),"-")</f>
        <v>-</v>
      </c>
      <c r="G33" s="383" t="str">
        <f>IFERROR(__xludf.DUMMYFUNCTION("GOOGLETRANSLATE(C33,""zh-tw"",""ja"")"),"-")</f>
        <v>-</v>
      </c>
      <c r="H33" s="507" t="str">
        <f>IFERROR(__xludf.DUMMYFUNCTION("GOOGLETRANSLATE(D33,""zh-tw"",""ja"")"),"例えば、古いバージョンのアイススタッフ")</f>
        <v>例えば、古いバージョンのアイススタッフ</v>
      </c>
      <c r="I33" s="505" t="s">
        <v>12107</v>
      </c>
      <c r="J33" s="418" t="str">
        <f>IFERROR(__xludf.DUMMYFUNCTION("GOOGLETRANSLATE(B33,""zh-tw"",""en"")"),"-")</f>
        <v>-</v>
      </c>
      <c r="K33" s="383" t="str">
        <f>IFERROR(__xludf.DUMMYFUNCTION("GOOGLETRANSLATE(C33,""zh-tw"",""en"")"),"-")</f>
        <v>-</v>
      </c>
      <c r="L33" s="506" t="s">
        <v>12108</v>
      </c>
      <c r="M33" s="382" t="str">
        <f>IFERROR(__xludf.DUMMYFUNCTION("GOOGLETRANSLATE(A33,""zh-tw"",""zh"")"),"冰地板")</f>
        <v>冰地板</v>
      </c>
      <c r="N33" s="418"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9"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12109</v>
      </c>
      <c r="Z33" s="198" t="s">
        <v>1240</v>
      </c>
      <c r="AA33" s="379" t="s">
        <v>1240</v>
      </c>
      <c r="AB33" s="196" t="s">
        <v>12110</v>
      </c>
      <c r="AC33" s="382" t="str">
        <f>IFERROR(__xludf.DUMMYFUNCTION("GOOGLETRANSLATE(A33,""zh-tw"",""DE"")"),"Eisboden")</f>
        <v>Eisboden</v>
      </c>
      <c r="AD33" s="418"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12111</v>
      </c>
      <c r="AH33" s="155" t="s">
        <v>1240</v>
      </c>
      <c r="AI33" s="380" t="s">
        <v>1240</v>
      </c>
      <c r="AJ33" s="154" t="s">
        <v>12112</v>
      </c>
      <c r="AK33" s="153" t="s">
        <v>12113</v>
      </c>
      <c r="AL33" s="155" t="s">
        <v>1240</v>
      </c>
      <c r="AM33" s="380" t="s">
        <v>1240</v>
      </c>
      <c r="AN33" s="154" t="s">
        <v>12114</v>
      </c>
      <c r="AO33" s="197"/>
      <c r="AP33" s="155"/>
      <c r="AQ33" s="380"/>
      <c r="AR33" s="154"/>
      <c r="AS33" s="508"/>
      <c r="AT33" s="508"/>
    </row>
    <row r="34">
      <c r="A34" s="505" t="s">
        <v>12115</v>
      </c>
      <c r="B34" s="202" t="s">
        <v>12116</v>
      </c>
      <c r="C34" s="386" t="s">
        <v>12117</v>
      </c>
      <c r="D34" s="506" t="s">
        <v>7761</v>
      </c>
      <c r="E34" s="505" t="s">
        <v>7763</v>
      </c>
      <c r="F34" s="202" t="s">
        <v>12118</v>
      </c>
      <c r="G34" s="383" t="str">
        <f>IFERROR(__xludf.DUMMYFUNCTION("GOOGLETRANSLATE(C34,""zh-tw"",""ja"")"),"全属性が上昇し、一時的に無敵になる。")</f>
        <v>全属性が上昇し、一時的に無敵になる。</v>
      </c>
      <c r="H34" s="506" t="s">
        <v>7763</v>
      </c>
      <c r="I34" s="505" t="s">
        <v>7765</v>
      </c>
      <c r="J34" s="202" t="s">
        <v>12119</v>
      </c>
      <c r="K34" s="386" t="s">
        <v>12120</v>
      </c>
      <c r="L34" s="506" t="s">
        <v>7765</v>
      </c>
      <c r="M34" s="382" t="str">
        <f>IFERROR(__xludf.DUMMYFUNCTION("GOOGLETRANSLATE(A34,""zh-tw"",""zh"")"),"上古荣光")</f>
        <v>上古荣光</v>
      </c>
      <c r="N34" s="418"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7767</v>
      </c>
      <c r="Z34" s="198" t="s">
        <v>12121</v>
      </c>
      <c r="AA34" s="379" t="s">
        <v>12122</v>
      </c>
      <c r="AB34" s="196" t="s">
        <v>7767</v>
      </c>
      <c r="AC34" s="197" t="str">
        <f>IFERROR(__xludf.DUMMYFUNCTION("GOOGLETRANSLATE(A34,""zh-tw"",""DE"")"),"Antiker Ruhm")</f>
        <v>Antiker Ruhm</v>
      </c>
      <c r="AD34" s="418"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12123</v>
      </c>
      <c r="AH34" s="167" t="s">
        <v>12124</v>
      </c>
      <c r="AI34" s="380" t="s">
        <v>12125</v>
      </c>
      <c r="AJ34" s="154" t="s">
        <v>12123</v>
      </c>
      <c r="AK34" s="153" t="s">
        <v>7773</v>
      </c>
      <c r="AL34" s="155" t="s">
        <v>12126</v>
      </c>
      <c r="AM34" s="380" t="s">
        <v>12127</v>
      </c>
      <c r="AN34" s="154" t="s">
        <v>7773</v>
      </c>
      <c r="AO34" s="197"/>
      <c r="AP34" s="155"/>
      <c r="AQ34" s="380"/>
      <c r="AR34" s="154"/>
      <c r="AS34" s="508"/>
      <c r="AT34" s="508"/>
    </row>
    <row r="35">
      <c r="A35" s="505" t="s">
        <v>3431</v>
      </c>
      <c r="B35" s="202" t="s">
        <v>12128</v>
      </c>
      <c r="C35" s="386" t="s">
        <v>12129</v>
      </c>
      <c r="D35" s="506" t="s">
        <v>12130</v>
      </c>
      <c r="E35" s="505" t="s">
        <v>3434</v>
      </c>
      <c r="F35" s="202" t="s">
        <v>12131</v>
      </c>
      <c r="G35" s="383" t="str">
        <f>IFERROR(__xludf.DUMMYFUNCTION("GOOGLETRANSLATE(C35,""zh-tw"",""ja"")"),"スタミナを回復できない")</f>
        <v>スタミナを回復できない</v>
      </c>
      <c r="H35" s="506" t="s">
        <v>6559</v>
      </c>
      <c r="I35" s="505" t="s">
        <v>6561</v>
      </c>
      <c r="J35" s="202" t="s">
        <v>12132</v>
      </c>
      <c r="K35" s="386" t="s">
        <v>12133</v>
      </c>
      <c r="L35" s="506" t="s">
        <v>6561</v>
      </c>
      <c r="M35" s="382" t="str">
        <f>IFERROR(__xludf.DUMMYFUNCTION("GOOGLETRANSLATE(A35,""zh-tw"",""zh"")"),"稻草人")</f>
        <v>稻草人</v>
      </c>
      <c r="N35" s="418"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3443</v>
      </c>
      <c r="Z35" s="198" t="s">
        <v>12134</v>
      </c>
      <c r="AA35" s="379" t="s">
        <v>12135</v>
      </c>
      <c r="AB35" s="196" t="s">
        <v>6565</v>
      </c>
      <c r="AC35" s="382" t="str">
        <f>IFERROR(__xludf.DUMMYFUNCTION("GOOGLETRANSLATE(A35,""zh-tw"",""DE"")"),"Vogelscheuche")</f>
        <v>Vogelscheuche</v>
      </c>
      <c r="AD35" s="418"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6569</v>
      </c>
      <c r="AH35" s="167" t="s">
        <v>12136</v>
      </c>
      <c r="AI35" s="380" t="s">
        <v>12137</v>
      </c>
      <c r="AJ35" s="154" t="s">
        <v>6569</v>
      </c>
      <c r="AK35" s="153" t="s">
        <v>6571</v>
      </c>
      <c r="AL35" s="155" t="s">
        <v>12138</v>
      </c>
      <c r="AM35" s="380" t="s">
        <v>12139</v>
      </c>
      <c r="AN35" s="154" t="s">
        <v>6571</v>
      </c>
      <c r="AO35" s="197"/>
      <c r="AP35" s="155"/>
      <c r="AQ35" s="380"/>
      <c r="AR35" s="154"/>
      <c r="AS35" s="508"/>
      <c r="AT35" s="508"/>
    </row>
    <row r="36">
      <c r="A36" s="505" t="s">
        <v>12140</v>
      </c>
      <c r="B36" s="202" t="s">
        <v>1240</v>
      </c>
      <c r="C36" s="386" t="s">
        <v>12141</v>
      </c>
      <c r="D36" s="506" t="s">
        <v>12142</v>
      </c>
      <c r="E36" s="382" t="str">
        <f>IFERROR(__xludf.DUMMYFUNCTION("GOOGLETRANSLATE(A36,""zh-tw"",""ja"")"),"水泳")</f>
        <v>水泳</v>
      </c>
      <c r="F36" s="418" t="str">
        <f>IFERROR(__xludf.DUMMYFUNCTION("GOOGLETRANSLATE(B36,""zh-tw"",""ja"")"),"-")</f>
        <v>-</v>
      </c>
      <c r="G36" s="383"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12143</v>
      </c>
      <c r="J36" s="418" t="str">
        <f>IFERROR(__xludf.DUMMYFUNCTION("GOOGLETRANSLATE(B36,""zh-tw"",""en"")"),"-")</f>
        <v>-</v>
      </c>
      <c r="K36" s="386" t="s">
        <v>12144</v>
      </c>
      <c r="L36" s="506" t="s">
        <v>12145</v>
      </c>
      <c r="M36" s="382" t="str">
        <f>IFERROR(__xludf.DUMMYFUNCTION("GOOGLETRANSLATE(A36,""zh-tw"",""zh"")"),"游泳中")</f>
        <v>游泳中</v>
      </c>
      <c r="N36" s="418"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12146</v>
      </c>
      <c r="Z36" s="198" t="s">
        <v>1240</v>
      </c>
      <c r="AA36" s="379" t="s">
        <v>12147</v>
      </c>
      <c r="AB36" s="196" t="s">
        <v>12146</v>
      </c>
      <c r="AC36" s="382" t="str">
        <f>IFERROR(__xludf.DUMMYFUNCTION("GOOGLETRANSLATE(A36,""zh-tw"",""DE"")"),"Baden")</f>
        <v>Baden</v>
      </c>
      <c r="AD36" s="418"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12148</v>
      </c>
      <c r="AH36" s="155" t="s">
        <v>1240</v>
      </c>
      <c r="AI36" s="385" t="s">
        <v>12149</v>
      </c>
      <c r="AJ36" s="154" t="s">
        <v>12150</v>
      </c>
      <c r="AK36" s="153" t="s">
        <v>12151</v>
      </c>
      <c r="AL36" s="155" t="s">
        <v>1240</v>
      </c>
      <c r="AM36" s="380" t="s">
        <v>12152</v>
      </c>
      <c r="AN36" s="154" t="s">
        <v>12153</v>
      </c>
      <c r="AO36" s="197"/>
      <c r="AP36" s="155"/>
      <c r="AQ36" s="380"/>
      <c r="AR36" s="154"/>
      <c r="AS36" s="508"/>
      <c r="AT36" s="508"/>
    </row>
    <row r="37">
      <c r="A37" s="505" t="s">
        <v>12154</v>
      </c>
      <c r="B37" s="202" t="s">
        <v>12155</v>
      </c>
      <c r="C37" s="386" t="s">
        <v>12156</v>
      </c>
      <c r="D37" s="506" t="s">
        <v>6724</v>
      </c>
      <c r="E37" s="382" t="str">
        <f>IFERROR(__xludf.DUMMYFUNCTION("GOOGLETRANSLATE(A37,""zh-tw"",""ja"")"),"騎士道")</f>
        <v>騎士道</v>
      </c>
      <c r="F37" s="418" t="str">
        <f>IFERROR(__xludf.DUMMYFUNCTION("GOOGLETRANSLATE(B37,""zh-tw"",""ja"")"),"我々は守護者だ。")</f>
        <v>我々は守護者だ。</v>
      </c>
      <c r="G37" s="383" t="str">
        <f>IFERROR(__xludf.DUMMYFUNCTION("GOOGLETRANSLATE(C37,""zh-tw"",""ja"")"),"攻撃力が30増加")</f>
        <v>攻撃力が30増加</v>
      </c>
      <c r="H37" s="507" t="str">
        <f>IFERROR(__xludf.DUMMYFUNCTION("GOOGLETRANSLATE(D37,""zh-tw"",""ja"")"),"騎士の剣")</f>
        <v>騎士の剣</v>
      </c>
      <c r="I37" s="505" t="s">
        <v>12157</v>
      </c>
      <c r="J37" s="202" t="s">
        <v>12158</v>
      </c>
      <c r="K37" s="386" t="s">
        <v>12159</v>
      </c>
      <c r="L37" s="506" t="s">
        <v>6727</v>
      </c>
      <c r="M37" s="382" t="str">
        <f>IFERROR(__xludf.DUMMYFUNCTION("GOOGLETRANSLATE(A37,""zh-tw"",""zh"")"),"骑士精神")</f>
        <v>骑士精神</v>
      </c>
      <c r="N37" s="418"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12160</v>
      </c>
      <c r="Z37" s="198" t="s">
        <v>12161</v>
      </c>
      <c r="AA37" s="379" t="s">
        <v>12162</v>
      </c>
      <c r="AB37" s="196" t="s">
        <v>6731</v>
      </c>
      <c r="AC37" s="382" t="str">
        <f>IFERROR(__xludf.DUMMYFUNCTION("GOOGLETRANSLATE(A37,""zh-tw"",""DE"")"),"Ritterlichkeit")</f>
        <v>Ritterlichkeit</v>
      </c>
      <c r="AD37" s="418"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12163</v>
      </c>
      <c r="AH37" s="167" t="s">
        <v>12164</v>
      </c>
      <c r="AI37" s="385" t="s">
        <v>12165</v>
      </c>
      <c r="AJ37" s="154" t="s">
        <v>6736</v>
      </c>
      <c r="AK37" s="153" t="s">
        <v>12166</v>
      </c>
      <c r="AL37" s="155" t="s">
        <v>12167</v>
      </c>
      <c r="AM37" s="380" t="s">
        <v>12168</v>
      </c>
      <c r="AN37" s="154" t="s">
        <v>6738</v>
      </c>
      <c r="AO37" s="197"/>
      <c r="AP37" s="155"/>
      <c r="AQ37" s="380"/>
      <c r="AR37" s="154"/>
      <c r="AS37" s="508"/>
      <c r="AT37" s="508"/>
    </row>
    <row r="38">
      <c r="A38" s="505" t="s">
        <v>12169</v>
      </c>
      <c r="B38" s="202" t="s">
        <v>12170</v>
      </c>
      <c r="C38" s="386" t="s">
        <v>12171</v>
      </c>
      <c r="D38" s="506" t="s">
        <v>8723</v>
      </c>
      <c r="E38" s="505" t="s">
        <v>12172</v>
      </c>
      <c r="F38" s="202" t="s">
        <v>12173</v>
      </c>
      <c r="G38" s="383" t="str">
        <f>IFERROR(__xludf.DUMMYFUNCTION("GOOGLETRANSLATE(C38,""zh-tw"",""ja"")"),"スタミナは自動的に回復します。")</f>
        <v>スタミナは自動的に回復します。</v>
      </c>
      <c r="H38" s="506" t="s">
        <v>12174</v>
      </c>
      <c r="I38" s="505" t="s">
        <v>12175</v>
      </c>
      <c r="J38" s="202" t="s">
        <v>12176</v>
      </c>
      <c r="K38" s="386" t="s">
        <v>12177</v>
      </c>
      <c r="L38" s="506" t="s">
        <v>12178</v>
      </c>
      <c r="M38" s="382" t="str">
        <f>IFERROR(__xludf.DUMMYFUNCTION("GOOGLETRANSLATE(A38,""zh-tw"",""zh"")"),"妹妹的胖次")</f>
        <v>妹妹的胖次</v>
      </c>
      <c r="N38" s="418"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12179</v>
      </c>
      <c r="Z38" s="198" t="s">
        <v>12180</v>
      </c>
      <c r="AA38" s="379" t="s">
        <v>12181</v>
      </c>
      <c r="AB38" s="196" t="s">
        <v>12182</v>
      </c>
      <c r="AC38" s="382" t="str">
        <f>IFERROR(__xludf.DUMMYFUNCTION("GOOGLETRANSLATE(A38,""zh-tw"",""DE"")"),"Die Höschen meiner Schwester")</f>
        <v>Die Höschen meiner Schwester</v>
      </c>
      <c r="AD38" s="418"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12183</v>
      </c>
      <c r="AH38" s="167" t="s">
        <v>12184</v>
      </c>
      <c r="AI38" s="385" t="s">
        <v>12185</v>
      </c>
      <c r="AJ38" s="154" t="s">
        <v>12186</v>
      </c>
      <c r="AK38" s="153" t="s">
        <v>12187</v>
      </c>
      <c r="AL38" s="155" t="s">
        <v>12188</v>
      </c>
      <c r="AM38" s="380" t="s">
        <v>12189</v>
      </c>
      <c r="AN38" s="154" t="s">
        <v>12190</v>
      </c>
      <c r="AO38" s="197"/>
      <c r="AP38" s="155"/>
      <c r="AQ38" s="380"/>
      <c r="AR38" s="154"/>
      <c r="AS38" s="508"/>
      <c r="AT38" s="508"/>
    </row>
    <row r="39">
      <c r="A39" s="505" t="s">
        <v>12191</v>
      </c>
      <c r="B39" s="202" t="s">
        <v>12192</v>
      </c>
      <c r="C39" s="386" t="s">
        <v>12193</v>
      </c>
      <c r="D39" s="506" t="s">
        <v>12194</v>
      </c>
      <c r="E39" s="505" t="s">
        <v>12195</v>
      </c>
      <c r="F39" s="202" t="s">
        <v>12196</v>
      </c>
      <c r="G39" s="386" t="s">
        <v>12197</v>
      </c>
      <c r="H39" s="506" t="s">
        <v>12198</v>
      </c>
      <c r="I39" s="505" t="s">
        <v>12199</v>
      </c>
      <c r="J39" s="202" t="s">
        <v>12200</v>
      </c>
      <c r="K39" s="386" t="s">
        <v>12201</v>
      </c>
      <c r="L39" s="506" t="s">
        <v>12202</v>
      </c>
      <c r="M39" s="382" t="str">
        <f>IFERROR(__xludf.DUMMYFUNCTION("GOOGLETRANSLATE(A39,""zh-tw"",""zh"")"),"咕噜咕噜")</f>
        <v>咕噜咕噜</v>
      </c>
      <c r="N39" s="418"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12203</v>
      </c>
      <c r="Z39" s="198" t="s">
        <v>12204</v>
      </c>
      <c r="AA39" s="379" t="s">
        <v>12205</v>
      </c>
      <c r="AB39" s="196" t="s">
        <v>12206</v>
      </c>
      <c r="AC39" s="382" t="str">
        <f>IFERROR(__xludf.DUMMYFUNCTION("GOOGLETRANSLATE(A39,""zh-tw"",""DE"")"),"Glucks, glucks")</f>
        <v>Glucks, glucks</v>
      </c>
      <c r="AD39" s="418"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12207</v>
      </c>
      <c r="AH39" s="167" t="s">
        <v>12208</v>
      </c>
      <c r="AI39" s="385" t="s">
        <v>12209</v>
      </c>
      <c r="AJ39" s="154" t="s">
        <v>12210</v>
      </c>
      <c r="AK39" s="153" t="s">
        <v>12199</v>
      </c>
      <c r="AL39" s="155" t="s">
        <v>12211</v>
      </c>
      <c r="AM39" s="380" t="s">
        <v>12212</v>
      </c>
      <c r="AN39" s="154" t="s">
        <v>12213</v>
      </c>
      <c r="AO39" s="197"/>
      <c r="AP39" s="155"/>
      <c r="AQ39" s="380"/>
      <c r="AR39" s="154"/>
      <c r="AS39" s="508"/>
      <c r="AT39" s="508"/>
    </row>
    <row r="40">
      <c r="A40" s="505" t="s">
        <v>12214</v>
      </c>
      <c r="B40" s="202" t="s">
        <v>12215</v>
      </c>
      <c r="C40" s="386" t="s">
        <v>12216</v>
      </c>
      <c r="D40" s="506" t="s">
        <v>12217</v>
      </c>
      <c r="E40" s="505" t="s">
        <v>12218</v>
      </c>
      <c r="F40" s="202" t="s">
        <v>12219</v>
      </c>
      <c r="G40" s="386" t="s">
        <v>12220</v>
      </c>
      <c r="H40" s="506" t="s">
        <v>12221</v>
      </c>
      <c r="I40" s="505" t="s">
        <v>12222</v>
      </c>
      <c r="J40" s="202" t="s">
        <v>12223</v>
      </c>
      <c r="K40" s="386" t="s">
        <v>12224</v>
      </c>
      <c r="L40" s="506" t="s">
        <v>12225</v>
      </c>
      <c r="M40" s="382" t="str">
        <f>IFERROR(__xludf.DUMMYFUNCTION("GOOGLETRANSLATE(A40,""zh-tw"",""zh"")"),"咕噜咕噜咕噜")</f>
        <v>咕噜咕噜咕噜</v>
      </c>
      <c r="N40" s="418"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12226</v>
      </c>
      <c r="Z40" s="198" t="s">
        <v>12227</v>
      </c>
      <c r="AA40" s="379" t="s">
        <v>12228</v>
      </c>
      <c r="AB40" s="196" t="s">
        <v>12229</v>
      </c>
      <c r="AC40" s="382" t="str">
        <f>IFERROR(__xludf.DUMMYFUNCTION("GOOGLETRANSLATE(A40,""zh-tw"",""DE"")"),"Glucks, glucks, glucks")</f>
        <v>Glucks, glucks, glucks</v>
      </c>
      <c r="AD40" s="418"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12230</v>
      </c>
      <c r="AH40" s="167" t="s">
        <v>12231</v>
      </c>
      <c r="AI40" s="385" t="s">
        <v>12232</v>
      </c>
      <c r="AJ40" s="154" t="s">
        <v>12233</v>
      </c>
      <c r="AK40" s="153" t="s">
        <v>12222</v>
      </c>
      <c r="AL40" s="155" t="s">
        <v>12234</v>
      </c>
      <c r="AM40" s="380" t="s">
        <v>12235</v>
      </c>
      <c r="AN40" s="154" t="s">
        <v>12236</v>
      </c>
      <c r="AO40" s="197"/>
      <c r="AP40" s="155"/>
      <c r="AQ40" s="380"/>
      <c r="AR40" s="154"/>
      <c r="AS40" s="508"/>
      <c r="AT40" s="508"/>
    </row>
    <row r="41">
      <c r="A41" s="505" t="s">
        <v>12237</v>
      </c>
      <c r="B41" s="202" t="s">
        <v>12238</v>
      </c>
      <c r="C41" s="386" t="s">
        <v>12239</v>
      </c>
      <c r="D41" s="506" t="s">
        <v>12240</v>
      </c>
      <c r="E41" s="505" t="s">
        <v>12241</v>
      </c>
      <c r="F41" s="202" t="s">
        <v>12242</v>
      </c>
      <c r="G41" s="386" t="s">
        <v>12243</v>
      </c>
      <c r="H41" s="506" t="s">
        <v>12244</v>
      </c>
      <c r="I41" s="505" t="s">
        <v>12245</v>
      </c>
      <c r="J41" s="202" t="s">
        <v>12246</v>
      </c>
      <c r="K41" s="386" t="s">
        <v>12247</v>
      </c>
      <c r="L41" s="507"/>
      <c r="M41" s="382" t="str">
        <f>IFERROR(__xludf.DUMMYFUNCTION("GOOGLETRANSLATE(A41,""zh-tw"",""zh"")"),"早点回家吧")</f>
        <v>早点回家吧</v>
      </c>
      <c r="N41" s="418"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12248</v>
      </c>
      <c r="Z41" s="198" t="s">
        <v>12249</v>
      </c>
      <c r="AA41" s="379" t="s">
        <v>12250</v>
      </c>
      <c r="AB41" s="196" t="s">
        <v>12251</v>
      </c>
      <c r="AC41" s="382" t="str">
        <f>IFERROR(__xludf.DUMMYFUNCTION("GOOGLETRANSLATE(A41,""zh-tw"",""DE"")"),"Geh früh nach Hause.")</f>
        <v>Geh früh nach Hause.</v>
      </c>
      <c r="AD41" s="418"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3393</v>
      </c>
      <c r="AH41" s="155" t="s">
        <v>12252</v>
      </c>
      <c r="AI41" s="385" t="s">
        <v>12253</v>
      </c>
      <c r="AJ41" s="510"/>
      <c r="AK41" s="153" t="s">
        <v>3396</v>
      </c>
      <c r="AL41" s="155" t="s">
        <v>12254</v>
      </c>
      <c r="AM41" s="380" t="s">
        <v>12255</v>
      </c>
      <c r="AN41" s="510"/>
      <c r="AO41" s="197"/>
      <c r="AP41" s="155"/>
      <c r="AQ41" s="380"/>
      <c r="AR41" s="510"/>
      <c r="AS41" s="508"/>
      <c r="AT41" s="508"/>
    </row>
    <row r="42">
      <c r="A42" s="505" t="s">
        <v>12256</v>
      </c>
      <c r="B42" s="202" t="s">
        <v>12257</v>
      </c>
      <c r="C42" s="386" t="s">
        <v>12258</v>
      </c>
      <c r="D42" s="506" t="s">
        <v>12259</v>
      </c>
      <c r="E42" s="505" t="s">
        <v>12260</v>
      </c>
      <c r="F42" s="202" t="s">
        <v>12261</v>
      </c>
      <c r="G42" s="386" t="s">
        <v>12262</v>
      </c>
      <c r="H42" s="506" t="s">
        <v>12263</v>
      </c>
      <c r="I42" s="505" t="s">
        <v>12264</v>
      </c>
      <c r="J42" s="202" t="s">
        <v>12265</v>
      </c>
      <c r="K42" s="386" t="s">
        <v>12266</v>
      </c>
      <c r="L42" s="506"/>
      <c r="M42" s="382" t="str">
        <f>IFERROR(__xludf.DUMMYFUNCTION("GOOGLETRANSLATE(A42,""zh-tw"",""zh"")"),"杂鱼哥哥")</f>
        <v>杂鱼哥哥</v>
      </c>
      <c r="N42" s="418"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12267</v>
      </c>
      <c r="Z42" s="198" t="s">
        <v>12268</v>
      </c>
      <c r="AA42" s="379" t="s">
        <v>12269</v>
      </c>
      <c r="AB42" s="196" t="s">
        <v>12270</v>
      </c>
      <c r="AC42" s="382" t="str">
        <f>IFERROR(__xludf.DUMMYFUNCTION("GOOGLETRANSLATE(A42,""zh-tw"",""DE"")"),"Bruder Verschiedene Fische")</f>
        <v>Bruder Verschiedene Fische</v>
      </c>
      <c r="AD42" s="418"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12271</v>
      </c>
      <c r="AH42" s="167" t="s">
        <v>12272</v>
      </c>
      <c r="AI42" s="385" t="s">
        <v>12273</v>
      </c>
      <c r="AJ42" s="510"/>
      <c r="AK42" s="153" t="s">
        <v>12264</v>
      </c>
      <c r="AL42" s="155" t="s">
        <v>12274</v>
      </c>
      <c r="AM42" s="380" t="s">
        <v>12275</v>
      </c>
      <c r="AN42" s="510"/>
      <c r="AO42" s="197"/>
      <c r="AP42" s="155"/>
      <c r="AQ42" s="380"/>
      <c r="AR42" s="510"/>
      <c r="AS42" s="508"/>
      <c r="AT42" s="508"/>
    </row>
    <row r="43">
      <c r="A43" s="505" t="s">
        <v>12276</v>
      </c>
      <c r="B43" s="202" t="s">
        <v>12277</v>
      </c>
      <c r="C43" s="386" t="s">
        <v>1240</v>
      </c>
      <c r="D43" s="506" t="s">
        <v>8821</v>
      </c>
      <c r="E43" s="505" t="s">
        <v>12278</v>
      </c>
      <c r="F43" s="202" t="s">
        <v>12279</v>
      </c>
      <c r="G43" s="386" t="s">
        <v>1240</v>
      </c>
      <c r="H43" s="506" t="s">
        <v>12280</v>
      </c>
      <c r="I43" s="505" t="s">
        <v>8825</v>
      </c>
      <c r="J43" s="202" t="s">
        <v>12281</v>
      </c>
      <c r="K43" s="386" t="s">
        <v>1240</v>
      </c>
      <c r="L43" s="507"/>
      <c r="M43" s="382" t="str">
        <f>IFERROR(__xludf.DUMMYFUNCTION("GOOGLETRANSLATE(A43,""zh-tw"",""zh"")"),"世界的勇者")</f>
        <v>世界的勇者</v>
      </c>
      <c r="N43" s="418"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12282</v>
      </c>
      <c r="Z43" s="198" t="s">
        <v>12283</v>
      </c>
      <c r="AA43" s="379" t="s">
        <v>1240</v>
      </c>
      <c r="AB43" s="196" t="s">
        <v>8827</v>
      </c>
      <c r="AC43" s="382" t="str">
        <f>IFERROR(__xludf.DUMMYFUNCTION("GOOGLETRANSLATE(A43,""zh-tw"",""DE"")"),"Die Helden der Welt")</f>
        <v>Die Helden der Welt</v>
      </c>
      <c r="AD43" s="418"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12284</v>
      </c>
      <c r="AH43" s="167" t="s">
        <v>12285</v>
      </c>
      <c r="AI43" s="511"/>
      <c r="AJ43" s="510"/>
      <c r="AK43" s="153" t="s">
        <v>8825</v>
      </c>
      <c r="AL43" s="155" t="s">
        <v>12281</v>
      </c>
      <c r="AM43" s="511"/>
      <c r="AN43" s="510"/>
      <c r="AO43" s="197"/>
      <c r="AP43" s="155"/>
      <c r="AQ43" s="511"/>
      <c r="AR43" s="510"/>
      <c r="AS43" s="508"/>
      <c r="AT43" s="508"/>
    </row>
    <row r="44">
      <c r="A44" s="505" t="s">
        <v>12286</v>
      </c>
      <c r="B44" s="202" t="s">
        <v>12287</v>
      </c>
      <c r="C44" s="386" t="s">
        <v>12288</v>
      </c>
      <c r="D44" s="506" t="s">
        <v>8893</v>
      </c>
      <c r="E44" s="505" t="s">
        <v>12289</v>
      </c>
      <c r="F44" s="202" t="s">
        <v>12290</v>
      </c>
      <c r="G44" s="386" t="s">
        <v>12291</v>
      </c>
      <c r="H44" s="507" t="str">
        <f>IFERROR(__xludf.DUMMYFUNCTION("GOOGLETRANSLATE(D44,""zh-tw"",""ja"")"),"貪欲な貯金箱")</f>
        <v>貪欲な貯金箱</v>
      </c>
      <c r="I44" s="505" t="s">
        <v>12292</v>
      </c>
      <c r="J44" s="202" t="s">
        <v>12293</v>
      </c>
      <c r="K44" s="386" t="s">
        <v>12294</v>
      </c>
      <c r="L44" s="507"/>
      <c r="M44" s="382" t="str">
        <f>IFERROR(__xludf.DUMMYFUNCTION("GOOGLETRANSLATE(A44,""zh-tw"",""zh"")"),"贪财!贪财!")</f>
        <v>贪财!贪财!</v>
      </c>
      <c r="N44" s="418"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9"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12295</v>
      </c>
      <c r="Z44" s="198" t="s">
        <v>12296</v>
      </c>
      <c r="AA44" s="379" t="s">
        <v>12297</v>
      </c>
      <c r="AB44" s="196" t="s">
        <v>8899</v>
      </c>
      <c r="AC44" s="382" t="str">
        <f>IFERROR(__xludf.DUMMYFUNCTION("GOOGLETRANSLATE(A44,""zh-tw"",""DE"")"),"Gierig! Gierig!")</f>
        <v>Gierig! Gierig!</v>
      </c>
      <c r="AD44" s="418" t="str">
        <f>IFERROR(__xludf.DUMMYFUNCTION("GOOGLETRANSLATE(B44,""zh-tw"",""DE"")"),"Unstillbare Gier wird irgendwann auch dich ins Visier nehmen.")</f>
        <v>Unstillbare Gier wird irgendwann auch dich ins Visier nehmen.</v>
      </c>
      <c r="AE44" s="383"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12298</v>
      </c>
      <c r="AH44" s="167" t="s">
        <v>12299</v>
      </c>
      <c r="AI44" s="385" t="s">
        <v>12300</v>
      </c>
      <c r="AJ44" s="513"/>
      <c r="AK44" s="197" t="s">
        <v>12301</v>
      </c>
      <c r="AL44" s="198" t="s">
        <v>12302</v>
      </c>
      <c r="AM44" s="379" t="s">
        <v>12303</v>
      </c>
      <c r="AN44" s="513"/>
      <c r="AO44" s="197"/>
      <c r="AP44" s="198"/>
      <c r="AQ44" s="379"/>
      <c r="AR44" s="513"/>
      <c r="AS44" s="514"/>
      <c r="AT44" s="514"/>
    </row>
    <row r="45">
      <c r="A45" s="505" t="s">
        <v>12304</v>
      </c>
      <c r="B45" s="202" t="s">
        <v>12305</v>
      </c>
      <c r="C45" s="386" t="s">
        <v>12306</v>
      </c>
      <c r="D45" s="506" t="s">
        <v>8591</v>
      </c>
      <c r="E45" s="505" t="s">
        <v>12307</v>
      </c>
      <c r="F45" s="202" t="s">
        <v>12308</v>
      </c>
      <c r="G45" s="386" t="s">
        <v>12309</v>
      </c>
      <c r="H45" s="507" t="str">
        <f>IFERROR(__xludf.DUMMYFUNCTION("GOOGLETRANSLATE(D45,""zh-tw"",""ja"")"),"夜霧の幻影")</f>
        <v>夜霧の幻影</v>
      </c>
      <c r="I45" s="505" t="s">
        <v>12310</v>
      </c>
      <c r="J45" s="202" t="s">
        <v>12311</v>
      </c>
      <c r="K45" s="386" t="s">
        <v>12312</v>
      </c>
      <c r="L45" s="507"/>
      <c r="M45" s="382" t="str">
        <f>IFERROR(__xludf.DUMMYFUNCTION("GOOGLETRANSLATE(A45,""zh-tw"",""zh"")"),"你看不见我")</f>
        <v>你看不见我</v>
      </c>
      <c r="N45" s="418"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12313</v>
      </c>
      <c r="Z45" s="198" t="s">
        <v>12314</v>
      </c>
      <c r="AA45" s="379" t="s">
        <v>12315</v>
      </c>
      <c r="AB45" s="196" t="s">
        <v>8599</v>
      </c>
      <c r="AC45" s="382" t="str">
        <f>IFERROR(__xludf.DUMMYFUNCTION("GOOGLETRANSLATE(A45,""zh-tw"",""DE"")"),"Du kannst mich nicht sehen")</f>
        <v>Du kannst mich nicht sehen</v>
      </c>
      <c r="AD45" s="418"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12316</v>
      </c>
      <c r="AH45" s="167" t="s">
        <v>12317</v>
      </c>
      <c r="AI45" s="385" t="s">
        <v>12318</v>
      </c>
      <c r="AJ45" s="196"/>
      <c r="AK45" s="197" t="s">
        <v>12319</v>
      </c>
      <c r="AL45" s="198" t="s">
        <v>12320</v>
      </c>
      <c r="AM45" s="379" t="s">
        <v>12321</v>
      </c>
      <c r="AN45" s="513"/>
      <c r="AO45" s="197"/>
      <c r="AP45" s="198"/>
      <c r="AQ45" s="379"/>
      <c r="AR45" s="513"/>
      <c r="AS45" s="514"/>
      <c r="AT45" s="514"/>
    </row>
    <row r="46">
      <c r="A46" s="197" t="s">
        <v>12322</v>
      </c>
      <c r="B46" s="198" t="s">
        <v>12323</v>
      </c>
      <c r="C46" s="379" t="s">
        <v>12324</v>
      </c>
      <c r="D46" s="196" t="s">
        <v>12325</v>
      </c>
      <c r="E46" s="197" t="s">
        <v>12326</v>
      </c>
      <c r="F46" s="198" t="s">
        <v>12327</v>
      </c>
      <c r="G46" s="379" t="s">
        <v>12328</v>
      </c>
      <c r="H46" s="196" t="s">
        <v>12329</v>
      </c>
      <c r="I46" s="505" t="s">
        <v>12330</v>
      </c>
      <c r="J46" s="198" t="s">
        <v>12331</v>
      </c>
      <c r="K46" s="379" t="s">
        <v>12332</v>
      </c>
      <c r="L46" s="166" t="s">
        <v>12333</v>
      </c>
      <c r="M46" s="197" t="s">
        <v>12334</v>
      </c>
      <c r="N46" s="198" t="s">
        <v>12323</v>
      </c>
      <c r="O46" s="379" t="s">
        <v>12335</v>
      </c>
      <c r="P46" s="196" t="s">
        <v>12336</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12337</v>
      </c>
      <c r="Z46" s="198" t="s">
        <v>12338</v>
      </c>
      <c r="AA46" s="379" t="s">
        <v>12339</v>
      </c>
      <c r="AB46" s="196" t="s">
        <v>6128</v>
      </c>
      <c r="AC46" s="382" t="str">
        <f>IFERROR(__xludf.DUMMYFUNCTION("GOOGLETRANSLATE(A46,""zh-tw"",""DE"")"),"Ich habe immer das Gefühl, dass mich etwas verfolgt.")</f>
        <v>Ich habe immer das Gefühl, dass mich etwas verfolgt.</v>
      </c>
      <c r="AD46" s="198" t="s">
        <v>12340</v>
      </c>
      <c r="AE46" s="379" t="s">
        <v>12341</v>
      </c>
      <c r="AF46" s="196" t="s">
        <v>12342</v>
      </c>
      <c r="AG46" s="505" t="s">
        <v>12343</v>
      </c>
      <c r="AH46" s="515" t="s">
        <v>12344</v>
      </c>
      <c r="AI46" s="516" t="s">
        <v>12345</v>
      </c>
      <c r="AJ46" s="517" t="s">
        <v>12346</v>
      </c>
      <c r="AK46" s="197" t="s">
        <v>12347</v>
      </c>
      <c r="AL46" s="198" t="s">
        <v>12348</v>
      </c>
      <c r="AM46" s="379" t="s">
        <v>12349</v>
      </c>
      <c r="AN46" s="196" t="s">
        <v>12350</v>
      </c>
      <c r="AO46" s="197"/>
      <c r="AP46" s="198"/>
      <c r="AQ46" s="379"/>
      <c r="AR46" s="196"/>
      <c r="AS46" s="514"/>
      <c r="AT46" s="514"/>
    </row>
    <row r="47">
      <c r="A47" s="382"/>
      <c r="B47" s="418"/>
      <c r="C47" s="383"/>
      <c r="D47" s="507"/>
      <c r="E47" s="382"/>
      <c r="F47" s="418"/>
      <c r="G47" s="383"/>
      <c r="H47" s="507"/>
      <c r="I47" s="382"/>
      <c r="J47" s="418"/>
      <c r="K47" s="383"/>
      <c r="L47" s="507"/>
      <c r="M47" s="382"/>
      <c r="N47" s="418"/>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8"/>
      <c r="AM47" s="383"/>
      <c r="AN47" s="507"/>
      <c r="AO47" s="382"/>
      <c r="AP47" s="418"/>
      <c r="AQ47" s="383"/>
      <c r="AR47" s="507"/>
      <c r="AS47" s="514"/>
      <c r="AT47" s="514"/>
    </row>
    <row r="48">
      <c r="A48" s="382"/>
      <c r="B48" s="418"/>
      <c r="C48" s="383"/>
      <c r="D48" s="507"/>
      <c r="E48" s="382"/>
      <c r="F48" s="418"/>
      <c r="G48" s="383"/>
      <c r="H48" s="507"/>
      <c r="I48" s="382"/>
      <c r="J48" s="418"/>
      <c r="K48" s="383"/>
      <c r="L48" s="507"/>
      <c r="M48" s="382"/>
      <c r="N48" s="418"/>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8"/>
      <c r="AM48" s="383"/>
      <c r="AN48" s="507"/>
      <c r="AO48" s="382"/>
      <c r="AP48" s="418"/>
      <c r="AQ48" s="383"/>
      <c r="AR48" s="507"/>
      <c r="AS48" s="514"/>
      <c r="AT48" s="514"/>
    </row>
    <row r="49">
      <c r="A49" s="382"/>
      <c r="B49" s="418"/>
      <c r="C49" s="383"/>
      <c r="D49" s="507"/>
      <c r="E49" s="382"/>
      <c r="F49" s="418"/>
      <c r="G49" s="383"/>
      <c r="H49" s="507"/>
      <c r="I49" s="382"/>
      <c r="J49" s="418"/>
      <c r="K49" s="383"/>
      <c r="L49" s="507"/>
      <c r="M49" s="382"/>
      <c r="N49" s="418"/>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8"/>
      <c r="AM49" s="383"/>
      <c r="AN49" s="507"/>
      <c r="AO49" s="382"/>
      <c r="AP49" s="418"/>
      <c r="AQ49" s="383"/>
      <c r="AR49" s="507"/>
      <c r="AS49" s="514"/>
      <c r="AT49" s="514"/>
    </row>
    <row r="50">
      <c r="A50" s="382"/>
      <c r="B50" s="418"/>
      <c r="C50" s="383"/>
      <c r="D50" s="507"/>
      <c r="E50" s="382"/>
      <c r="F50" s="418"/>
      <c r="G50" s="383"/>
      <c r="H50" s="507"/>
      <c r="I50" s="382"/>
      <c r="J50" s="418"/>
      <c r="K50" s="383"/>
      <c r="L50" s="507"/>
      <c r="M50" s="382"/>
      <c r="N50" s="418"/>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8"/>
      <c r="AM50" s="383"/>
      <c r="AN50" s="507"/>
      <c r="AO50" s="382"/>
      <c r="AP50" s="418"/>
      <c r="AQ50" s="383"/>
      <c r="AR50" s="507"/>
      <c r="AS50" s="514"/>
      <c r="AT50" s="514"/>
    </row>
    <row r="51">
      <c r="A51" s="382"/>
      <c r="B51" s="418"/>
      <c r="C51" s="383"/>
      <c r="D51" s="507"/>
      <c r="E51" s="382"/>
      <c r="F51" s="418"/>
      <c r="G51" s="383"/>
      <c r="H51" s="507"/>
      <c r="I51" s="382"/>
      <c r="J51" s="418"/>
      <c r="K51" s="383"/>
      <c r="L51" s="507"/>
      <c r="M51" s="382"/>
      <c r="N51" s="418"/>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8"/>
      <c r="AM51" s="383"/>
      <c r="AN51" s="507"/>
      <c r="AO51" s="382"/>
      <c r="AP51" s="418"/>
      <c r="AQ51" s="383"/>
      <c r="AR51" s="507"/>
      <c r="AS51" s="514"/>
      <c r="AT51" s="514"/>
    </row>
    <row r="52">
      <c r="A52" s="382"/>
      <c r="B52" s="418"/>
      <c r="C52" s="383"/>
      <c r="D52" s="507"/>
      <c r="E52" s="382"/>
      <c r="F52" s="418"/>
      <c r="G52" s="383"/>
      <c r="H52" s="507"/>
      <c r="I52" s="382"/>
      <c r="J52" s="418"/>
      <c r="K52" s="383"/>
      <c r="L52" s="507"/>
      <c r="M52" s="382"/>
      <c r="N52" s="418"/>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8"/>
      <c r="AM52" s="383"/>
      <c r="AN52" s="507"/>
      <c r="AO52" s="382"/>
      <c r="AP52" s="418"/>
      <c r="AQ52" s="383"/>
      <c r="AR52" s="507"/>
      <c r="AS52" s="514"/>
      <c r="AT52" s="514"/>
    </row>
    <row r="53">
      <c r="A53" s="382"/>
      <c r="B53" s="418"/>
      <c r="C53" s="383"/>
      <c r="D53" s="507"/>
      <c r="E53" s="382"/>
      <c r="F53" s="418"/>
      <c r="G53" s="383"/>
      <c r="H53" s="507"/>
      <c r="I53" s="382"/>
      <c r="J53" s="418"/>
      <c r="K53" s="383"/>
      <c r="L53" s="507"/>
      <c r="M53" s="382"/>
      <c r="N53" s="418"/>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8"/>
      <c r="AM53" s="383"/>
      <c r="AN53" s="507"/>
      <c r="AO53" s="382"/>
      <c r="AP53" s="418"/>
      <c r="AQ53" s="383"/>
      <c r="AR53" s="507"/>
      <c r="AS53" s="514"/>
      <c r="AT53" s="514"/>
    </row>
    <row r="54">
      <c r="A54" s="382"/>
      <c r="B54" s="418"/>
      <c r="C54" s="383"/>
      <c r="D54" s="507"/>
      <c r="E54" s="382"/>
      <c r="F54" s="418"/>
      <c r="G54" s="383"/>
      <c r="H54" s="507"/>
      <c r="I54" s="382"/>
      <c r="J54" s="418"/>
      <c r="K54" s="383"/>
      <c r="L54" s="507"/>
      <c r="M54" s="382"/>
      <c r="N54" s="418"/>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8"/>
      <c r="AM54" s="383"/>
      <c r="AN54" s="507"/>
      <c r="AO54" s="382"/>
      <c r="AP54" s="418"/>
      <c r="AQ54" s="383"/>
      <c r="AR54" s="507"/>
      <c r="AS54" s="514"/>
      <c r="AT54" s="514"/>
    </row>
    <row r="55">
      <c r="A55" s="382"/>
      <c r="B55" s="418"/>
      <c r="C55" s="383"/>
      <c r="D55" s="507"/>
      <c r="E55" s="382"/>
      <c r="F55" s="418"/>
      <c r="G55" s="383"/>
      <c r="H55" s="507"/>
      <c r="I55" s="382"/>
      <c r="J55" s="418"/>
      <c r="K55" s="383"/>
      <c r="L55" s="507"/>
      <c r="M55" s="382"/>
      <c r="N55" s="418"/>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8"/>
      <c r="AM55" s="383"/>
      <c r="AN55" s="507"/>
      <c r="AO55" s="382"/>
      <c r="AP55" s="418"/>
      <c r="AQ55" s="383"/>
      <c r="AR55" s="507"/>
      <c r="AS55" s="514"/>
      <c r="AT55" s="514"/>
    </row>
    <row r="56">
      <c r="A56" s="382"/>
      <c r="B56" s="418"/>
      <c r="C56" s="383"/>
      <c r="D56" s="507"/>
      <c r="E56" s="382"/>
      <c r="F56" s="418"/>
      <c r="G56" s="383"/>
      <c r="H56" s="507"/>
      <c r="I56" s="382"/>
      <c r="J56" s="418"/>
      <c r="K56" s="383"/>
      <c r="L56" s="507"/>
      <c r="M56" s="382"/>
      <c r="N56" s="418"/>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8"/>
      <c r="AM56" s="383"/>
      <c r="AN56" s="507"/>
      <c r="AO56" s="382"/>
      <c r="AP56" s="418"/>
      <c r="AQ56" s="383"/>
      <c r="AR56" s="507"/>
      <c r="AS56" s="514"/>
      <c r="AT56" s="514"/>
    </row>
    <row r="57">
      <c r="A57" s="382"/>
      <c r="B57" s="418"/>
      <c r="C57" s="383"/>
      <c r="D57" s="507"/>
      <c r="E57" s="382"/>
      <c r="F57" s="418"/>
      <c r="G57" s="383"/>
      <c r="H57" s="507"/>
      <c r="I57" s="382"/>
      <c r="J57" s="418"/>
      <c r="K57" s="383"/>
      <c r="L57" s="507"/>
      <c r="M57" s="382"/>
      <c r="N57" s="418"/>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8"/>
      <c r="AM57" s="383"/>
      <c r="AN57" s="507"/>
      <c r="AO57" s="382"/>
      <c r="AP57" s="418"/>
      <c r="AQ57" s="383"/>
      <c r="AR57" s="507"/>
      <c r="AS57" s="514"/>
      <c r="AT57" s="514"/>
    </row>
    <row r="58">
      <c r="A58" s="382"/>
      <c r="B58" s="418"/>
      <c r="C58" s="383"/>
      <c r="D58" s="507"/>
      <c r="E58" s="382"/>
      <c r="F58" s="418"/>
      <c r="G58" s="383"/>
      <c r="H58" s="507"/>
      <c r="I58" s="382"/>
      <c r="J58" s="418"/>
      <c r="K58" s="383"/>
      <c r="L58" s="507"/>
      <c r="M58" s="382"/>
      <c r="N58" s="418"/>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8"/>
      <c r="AM58" s="383"/>
      <c r="AN58" s="507"/>
      <c r="AO58" s="382"/>
      <c r="AP58" s="418"/>
      <c r="AQ58" s="383"/>
      <c r="AR58" s="507"/>
      <c r="AS58" s="514"/>
      <c r="AT58" s="514"/>
    </row>
    <row r="59">
      <c r="A59" s="382"/>
      <c r="B59" s="418"/>
      <c r="C59" s="383"/>
      <c r="D59" s="507"/>
      <c r="E59" s="382"/>
      <c r="F59" s="418"/>
      <c r="G59" s="383"/>
      <c r="H59" s="507"/>
      <c r="I59" s="382"/>
      <c r="J59" s="418"/>
      <c r="K59" s="383"/>
      <c r="L59" s="507"/>
      <c r="M59" s="382"/>
      <c r="N59" s="418"/>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8"/>
      <c r="AM59" s="383"/>
      <c r="AN59" s="507"/>
      <c r="AO59" s="382"/>
      <c r="AP59" s="418"/>
      <c r="AQ59" s="383"/>
      <c r="AR59" s="507"/>
      <c r="AS59" s="514"/>
      <c r="AT59" s="514"/>
    </row>
    <row r="60">
      <c r="A60" s="382"/>
      <c r="B60" s="418"/>
      <c r="C60" s="383"/>
      <c r="D60" s="507"/>
      <c r="E60" s="382"/>
      <c r="F60" s="418"/>
      <c r="G60" s="383"/>
      <c r="H60" s="507"/>
      <c r="I60" s="382"/>
      <c r="J60" s="418"/>
      <c r="K60" s="383"/>
      <c r="L60" s="507"/>
      <c r="M60" s="382"/>
      <c r="N60" s="418"/>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8"/>
      <c r="AM60" s="383"/>
      <c r="AN60" s="507"/>
      <c r="AO60" s="382"/>
      <c r="AP60" s="418"/>
      <c r="AQ60" s="383"/>
      <c r="AR60" s="507"/>
      <c r="AS60" s="514"/>
      <c r="AT60" s="514"/>
    </row>
    <row r="61">
      <c r="A61" s="382"/>
      <c r="B61" s="418"/>
      <c r="C61" s="383"/>
      <c r="D61" s="507"/>
      <c r="E61" s="382"/>
      <c r="F61" s="418"/>
      <c r="G61" s="383"/>
      <c r="H61" s="507"/>
      <c r="I61" s="382"/>
      <c r="J61" s="418"/>
      <c r="K61" s="383"/>
      <c r="L61" s="507"/>
      <c r="M61" s="382"/>
      <c r="N61" s="418"/>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8"/>
      <c r="AM61" s="383"/>
      <c r="AN61" s="507"/>
      <c r="AO61" s="382"/>
      <c r="AP61" s="418"/>
      <c r="AQ61" s="383"/>
      <c r="AR61" s="507"/>
      <c r="AS61" s="514"/>
      <c r="AT61" s="514"/>
    </row>
    <row r="62">
      <c r="A62" s="382"/>
      <c r="B62" s="418"/>
      <c r="C62" s="383"/>
      <c r="D62" s="507"/>
      <c r="E62" s="382"/>
      <c r="F62" s="418"/>
      <c r="G62" s="383"/>
      <c r="H62" s="507"/>
      <c r="I62" s="382"/>
      <c r="J62" s="418"/>
      <c r="K62" s="383"/>
      <c r="L62" s="507"/>
      <c r="M62" s="382"/>
      <c r="N62" s="418"/>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8"/>
      <c r="AM62" s="383"/>
      <c r="AN62" s="507"/>
      <c r="AO62" s="382"/>
      <c r="AP62" s="418"/>
      <c r="AQ62" s="383"/>
      <c r="AR62" s="507"/>
      <c r="AS62" s="514"/>
      <c r="AT62" s="514"/>
    </row>
    <row r="63">
      <c r="A63" s="382"/>
      <c r="B63" s="418"/>
      <c r="C63" s="383"/>
      <c r="D63" s="507"/>
      <c r="E63" s="382"/>
      <c r="F63" s="418"/>
      <c r="G63" s="383"/>
      <c r="H63" s="507"/>
      <c r="I63" s="382"/>
      <c r="J63" s="418"/>
      <c r="K63" s="383"/>
      <c r="L63" s="507"/>
      <c r="M63" s="382"/>
      <c r="N63" s="418"/>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8"/>
      <c r="AM63" s="383"/>
      <c r="AN63" s="507"/>
      <c r="AO63" s="382"/>
      <c r="AP63" s="418"/>
      <c r="AQ63" s="383"/>
      <c r="AR63" s="507"/>
      <c r="AS63" s="514"/>
      <c r="AT63" s="514"/>
    </row>
    <row r="64">
      <c r="A64" s="382"/>
      <c r="B64" s="418"/>
      <c r="C64" s="383"/>
      <c r="D64" s="507"/>
      <c r="E64" s="382"/>
      <c r="F64" s="418"/>
      <c r="G64" s="383"/>
      <c r="H64" s="507"/>
      <c r="I64" s="382"/>
      <c r="J64" s="418"/>
      <c r="K64" s="383"/>
      <c r="L64" s="507"/>
      <c r="M64" s="382"/>
      <c r="N64" s="418"/>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8"/>
      <c r="AM64" s="383"/>
      <c r="AN64" s="507"/>
      <c r="AO64" s="382"/>
      <c r="AP64" s="418"/>
      <c r="AQ64" s="383"/>
      <c r="AR64" s="507"/>
      <c r="AS64" s="514"/>
      <c r="AT64" s="514"/>
    </row>
    <row r="65">
      <c r="A65" s="382"/>
      <c r="B65" s="418"/>
      <c r="C65" s="383"/>
      <c r="D65" s="507"/>
      <c r="E65" s="382"/>
      <c r="F65" s="418"/>
      <c r="G65" s="383"/>
      <c r="H65" s="507"/>
      <c r="I65" s="382"/>
      <c r="J65" s="418"/>
      <c r="K65" s="383"/>
      <c r="L65" s="507"/>
      <c r="M65" s="382"/>
      <c r="N65" s="418"/>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8"/>
      <c r="AM65" s="383"/>
      <c r="AN65" s="507"/>
      <c r="AO65" s="382"/>
      <c r="AP65" s="418"/>
      <c r="AQ65" s="383"/>
      <c r="AR65" s="507"/>
      <c r="AS65" s="514"/>
      <c r="AT65" s="514"/>
    </row>
    <row r="66">
      <c r="A66" s="382"/>
      <c r="B66" s="418"/>
      <c r="C66" s="383"/>
      <c r="D66" s="507"/>
      <c r="E66" s="382"/>
      <c r="F66" s="418"/>
      <c r="G66" s="383"/>
      <c r="H66" s="507"/>
      <c r="I66" s="382"/>
      <c r="J66" s="418"/>
      <c r="K66" s="383"/>
      <c r="L66" s="507"/>
      <c r="M66" s="382"/>
      <c r="N66" s="418"/>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8"/>
      <c r="AM66" s="383"/>
      <c r="AN66" s="507"/>
      <c r="AO66" s="382"/>
      <c r="AP66" s="418"/>
      <c r="AQ66" s="383"/>
      <c r="AR66" s="507"/>
      <c r="AS66" s="514"/>
      <c r="AT66" s="514"/>
    </row>
    <row r="67">
      <c r="A67" s="382"/>
      <c r="B67" s="418"/>
      <c r="C67" s="383"/>
      <c r="D67" s="507"/>
      <c r="E67" s="382"/>
      <c r="F67" s="418"/>
      <c r="G67" s="383"/>
      <c r="H67" s="507"/>
      <c r="I67" s="382"/>
      <c r="J67" s="418"/>
      <c r="K67" s="383"/>
      <c r="L67" s="507"/>
      <c r="M67" s="382"/>
      <c r="N67" s="418"/>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8"/>
      <c r="AM67" s="383"/>
      <c r="AN67" s="507"/>
      <c r="AO67" s="382"/>
      <c r="AP67" s="418"/>
      <c r="AQ67" s="383"/>
      <c r="AR67" s="507"/>
      <c r="AS67" s="514"/>
      <c r="AT67" s="514"/>
    </row>
    <row r="68">
      <c r="A68" s="382"/>
      <c r="B68" s="418"/>
      <c r="C68" s="383"/>
      <c r="D68" s="507"/>
      <c r="E68" s="382"/>
      <c r="F68" s="418"/>
      <c r="G68" s="383"/>
      <c r="H68" s="507"/>
      <c r="I68" s="382"/>
      <c r="J68" s="418"/>
      <c r="K68" s="383"/>
      <c r="L68" s="507"/>
      <c r="M68" s="382"/>
      <c r="N68" s="418"/>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8"/>
      <c r="AM68" s="383"/>
      <c r="AN68" s="507"/>
      <c r="AO68" s="382"/>
      <c r="AP68" s="418"/>
      <c r="AQ68" s="383"/>
      <c r="AR68" s="507"/>
      <c r="AS68" s="514"/>
      <c r="AT68" s="514"/>
    </row>
    <row r="69">
      <c r="A69" s="382"/>
      <c r="B69" s="418"/>
      <c r="C69" s="383"/>
      <c r="D69" s="507"/>
      <c r="E69" s="382"/>
      <c r="F69" s="418"/>
      <c r="G69" s="383"/>
      <c r="H69" s="507"/>
      <c r="I69" s="382"/>
      <c r="J69" s="418"/>
      <c r="K69" s="383"/>
      <c r="L69" s="507"/>
      <c r="M69" s="382"/>
      <c r="N69" s="418"/>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8"/>
      <c r="AM69" s="383"/>
      <c r="AN69" s="507"/>
      <c r="AO69" s="382"/>
      <c r="AP69" s="418"/>
      <c r="AQ69" s="383"/>
      <c r="AR69" s="507"/>
      <c r="AS69" s="514"/>
      <c r="AT69" s="514"/>
    </row>
    <row r="70">
      <c r="A70" s="382"/>
      <c r="B70" s="418"/>
      <c r="C70" s="383"/>
      <c r="D70" s="507"/>
      <c r="E70" s="382"/>
      <c r="F70" s="418"/>
      <c r="G70" s="383"/>
      <c r="H70" s="507"/>
      <c r="I70" s="382"/>
      <c r="J70" s="418"/>
      <c r="K70" s="383"/>
      <c r="L70" s="507"/>
      <c r="M70" s="382"/>
      <c r="N70" s="418"/>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8"/>
      <c r="AM70" s="383"/>
      <c r="AN70" s="507"/>
      <c r="AO70" s="382"/>
      <c r="AP70" s="418"/>
      <c r="AQ70" s="383"/>
      <c r="AR70" s="507"/>
      <c r="AS70" s="514"/>
      <c r="AT70" s="514"/>
    </row>
    <row r="71">
      <c r="A71" s="382"/>
      <c r="B71" s="418"/>
      <c r="C71" s="383"/>
      <c r="D71" s="507"/>
      <c r="E71" s="382"/>
      <c r="F71" s="418"/>
      <c r="G71" s="383"/>
      <c r="H71" s="507"/>
      <c r="I71" s="382"/>
      <c r="J71" s="418"/>
      <c r="K71" s="383"/>
      <c r="L71" s="507"/>
      <c r="M71" s="382"/>
      <c r="N71" s="418"/>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8"/>
      <c r="AM71" s="383"/>
      <c r="AN71" s="507"/>
      <c r="AO71" s="382"/>
      <c r="AP71" s="418"/>
      <c r="AQ71" s="383"/>
      <c r="AR71" s="507"/>
      <c r="AS71" s="514"/>
      <c r="AT71" s="514"/>
    </row>
    <row r="72">
      <c r="A72" s="382"/>
      <c r="B72" s="418"/>
      <c r="C72" s="383"/>
      <c r="D72" s="507"/>
      <c r="E72" s="382"/>
      <c r="F72" s="418"/>
      <c r="G72" s="383"/>
      <c r="H72" s="507"/>
      <c r="I72" s="382"/>
      <c r="J72" s="418"/>
      <c r="K72" s="383"/>
      <c r="L72" s="507"/>
      <c r="M72" s="382"/>
      <c r="N72" s="418"/>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8"/>
      <c r="AM72" s="383"/>
      <c r="AN72" s="507"/>
      <c r="AO72" s="382"/>
      <c r="AP72" s="418"/>
      <c r="AQ72" s="383"/>
      <c r="AR72" s="507"/>
      <c r="AS72" s="514"/>
      <c r="AT72" s="514"/>
    </row>
    <row r="73">
      <c r="A73" s="382"/>
      <c r="B73" s="418"/>
      <c r="C73" s="383"/>
      <c r="D73" s="507"/>
      <c r="E73" s="382"/>
      <c r="F73" s="418"/>
      <c r="G73" s="383"/>
      <c r="H73" s="507"/>
      <c r="I73" s="382"/>
      <c r="J73" s="418"/>
      <c r="K73" s="383"/>
      <c r="L73" s="507"/>
      <c r="M73" s="382"/>
      <c r="N73" s="418"/>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8"/>
      <c r="AM73" s="383"/>
      <c r="AN73" s="507"/>
      <c r="AO73" s="382"/>
      <c r="AP73" s="418"/>
      <c r="AQ73" s="383"/>
      <c r="AR73" s="507"/>
      <c r="AS73" s="514"/>
      <c r="AT73" s="514"/>
    </row>
    <row r="74">
      <c r="A74" s="382"/>
      <c r="B74" s="418"/>
      <c r="C74" s="383"/>
      <c r="D74" s="507"/>
      <c r="E74" s="382"/>
      <c r="F74" s="418"/>
      <c r="G74" s="383"/>
      <c r="H74" s="507"/>
      <c r="I74" s="382"/>
      <c r="J74" s="418"/>
      <c r="K74" s="383"/>
      <c r="L74" s="507"/>
      <c r="M74" s="382"/>
      <c r="N74" s="418"/>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8"/>
      <c r="AM74" s="383"/>
      <c r="AN74" s="507"/>
      <c r="AO74" s="382"/>
      <c r="AP74" s="418"/>
      <c r="AQ74" s="383"/>
      <c r="AR74" s="507"/>
      <c r="AS74" s="514"/>
      <c r="AT74" s="514"/>
    </row>
    <row r="75">
      <c r="A75" s="382"/>
      <c r="B75" s="418"/>
      <c r="C75" s="383"/>
      <c r="D75" s="507"/>
      <c r="E75" s="382"/>
      <c r="F75" s="418"/>
      <c r="G75" s="383"/>
      <c r="H75" s="507"/>
      <c r="I75" s="382"/>
      <c r="J75" s="418"/>
      <c r="K75" s="383"/>
      <c r="L75" s="507"/>
      <c r="M75" s="382"/>
      <c r="N75" s="418"/>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8"/>
      <c r="AM75" s="383"/>
      <c r="AN75" s="507"/>
      <c r="AO75" s="382"/>
      <c r="AP75" s="418"/>
      <c r="AQ75" s="383"/>
      <c r="AR75" s="507"/>
      <c r="AS75" s="514"/>
      <c r="AT75" s="514"/>
    </row>
    <row r="76">
      <c r="A76" s="382"/>
      <c r="B76" s="418"/>
      <c r="C76" s="383"/>
      <c r="D76" s="507"/>
      <c r="E76" s="382"/>
      <c r="F76" s="418"/>
      <c r="G76" s="383"/>
      <c r="H76" s="507"/>
      <c r="I76" s="382"/>
      <c r="J76" s="418"/>
      <c r="K76" s="383"/>
      <c r="L76" s="507"/>
      <c r="M76" s="382"/>
      <c r="N76" s="418"/>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8"/>
      <c r="AM76" s="383"/>
      <c r="AN76" s="507"/>
      <c r="AO76" s="382"/>
      <c r="AP76" s="418"/>
      <c r="AQ76" s="383"/>
      <c r="AR76" s="507"/>
      <c r="AS76" s="514"/>
      <c r="AT76" s="514"/>
    </row>
    <row r="77">
      <c r="A77" s="382"/>
      <c r="B77" s="418"/>
      <c r="C77" s="383"/>
      <c r="D77" s="507"/>
      <c r="E77" s="382"/>
      <c r="F77" s="418"/>
      <c r="G77" s="383"/>
      <c r="H77" s="507"/>
      <c r="I77" s="382"/>
      <c r="J77" s="418"/>
      <c r="K77" s="383"/>
      <c r="L77" s="507"/>
      <c r="M77" s="382"/>
      <c r="N77" s="418"/>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8"/>
      <c r="AM77" s="383"/>
      <c r="AN77" s="507"/>
      <c r="AO77" s="382"/>
      <c r="AP77" s="418"/>
      <c r="AQ77" s="383"/>
      <c r="AR77" s="507"/>
      <c r="AS77" s="514"/>
      <c r="AT77" s="514"/>
    </row>
    <row r="78">
      <c r="A78" s="382"/>
      <c r="B78" s="418"/>
      <c r="C78" s="383"/>
      <c r="D78" s="507"/>
      <c r="E78" s="382"/>
      <c r="F78" s="418"/>
      <c r="G78" s="383"/>
      <c r="H78" s="507"/>
      <c r="I78" s="382"/>
      <c r="J78" s="418"/>
      <c r="K78" s="383"/>
      <c r="L78" s="507"/>
      <c r="M78" s="382"/>
      <c r="N78" s="418"/>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8"/>
      <c r="AM78" s="383"/>
      <c r="AN78" s="507"/>
      <c r="AO78" s="382"/>
      <c r="AP78" s="418"/>
      <c r="AQ78" s="383"/>
      <c r="AR78" s="507"/>
      <c r="AS78" s="514"/>
      <c r="AT78" s="514"/>
    </row>
    <row r="79">
      <c r="A79" s="382"/>
      <c r="B79" s="418"/>
      <c r="C79" s="383"/>
      <c r="D79" s="507"/>
      <c r="E79" s="382"/>
      <c r="F79" s="418"/>
      <c r="G79" s="383"/>
      <c r="H79" s="507"/>
      <c r="I79" s="382"/>
      <c r="J79" s="418"/>
      <c r="K79" s="383"/>
      <c r="L79" s="507"/>
      <c r="M79" s="382"/>
      <c r="N79" s="418"/>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8"/>
      <c r="AM79" s="383"/>
      <c r="AN79" s="507"/>
      <c r="AO79" s="382"/>
      <c r="AP79" s="418"/>
      <c r="AQ79" s="383"/>
      <c r="AR79" s="507"/>
      <c r="AS79" s="514"/>
      <c r="AT79" s="514"/>
    </row>
    <row r="80">
      <c r="A80" s="382"/>
      <c r="B80" s="418"/>
      <c r="C80" s="383"/>
      <c r="D80" s="507"/>
      <c r="E80" s="382"/>
      <c r="F80" s="418"/>
      <c r="G80" s="383"/>
      <c r="H80" s="507"/>
      <c r="I80" s="382"/>
      <c r="J80" s="418"/>
      <c r="K80" s="383"/>
      <c r="L80" s="507"/>
      <c r="M80" s="382"/>
      <c r="N80" s="418"/>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8"/>
      <c r="AM80" s="383"/>
      <c r="AN80" s="507"/>
      <c r="AO80" s="382"/>
      <c r="AP80" s="418"/>
      <c r="AQ80" s="383"/>
      <c r="AR80" s="507"/>
      <c r="AS80" s="514"/>
      <c r="AT80" s="514"/>
    </row>
    <row r="81">
      <c r="A81" s="382"/>
      <c r="B81" s="418"/>
      <c r="C81" s="383"/>
      <c r="D81" s="507"/>
      <c r="E81" s="382"/>
      <c r="F81" s="418"/>
      <c r="G81" s="383"/>
      <c r="H81" s="507"/>
      <c r="I81" s="382"/>
      <c r="J81" s="418"/>
      <c r="K81" s="383"/>
      <c r="L81" s="507"/>
      <c r="M81" s="382"/>
      <c r="N81" s="418"/>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8"/>
      <c r="AM81" s="383"/>
      <c r="AN81" s="507"/>
      <c r="AO81" s="382"/>
      <c r="AP81" s="418"/>
      <c r="AQ81" s="383"/>
      <c r="AR81" s="507"/>
      <c r="AS81" s="514"/>
      <c r="AT81" s="514"/>
    </row>
    <row r="82">
      <c r="A82" s="382"/>
      <c r="B82" s="418"/>
      <c r="C82" s="383"/>
      <c r="D82" s="507"/>
      <c r="E82" s="382"/>
      <c r="F82" s="418"/>
      <c r="G82" s="383"/>
      <c r="H82" s="507"/>
      <c r="I82" s="382"/>
      <c r="J82" s="418"/>
      <c r="K82" s="383"/>
      <c r="L82" s="507"/>
      <c r="M82" s="382"/>
      <c r="N82" s="418"/>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8"/>
      <c r="AM82" s="383"/>
      <c r="AN82" s="507"/>
      <c r="AO82" s="382"/>
      <c r="AP82" s="418"/>
      <c r="AQ82" s="383"/>
      <c r="AR82" s="507"/>
      <c r="AS82" s="514"/>
      <c r="AT82" s="514"/>
    </row>
    <row r="83">
      <c r="A83" s="382"/>
      <c r="B83" s="418"/>
      <c r="C83" s="383"/>
      <c r="D83" s="507"/>
      <c r="E83" s="382"/>
      <c r="F83" s="418"/>
      <c r="G83" s="383"/>
      <c r="H83" s="507"/>
      <c r="I83" s="382"/>
      <c r="J83" s="418"/>
      <c r="K83" s="383"/>
      <c r="L83" s="507"/>
      <c r="M83" s="382"/>
      <c r="N83" s="418"/>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8"/>
      <c r="AM83" s="383"/>
      <c r="AN83" s="507"/>
      <c r="AO83" s="382"/>
      <c r="AP83" s="418"/>
      <c r="AQ83" s="383"/>
      <c r="AR83" s="507"/>
      <c r="AS83" s="514"/>
      <c r="AT83" s="514"/>
    </row>
    <row r="84">
      <c r="A84" s="382"/>
      <c r="B84" s="418"/>
      <c r="C84" s="383"/>
      <c r="D84" s="507"/>
      <c r="E84" s="382"/>
      <c r="F84" s="418"/>
      <c r="G84" s="383"/>
      <c r="H84" s="507"/>
      <c r="I84" s="382"/>
      <c r="J84" s="418"/>
      <c r="K84" s="383"/>
      <c r="L84" s="507"/>
      <c r="M84" s="382"/>
      <c r="N84" s="418"/>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8"/>
      <c r="AM84" s="383"/>
      <c r="AN84" s="507"/>
      <c r="AO84" s="382"/>
      <c r="AP84" s="418"/>
      <c r="AQ84" s="383"/>
      <c r="AR84" s="507"/>
      <c r="AS84" s="514"/>
      <c r="AT84" s="514"/>
    </row>
    <row r="85">
      <c r="A85" s="382"/>
      <c r="B85" s="418"/>
      <c r="C85" s="383"/>
      <c r="D85" s="507"/>
      <c r="E85" s="382"/>
      <c r="F85" s="418"/>
      <c r="G85" s="383"/>
      <c r="H85" s="507"/>
      <c r="I85" s="382"/>
      <c r="J85" s="418"/>
      <c r="K85" s="383"/>
      <c r="L85" s="507"/>
      <c r="M85" s="382"/>
      <c r="N85" s="418"/>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8"/>
      <c r="AM85" s="383"/>
      <c r="AN85" s="507"/>
      <c r="AO85" s="382"/>
      <c r="AP85" s="418"/>
      <c r="AQ85" s="383"/>
      <c r="AR85" s="507"/>
      <c r="AS85" s="514"/>
      <c r="AT85" s="514"/>
    </row>
    <row r="86">
      <c r="A86" s="382"/>
      <c r="B86" s="418"/>
      <c r="C86" s="383"/>
      <c r="D86" s="507"/>
      <c r="E86" s="382"/>
      <c r="F86" s="418"/>
      <c r="G86" s="383"/>
      <c r="H86" s="507"/>
      <c r="I86" s="382"/>
      <c r="J86" s="418"/>
      <c r="K86" s="383"/>
      <c r="L86" s="507"/>
      <c r="M86" s="382"/>
      <c r="N86" s="418"/>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8"/>
      <c r="AM86" s="383"/>
      <c r="AN86" s="507"/>
      <c r="AO86" s="382"/>
      <c r="AP86" s="418"/>
      <c r="AQ86" s="383"/>
      <c r="AR86" s="507"/>
      <c r="AS86" s="514"/>
      <c r="AT86" s="514"/>
    </row>
    <row r="87">
      <c r="A87" s="382"/>
      <c r="B87" s="418"/>
      <c r="C87" s="383"/>
      <c r="D87" s="507"/>
      <c r="E87" s="382"/>
      <c r="F87" s="418"/>
      <c r="G87" s="383"/>
      <c r="H87" s="507"/>
      <c r="I87" s="382"/>
      <c r="J87" s="418"/>
      <c r="K87" s="383"/>
      <c r="L87" s="507"/>
      <c r="M87" s="382"/>
      <c r="N87" s="418"/>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8"/>
      <c r="AM87" s="383"/>
      <c r="AN87" s="507"/>
      <c r="AO87" s="382"/>
      <c r="AP87" s="418"/>
      <c r="AQ87" s="383"/>
      <c r="AR87" s="507"/>
      <c r="AS87" s="514"/>
      <c r="AT87" s="514"/>
    </row>
    <row r="88">
      <c r="A88" s="382"/>
      <c r="B88" s="418"/>
      <c r="C88" s="383"/>
      <c r="D88" s="507"/>
      <c r="E88" s="382"/>
      <c r="F88" s="418"/>
      <c r="G88" s="383"/>
      <c r="H88" s="507"/>
      <c r="I88" s="382"/>
      <c r="J88" s="418"/>
      <c r="K88" s="383"/>
      <c r="L88" s="507"/>
      <c r="M88" s="382"/>
      <c r="N88" s="418"/>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8"/>
      <c r="AM88" s="383"/>
      <c r="AN88" s="507"/>
      <c r="AO88" s="382"/>
      <c r="AP88" s="418"/>
      <c r="AQ88" s="383"/>
      <c r="AR88" s="507"/>
      <c r="AS88" s="514"/>
      <c r="AT88" s="514"/>
    </row>
    <row r="89">
      <c r="A89" s="382"/>
      <c r="B89" s="418"/>
      <c r="C89" s="383"/>
      <c r="D89" s="507"/>
      <c r="E89" s="382"/>
      <c r="F89" s="418"/>
      <c r="G89" s="383"/>
      <c r="H89" s="507"/>
      <c r="I89" s="382"/>
      <c r="J89" s="418"/>
      <c r="K89" s="383"/>
      <c r="L89" s="507"/>
      <c r="M89" s="382"/>
      <c r="N89" s="418"/>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8"/>
      <c r="AM89" s="383"/>
      <c r="AN89" s="507"/>
      <c r="AO89" s="382"/>
      <c r="AP89" s="418"/>
      <c r="AQ89" s="383"/>
      <c r="AR89" s="507"/>
      <c r="AS89" s="514"/>
      <c r="AT89" s="514"/>
    </row>
    <row r="90">
      <c r="A90" s="382"/>
      <c r="B90" s="418"/>
      <c r="C90" s="383"/>
      <c r="D90" s="507"/>
      <c r="E90" s="382"/>
      <c r="F90" s="418"/>
      <c r="G90" s="383"/>
      <c r="H90" s="507"/>
      <c r="I90" s="382"/>
      <c r="J90" s="418"/>
      <c r="K90" s="383"/>
      <c r="L90" s="507"/>
      <c r="M90" s="382"/>
      <c r="N90" s="418"/>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8"/>
      <c r="AM90" s="383"/>
      <c r="AN90" s="507"/>
      <c r="AO90" s="382"/>
      <c r="AP90" s="418"/>
      <c r="AQ90" s="383"/>
      <c r="AR90" s="507"/>
      <c r="AS90" s="514"/>
      <c r="AT90" s="514"/>
    </row>
    <row r="91">
      <c r="A91" s="382"/>
      <c r="B91" s="418"/>
      <c r="C91" s="383"/>
      <c r="D91" s="507"/>
      <c r="E91" s="382"/>
      <c r="F91" s="418"/>
      <c r="G91" s="383"/>
      <c r="H91" s="507"/>
      <c r="I91" s="382"/>
      <c r="J91" s="418"/>
      <c r="K91" s="383"/>
      <c r="L91" s="507"/>
      <c r="M91" s="382"/>
      <c r="N91" s="418"/>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8"/>
      <c r="AM91" s="383"/>
      <c r="AN91" s="507"/>
      <c r="AO91" s="382"/>
      <c r="AP91" s="418"/>
      <c r="AQ91" s="383"/>
      <c r="AR91" s="507"/>
      <c r="AS91" s="514"/>
      <c r="AT91" s="514"/>
    </row>
    <row r="92">
      <c r="A92" s="382"/>
      <c r="B92" s="418"/>
      <c r="C92" s="383"/>
      <c r="D92" s="507"/>
      <c r="E92" s="382"/>
      <c r="F92" s="418"/>
      <c r="G92" s="383"/>
      <c r="H92" s="507"/>
      <c r="I92" s="382"/>
      <c r="J92" s="418"/>
      <c r="K92" s="383"/>
      <c r="L92" s="507"/>
      <c r="M92" s="382"/>
      <c r="N92" s="418"/>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8"/>
      <c r="AM92" s="383"/>
      <c r="AN92" s="507"/>
      <c r="AO92" s="382"/>
      <c r="AP92" s="418"/>
      <c r="AQ92" s="383"/>
      <c r="AR92" s="507"/>
      <c r="AS92" s="514"/>
      <c r="AT92" s="514"/>
    </row>
    <row r="93">
      <c r="A93" s="382"/>
      <c r="B93" s="418"/>
      <c r="C93" s="383"/>
      <c r="D93" s="507"/>
      <c r="E93" s="382"/>
      <c r="F93" s="418"/>
      <c r="G93" s="383"/>
      <c r="H93" s="507"/>
      <c r="I93" s="382"/>
      <c r="J93" s="418"/>
      <c r="K93" s="383"/>
      <c r="L93" s="507"/>
      <c r="M93" s="382"/>
      <c r="N93" s="418"/>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8"/>
      <c r="AM93" s="383"/>
      <c r="AN93" s="507"/>
      <c r="AO93" s="382"/>
      <c r="AP93" s="418"/>
      <c r="AQ93" s="383"/>
      <c r="AR93" s="507"/>
      <c r="AS93" s="514"/>
      <c r="AT93" s="514"/>
    </row>
    <row r="94">
      <c r="A94" s="382"/>
      <c r="B94" s="418"/>
      <c r="C94" s="383"/>
      <c r="D94" s="507"/>
      <c r="E94" s="382"/>
      <c r="F94" s="418"/>
      <c r="G94" s="383"/>
      <c r="H94" s="507"/>
      <c r="I94" s="382"/>
      <c r="J94" s="418"/>
      <c r="K94" s="383"/>
      <c r="L94" s="507"/>
      <c r="M94" s="382"/>
      <c r="N94" s="418"/>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8"/>
      <c r="AM94" s="383"/>
      <c r="AN94" s="507"/>
      <c r="AO94" s="382"/>
      <c r="AP94" s="418"/>
      <c r="AQ94" s="383"/>
      <c r="AR94" s="507"/>
      <c r="AS94" s="514"/>
      <c r="AT94" s="514"/>
    </row>
    <row r="95">
      <c r="A95" s="382"/>
      <c r="B95" s="418"/>
      <c r="C95" s="383"/>
      <c r="D95" s="507"/>
      <c r="E95" s="382"/>
      <c r="F95" s="418"/>
      <c r="G95" s="383"/>
      <c r="H95" s="507"/>
      <c r="I95" s="382"/>
      <c r="J95" s="418"/>
      <c r="K95" s="383"/>
      <c r="L95" s="507"/>
      <c r="M95" s="382"/>
      <c r="N95" s="418"/>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8"/>
      <c r="AM95" s="383"/>
      <c r="AN95" s="507"/>
      <c r="AO95" s="382"/>
      <c r="AP95" s="418"/>
      <c r="AQ95" s="383"/>
      <c r="AR95" s="507"/>
      <c r="AS95" s="514"/>
      <c r="AT95" s="514"/>
    </row>
    <row r="96">
      <c r="A96" s="382"/>
      <c r="B96" s="418"/>
      <c r="C96" s="383"/>
      <c r="D96" s="507"/>
      <c r="E96" s="382"/>
      <c r="F96" s="418"/>
      <c r="G96" s="383"/>
      <c r="H96" s="507"/>
      <c r="I96" s="382"/>
      <c r="J96" s="418"/>
      <c r="K96" s="383"/>
      <c r="L96" s="507"/>
      <c r="M96" s="382"/>
      <c r="N96" s="418"/>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8"/>
      <c r="AM96" s="383"/>
      <c r="AN96" s="507"/>
      <c r="AO96" s="382"/>
      <c r="AP96" s="418"/>
      <c r="AQ96" s="383"/>
      <c r="AR96" s="507"/>
      <c r="AS96" s="514"/>
      <c r="AT96" s="514"/>
    </row>
    <row r="97">
      <c r="A97" s="382"/>
      <c r="B97" s="418"/>
      <c r="C97" s="383"/>
      <c r="D97" s="507"/>
      <c r="E97" s="382"/>
      <c r="F97" s="418"/>
      <c r="G97" s="383"/>
      <c r="H97" s="507"/>
      <c r="I97" s="382"/>
      <c r="J97" s="418"/>
      <c r="K97" s="383"/>
      <c r="L97" s="507"/>
      <c r="M97" s="382"/>
      <c r="N97" s="418"/>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8"/>
      <c r="AM97" s="383"/>
      <c r="AN97" s="507"/>
      <c r="AO97" s="382"/>
      <c r="AP97" s="418"/>
      <c r="AQ97" s="383"/>
      <c r="AR97" s="507"/>
      <c r="AS97" s="514"/>
      <c r="AT97" s="514"/>
    </row>
    <row r="98">
      <c r="A98" s="382"/>
      <c r="B98" s="418"/>
      <c r="C98" s="383"/>
      <c r="D98" s="507"/>
      <c r="E98" s="382"/>
      <c r="F98" s="418"/>
      <c r="G98" s="383"/>
      <c r="H98" s="507"/>
      <c r="I98" s="382"/>
      <c r="J98" s="418"/>
      <c r="K98" s="383"/>
      <c r="L98" s="507"/>
      <c r="M98" s="382"/>
      <c r="N98" s="418"/>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8"/>
      <c r="AM98" s="383"/>
      <c r="AN98" s="507"/>
      <c r="AO98" s="382"/>
      <c r="AP98" s="418"/>
      <c r="AQ98" s="383"/>
      <c r="AR98" s="507"/>
      <c r="AS98" s="514"/>
      <c r="AT98" s="514"/>
    </row>
    <row r="99">
      <c r="A99" s="382"/>
      <c r="B99" s="418"/>
      <c r="C99" s="383"/>
      <c r="D99" s="507"/>
      <c r="E99" s="382"/>
      <c r="F99" s="418"/>
      <c r="G99" s="383"/>
      <c r="H99" s="507"/>
      <c r="I99" s="382"/>
      <c r="J99" s="418"/>
      <c r="K99" s="383"/>
      <c r="L99" s="507"/>
      <c r="M99" s="382"/>
      <c r="N99" s="418"/>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8"/>
      <c r="AM99" s="383"/>
      <c r="AN99" s="507"/>
      <c r="AO99" s="382"/>
      <c r="AP99" s="418"/>
      <c r="AQ99" s="383"/>
      <c r="AR99" s="507"/>
      <c r="AS99" s="514"/>
      <c r="AT99" s="514"/>
    </row>
    <row r="100">
      <c r="A100" s="382"/>
      <c r="B100" s="418"/>
      <c r="C100" s="383"/>
      <c r="D100" s="507"/>
      <c r="E100" s="382"/>
      <c r="F100" s="418"/>
      <c r="G100" s="383"/>
      <c r="H100" s="507"/>
      <c r="I100" s="382"/>
      <c r="J100" s="418"/>
      <c r="K100" s="383"/>
      <c r="L100" s="507"/>
      <c r="M100" s="382"/>
      <c r="N100" s="418"/>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8"/>
      <c r="AM100" s="383"/>
      <c r="AN100" s="507"/>
      <c r="AO100" s="382"/>
      <c r="AP100" s="418"/>
      <c r="AQ100" s="383"/>
      <c r="AR100" s="507"/>
      <c r="AS100" s="514"/>
      <c r="AT100" s="514"/>
    </row>
    <row r="101">
      <c r="A101" s="382"/>
      <c r="B101" s="418"/>
      <c r="C101" s="383"/>
      <c r="D101" s="507"/>
      <c r="E101" s="382"/>
      <c r="F101" s="418"/>
      <c r="G101" s="383"/>
      <c r="H101" s="507"/>
      <c r="I101" s="382"/>
      <c r="J101" s="418"/>
      <c r="K101" s="383"/>
      <c r="L101" s="507"/>
      <c r="M101" s="382"/>
      <c r="N101" s="418"/>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8"/>
      <c r="AM101" s="383"/>
      <c r="AN101" s="507"/>
      <c r="AO101" s="382"/>
      <c r="AP101" s="418"/>
      <c r="AQ101" s="383"/>
      <c r="AR101" s="507"/>
      <c r="AS101" s="514"/>
      <c r="AT101" s="514"/>
    </row>
    <row r="102">
      <c r="A102" s="382"/>
      <c r="B102" s="418"/>
      <c r="C102" s="383"/>
      <c r="D102" s="507"/>
      <c r="E102" s="382"/>
      <c r="F102" s="418"/>
      <c r="G102" s="383"/>
      <c r="H102" s="507"/>
      <c r="I102" s="382"/>
      <c r="J102" s="418"/>
      <c r="K102" s="383"/>
      <c r="L102" s="507"/>
      <c r="M102" s="382"/>
      <c r="N102" s="418"/>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8"/>
      <c r="AM102" s="383"/>
      <c r="AN102" s="507"/>
      <c r="AO102" s="382"/>
      <c r="AP102" s="418"/>
      <c r="AQ102" s="383"/>
      <c r="AR102" s="507"/>
      <c r="AS102" s="514"/>
      <c r="AT102" s="514"/>
    </row>
    <row r="103">
      <c r="A103" s="382"/>
      <c r="B103" s="418"/>
      <c r="C103" s="383"/>
      <c r="D103" s="507"/>
      <c r="E103" s="382"/>
      <c r="F103" s="418"/>
      <c r="G103" s="383"/>
      <c r="H103" s="507"/>
      <c r="I103" s="382"/>
      <c r="J103" s="418"/>
      <c r="K103" s="383"/>
      <c r="L103" s="507"/>
      <c r="M103" s="382"/>
      <c r="N103" s="418"/>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8"/>
      <c r="AM103" s="383"/>
      <c r="AN103" s="507"/>
      <c r="AO103" s="382"/>
      <c r="AP103" s="418"/>
      <c r="AQ103" s="383"/>
      <c r="AR103" s="507"/>
      <c r="AS103" s="514"/>
      <c r="AT103" s="514"/>
    </row>
    <row r="104">
      <c r="A104" s="382"/>
      <c r="B104" s="418"/>
      <c r="C104" s="383"/>
      <c r="D104" s="507"/>
      <c r="E104" s="382"/>
      <c r="F104" s="418"/>
      <c r="G104" s="383"/>
      <c r="H104" s="507"/>
      <c r="I104" s="382"/>
      <c r="J104" s="418"/>
      <c r="K104" s="383"/>
      <c r="L104" s="507"/>
      <c r="M104" s="382"/>
      <c r="N104" s="418"/>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8"/>
      <c r="AM104" s="383"/>
      <c r="AN104" s="507"/>
      <c r="AO104" s="382"/>
      <c r="AP104" s="418"/>
      <c r="AQ104" s="383"/>
      <c r="AR104" s="507"/>
      <c r="AS104" s="514"/>
      <c r="AT104" s="514"/>
    </row>
    <row r="105">
      <c r="A105" s="382"/>
      <c r="B105" s="418"/>
      <c r="C105" s="383"/>
      <c r="D105" s="507"/>
      <c r="E105" s="382"/>
      <c r="F105" s="418"/>
      <c r="G105" s="383"/>
      <c r="H105" s="507"/>
      <c r="I105" s="382"/>
      <c r="J105" s="418"/>
      <c r="K105" s="383"/>
      <c r="L105" s="507"/>
      <c r="M105" s="382"/>
      <c r="N105" s="418"/>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8"/>
      <c r="AM105" s="383"/>
      <c r="AN105" s="507"/>
      <c r="AO105" s="382"/>
      <c r="AP105" s="418"/>
      <c r="AQ105" s="383"/>
      <c r="AR105" s="507"/>
      <c r="AS105" s="514"/>
      <c r="AT105" s="514"/>
    </row>
    <row r="106">
      <c r="A106" s="382"/>
      <c r="B106" s="418"/>
      <c r="C106" s="383"/>
      <c r="D106" s="507"/>
      <c r="E106" s="382"/>
      <c r="F106" s="418"/>
      <c r="G106" s="383"/>
      <c r="H106" s="507"/>
      <c r="I106" s="382"/>
      <c r="J106" s="418"/>
      <c r="K106" s="383"/>
      <c r="L106" s="507"/>
      <c r="M106" s="382"/>
      <c r="N106" s="418"/>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8"/>
      <c r="AM106" s="383"/>
      <c r="AN106" s="507"/>
      <c r="AO106" s="382"/>
      <c r="AP106" s="418"/>
      <c r="AQ106" s="383"/>
      <c r="AR106" s="507"/>
      <c r="AS106" s="514"/>
      <c r="AT106" s="514"/>
    </row>
    <row r="107">
      <c r="A107" s="382"/>
      <c r="B107" s="418"/>
      <c r="C107" s="383"/>
      <c r="D107" s="507"/>
      <c r="E107" s="382"/>
      <c r="F107" s="418"/>
      <c r="G107" s="383"/>
      <c r="H107" s="507"/>
      <c r="I107" s="382"/>
      <c r="J107" s="418"/>
      <c r="K107" s="383"/>
      <c r="L107" s="507"/>
      <c r="M107" s="382"/>
      <c r="N107" s="418"/>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8"/>
      <c r="AM107" s="383"/>
      <c r="AN107" s="507"/>
      <c r="AO107" s="382"/>
      <c r="AP107" s="418"/>
      <c r="AQ107" s="383"/>
      <c r="AR107" s="507"/>
      <c r="AS107" s="514"/>
      <c r="AT107" s="514"/>
    </row>
    <row r="108">
      <c r="A108" s="382"/>
      <c r="B108" s="418"/>
      <c r="C108" s="383"/>
      <c r="D108" s="507"/>
      <c r="E108" s="382"/>
      <c r="F108" s="418"/>
      <c r="G108" s="383"/>
      <c r="H108" s="507"/>
      <c r="I108" s="382"/>
      <c r="J108" s="418"/>
      <c r="K108" s="383"/>
      <c r="L108" s="507"/>
      <c r="M108" s="382"/>
      <c r="N108" s="418"/>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8"/>
      <c r="AM108" s="383"/>
      <c r="AN108" s="507"/>
      <c r="AO108" s="382"/>
      <c r="AP108" s="418"/>
      <c r="AQ108" s="383"/>
      <c r="AR108" s="507"/>
      <c r="AS108" s="514"/>
      <c r="AT108" s="514"/>
    </row>
    <row r="109">
      <c r="A109" s="382"/>
      <c r="B109" s="418"/>
      <c r="C109" s="383"/>
      <c r="D109" s="507"/>
      <c r="E109" s="382"/>
      <c r="F109" s="418"/>
      <c r="G109" s="383"/>
      <c r="H109" s="507"/>
      <c r="I109" s="382"/>
      <c r="J109" s="418"/>
      <c r="K109" s="383"/>
      <c r="L109" s="507"/>
      <c r="M109" s="382"/>
      <c r="N109" s="418"/>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8"/>
      <c r="AM109" s="383"/>
      <c r="AN109" s="507"/>
      <c r="AO109" s="382"/>
      <c r="AP109" s="418"/>
      <c r="AQ109" s="383"/>
      <c r="AR109" s="507"/>
      <c r="AS109" s="514"/>
      <c r="AT109" s="514"/>
    </row>
    <row r="110">
      <c r="A110" s="382"/>
      <c r="B110" s="418"/>
      <c r="C110" s="383"/>
      <c r="D110" s="507"/>
      <c r="E110" s="382"/>
      <c r="F110" s="418"/>
      <c r="G110" s="383"/>
      <c r="H110" s="507"/>
      <c r="I110" s="382"/>
      <c r="J110" s="418"/>
      <c r="K110" s="383"/>
      <c r="L110" s="507"/>
      <c r="M110" s="382"/>
      <c r="N110" s="418"/>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8"/>
      <c r="AM110" s="383"/>
      <c r="AN110" s="507"/>
      <c r="AO110" s="382"/>
      <c r="AP110" s="418"/>
      <c r="AQ110" s="383"/>
      <c r="AR110" s="507"/>
      <c r="AS110" s="514"/>
      <c r="AT110" s="514"/>
    </row>
    <row r="111">
      <c r="A111" s="382"/>
      <c r="B111" s="418"/>
      <c r="C111" s="383"/>
      <c r="D111" s="507"/>
      <c r="E111" s="382"/>
      <c r="F111" s="418"/>
      <c r="G111" s="383"/>
      <c r="H111" s="507"/>
      <c r="I111" s="382"/>
      <c r="J111" s="418"/>
      <c r="K111" s="383"/>
      <c r="L111" s="507"/>
      <c r="M111" s="382"/>
      <c r="N111" s="418"/>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8"/>
      <c r="AM111" s="383"/>
      <c r="AN111" s="507"/>
      <c r="AO111" s="382"/>
      <c r="AP111" s="418"/>
      <c r="AQ111" s="383"/>
      <c r="AR111" s="507"/>
      <c r="AS111" s="514"/>
      <c r="AT111" s="514"/>
    </row>
    <row r="112">
      <c r="A112" s="382"/>
      <c r="B112" s="418"/>
      <c r="C112" s="383"/>
      <c r="D112" s="507"/>
      <c r="E112" s="382"/>
      <c r="F112" s="418"/>
      <c r="G112" s="383"/>
      <c r="H112" s="507"/>
      <c r="I112" s="382"/>
      <c r="J112" s="418"/>
      <c r="K112" s="383"/>
      <c r="L112" s="507"/>
      <c r="M112" s="382"/>
      <c r="N112" s="418"/>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8"/>
      <c r="AM112" s="383"/>
      <c r="AN112" s="507"/>
      <c r="AO112" s="382"/>
      <c r="AP112" s="418"/>
      <c r="AQ112" s="383"/>
      <c r="AR112" s="507"/>
      <c r="AS112" s="514"/>
      <c r="AT112" s="514"/>
    </row>
    <row r="113">
      <c r="A113" s="382"/>
      <c r="B113" s="418"/>
      <c r="C113" s="383"/>
      <c r="D113" s="507"/>
      <c r="E113" s="382"/>
      <c r="F113" s="418"/>
      <c r="G113" s="383"/>
      <c r="H113" s="507"/>
      <c r="I113" s="382"/>
      <c r="J113" s="418"/>
      <c r="K113" s="383"/>
      <c r="L113" s="507"/>
      <c r="M113" s="382"/>
      <c r="N113" s="418"/>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8"/>
      <c r="AM113" s="383"/>
      <c r="AN113" s="507"/>
      <c r="AO113" s="382"/>
      <c r="AP113" s="418"/>
      <c r="AQ113" s="383"/>
      <c r="AR113" s="507"/>
      <c r="AS113" s="514"/>
      <c r="AT113" s="514"/>
    </row>
    <row r="114">
      <c r="A114" s="382"/>
      <c r="B114" s="418"/>
      <c r="C114" s="383"/>
      <c r="D114" s="507"/>
      <c r="E114" s="382"/>
      <c r="F114" s="418"/>
      <c r="G114" s="383"/>
      <c r="H114" s="507"/>
      <c r="I114" s="382"/>
      <c r="J114" s="418"/>
      <c r="K114" s="383"/>
      <c r="L114" s="507"/>
      <c r="M114" s="382"/>
      <c r="N114" s="418"/>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8"/>
      <c r="AM114" s="383"/>
      <c r="AN114" s="507"/>
      <c r="AO114" s="382"/>
      <c r="AP114" s="418"/>
      <c r="AQ114" s="383"/>
      <c r="AR114" s="507"/>
      <c r="AS114" s="514"/>
      <c r="AT114" s="514"/>
    </row>
    <row r="115">
      <c r="A115" s="382"/>
      <c r="B115" s="418"/>
      <c r="C115" s="383"/>
      <c r="D115" s="507"/>
      <c r="E115" s="382"/>
      <c r="F115" s="418"/>
      <c r="G115" s="383"/>
      <c r="H115" s="507"/>
      <c r="I115" s="382"/>
      <c r="J115" s="418"/>
      <c r="K115" s="383"/>
      <c r="L115" s="507"/>
      <c r="M115" s="382"/>
      <c r="N115" s="418"/>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8"/>
      <c r="AM115" s="383"/>
      <c r="AN115" s="507"/>
      <c r="AO115" s="382"/>
      <c r="AP115" s="418"/>
      <c r="AQ115" s="383"/>
      <c r="AR115" s="507"/>
      <c r="AS115" s="514"/>
      <c r="AT115" s="514"/>
    </row>
    <row r="116">
      <c r="A116" s="382"/>
      <c r="B116" s="418"/>
      <c r="C116" s="383"/>
      <c r="D116" s="507"/>
      <c r="E116" s="382"/>
      <c r="F116" s="418"/>
      <c r="G116" s="383"/>
      <c r="H116" s="507"/>
      <c r="I116" s="382"/>
      <c r="J116" s="418"/>
      <c r="K116" s="383"/>
      <c r="L116" s="507"/>
      <c r="M116" s="382"/>
      <c r="N116" s="418"/>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8"/>
      <c r="AM116" s="383"/>
      <c r="AN116" s="507"/>
      <c r="AO116" s="382"/>
      <c r="AP116" s="418"/>
      <c r="AQ116" s="383"/>
      <c r="AR116" s="507"/>
      <c r="AS116" s="514"/>
      <c r="AT116" s="514"/>
    </row>
    <row r="117">
      <c r="A117" s="382"/>
      <c r="B117" s="418"/>
      <c r="C117" s="383"/>
      <c r="D117" s="507"/>
      <c r="E117" s="382"/>
      <c r="F117" s="418"/>
      <c r="G117" s="383"/>
      <c r="H117" s="507"/>
      <c r="I117" s="382"/>
      <c r="J117" s="418"/>
      <c r="K117" s="383"/>
      <c r="L117" s="507"/>
      <c r="M117" s="382"/>
      <c r="N117" s="418"/>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8"/>
      <c r="AM117" s="383"/>
      <c r="AN117" s="507"/>
      <c r="AO117" s="382"/>
      <c r="AP117" s="418"/>
      <c r="AQ117" s="383"/>
      <c r="AR117" s="507"/>
      <c r="AS117" s="514"/>
      <c r="AT117" s="514"/>
    </row>
    <row r="118">
      <c r="A118" s="382"/>
      <c r="B118" s="418"/>
      <c r="C118" s="383"/>
      <c r="D118" s="507"/>
      <c r="E118" s="382"/>
      <c r="F118" s="418"/>
      <c r="G118" s="383"/>
      <c r="H118" s="507"/>
      <c r="I118" s="382"/>
      <c r="J118" s="418"/>
      <c r="K118" s="383"/>
      <c r="L118" s="507"/>
      <c r="M118" s="382"/>
      <c r="N118" s="418"/>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8"/>
      <c r="AM118" s="383"/>
      <c r="AN118" s="507"/>
      <c r="AO118" s="382"/>
      <c r="AP118" s="418"/>
      <c r="AQ118" s="383"/>
      <c r="AR118" s="507"/>
      <c r="AS118" s="514"/>
      <c r="AT118" s="514"/>
    </row>
    <row r="119">
      <c r="A119" s="382"/>
      <c r="B119" s="418"/>
      <c r="C119" s="383"/>
      <c r="D119" s="507"/>
      <c r="E119" s="382"/>
      <c r="F119" s="418"/>
      <c r="G119" s="383"/>
      <c r="H119" s="507"/>
      <c r="I119" s="382"/>
      <c r="J119" s="418"/>
      <c r="K119" s="383"/>
      <c r="L119" s="507"/>
      <c r="M119" s="382"/>
      <c r="N119" s="418"/>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8"/>
      <c r="AM119" s="383"/>
      <c r="AN119" s="507"/>
      <c r="AO119" s="382"/>
      <c r="AP119" s="418"/>
      <c r="AQ119" s="383"/>
      <c r="AR119" s="507"/>
      <c r="AS119" s="514"/>
      <c r="AT119" s="514"/>
    </row>
    <row r="120">
      <c r="A120" s="382"/>
      <c r="B120" s="418"/>
      <c r="C120" s="383"/>
      <c r="D120" s="507"/>
      <c r="E120" s="382"/>
      <c r="F120" s="418"/>
      <c r="G120" s="383"/>
      <c r="H120" s="507"/>
      <c r="I120" s="382"/>
      <c r="J120" s="418"/>
      <c r="K120" s="383"/>
      <c r="L120" s="507"/>
      <c r="M120" s="382"/>
      <c r="N120" s="418"/>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8"/>
      <c r="AM120" s="383"/>
      <c r="AN120" s="507"/>
      <c r="AO120" s="382"/>
      <c r="AP120" s="418"/>
      <c r="AQ120" s="383"/>
      <c r="AR120" s="507"/>
      <c r="AS120" s="514"/>
      <c r="AT120" s="514"/>
    </row>
    <row r="121">
      <c r="A121" s="382"/>
      <c r="B121" s="418"/>
      <c r="C121" s="383"/>
      <c r="D121" s="507"/>
      <c r="E121" s="382"/>
      <c r="F121" s="418"/>
      <c r="G121" s="383"/>
      <c r="H121" s="507"/>
      <c r="I121" s="382"/>
      <c r="J121" s="418"/>
      <c r="K121" s="383"/>
      <c r="L121" s="507"/>
      <c r="M121" s="382"/>
      <c r="N121" s="418"/>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8"/>
      <c r="AM121" s="383"/>
      <c r="AN121" s="507"/>
      <c r="AO121" s="382"/>
      <c r="AP121" s="418"/>
      <c r="AQ121" s="383"/>
      <c r="AR121" s="507"/>
      <c r="AS121" s="514"/>
      <c r="AT121" s="514"/>
    </row>
    <row r="122">
      <c r="A122" s="382"/>
      <c r="B122" s="418"/>
      <c r="C122" s="383"/>
      <c r="D122" s="507"/>
      <c r="E122" s="382"/>
      <c r="F122" s="418"/>
      <c r="G122" s="383"/>
      <c r="H122" s="507"/>
      <c r="I122" s="382"/>
      <c r="J122" s="418"/>
      <c r="K122" s="383"/>
      <c r="L122" s="507"/>
      <c r="M122" s="382"/>
      <c r="N122" s="418"/>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8"/>
      <c r="AM122" s="383"/>
      <c r="AN122" s="507"/>
      <c r="AO122" s="382"/>
      <c r="AP122" s="418"/>
      <c r="AQ122" s="383"/>
      <c r="AR122" s="507"/>
      <c r="AS122" s="514"/>
      <c r="AT122" s="514"/>
    </row>
    <row r="123">
      <c r="A123" s="382"/>
      <c r="B123" s="418"/>
      <c r="C123" s="383"/>
      <c r="D123" s="507"/>
      <c r="E123" s="382"/>
      <c r="F123" s="418"/>
      <c r="G123" s="383"/>
      <c r="H123" s="507"/>
      <c r="I123" s="382"/>
      <c r="J123" s="418"/>
      <c r="K123" s="383"/>
      <c r="L123" s="507"/>
      <c r="M123" s="382"/>
      <c r="N123" s="418"/>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8"/>
      <c r="AM123" s="383"/>
      <c r="AN123" s="507"/>
      <c r="AO123" s="382"/>
      <c r="AP123" s="418"/>
      <c r="AQ123" s="383"/>
      <c r="AR123" s="507"/>
      <c r="AS123" s="514"/>
      <c r="AT123" s="514"/>
    </row>
    <row r="124">
      <c r="A124" s="382"/>
      <c r="B124" s="418"/>
      <c r="C124" s="383"/>
      <c r="D124" s="507"/>
      <c r="E124" s="382"/>
      <c r="F124" s="418"/>
      <c r="G124" s="383"/>
      <c r="H124" s="507"/>
      <c r="I124" s="382"/>
      <c r="J124" s="418"/>
      <c r="K124" s="383"/>
      <c r="L124" s="507"/>
      <c r="M124" s="382"/>
      <c r="N124" s="418"/>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8"/>
      <c r="AM124" s="383"/>
      <c r="AN124" s="507"/>
      <c r="AO124" s="382"/>
      <c r="AP124" s="418"/>
      <c r="AQ124" s="383"/>
      <c r="AR124" s="507"/>
      <c r="AS124" s="514"/>
      <c r="AT124" s="514"/>
    </row>
    <row r="125">
      <c r="A125" s="382"/>
      <c r="B125" s="418"/>
      <c r="C125" s="383"/>
      <c r="D125" s="507"/>
      <c r="E125" s="382"/>
      <c r="F125" s="418"/>
      <c r="G125" s="383"/>
      <c r="H125" s="507"/>
      <c r="I125" s="382"/>
      <c r="J125" s="418"/>
      <c r="K125" s="383"/>
      <c r="L125" s="507"/>
      <c r="M125" s="382"/>
      <c r="N125" s="418"/>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8"/>
      <c r="AM125" s="383"/>
      <c r="AN125" s="507"/>
      <c r="AO125" s="382"/>
      <c r="AP125" s="418"/>
      <c r="AQ125" s="383"/>
      <c r="AR125" s="507"/>
      <c r="AS125" s="514"/>
      <c r="AT125" s="514"/>
    </row>
    <row r="126">
      <c r="A126" s="382"/>
      <c r="B126" s="418"/>
      <c r="C126" s="383"/>
      <c r="D126" s="507"/>
      <c r="E126" s="382"/>
      <c r="F126" s="418"/>
      <c r="G126" s="383"/>
      <c r="H126" s="507"/>
      <c r="I126" s="382"/>
      <c r="J126" s="418"/>
      <c r="K126" s="383"/>
      <c r="L126" s="507"/>
      <c r="M126" s="382"/>
      <c r="N126" s="418"/>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8"/>
      <c r="AM126" s="383"/>
      <c r="AN126" s="507"/>
      <c r="AO126" s="382"/>
      <c r="AP126" s="418"/>
      <c r="AQ126" s="383"/>
      <c r="AR126" s="507"/>
      <c r="AS126" s="514"/>
      <c r="AT126" s="514"/>
    </row>
    <row r="127">
      <c r="A127" s="382"/>
      <c r="B127" s="418"/>
      <c r="C127" s="383"/>
      <c r="D127" s="507"/>
      <c r="E127" s="382"/>
      <c r="F127" s="418"/>
      <c r="G127" s="383"/>
      <c r="H127" s="507"/>
      <c r="I127" s="382"/>
      <c r="J127" s="418"/>
      <c r="K127" s="383"/>
      <c r="L127" s="507"/>
      <c r="M127" s="382"/>
      <c r="N127" s="418"/>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8"/>
      <c r="AM127" s="383"/>
      <c r="AN127" s="507"/>
      <c r="AO127" s="382"/>
      <c r="AP127" s="418"/>
      <c r="AQ127" s="383"/>
      <c r="AR127" s="507"/>
      <c r="AS127" s="514"/>
      <c r="AT127" s="514"/>
    </row>
    <row r="128">
      <c r="A128" s="382"/>
      <c r="B128" s="418"/>
      <c r="C128" s="383"/>
      <c r="D128" s="507"/>
      <c r="E128" s="382"/>
      <c r="F128" s="418"/>
      <c r="G128" s="383"/>
      <c r="H128" s="507"/>
      <c r="I128" s="382"/>
      <c r="J128" s="418"/>
      <c r="K128" s="383"/>
      <c r="L128" s="507"/>
      <c r="M128" s="382"/>
      <c r="N128" s="418"/>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8"/>
      <c r="AM128" s="383"/>
      <c r="AN128" s="507"/>
      <c r="AO128" s="382"/>
      <c r="AP128" s="418"/>
      <c r="AQ128" s="383"/>
      <c r="AR128" s="507"/>
      <c r="AS128" s="514"/>
      <c r="AT128" s="514"/>
    </row>
    <row r="129">
      <c r="A129" s="382"/>
      <c r="B129" s="418"/>
      <c r="C129" s="383"/>
      <c r="D129" s="507"/>
      <c r="E129" s="382"/>
      <c r="F129" s="418"/>
      <c r="G129" s="383"/>
      <c r="H129" s="507"/>
      <c r="I129" s="382"/>
      <c r="J129" s="418"/>
      <c r="K129" s="383"/>
      <c r="L129" s="507"/>
      <c r="M129" s="382"/>
      <c r="N129" s="418"/>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8"/>
      <c r="AM129" s="383"/>
      <c r="AN129" s="507"/>
      <c r="AO129" s="382"/>
      <c r="AP129" s="418"/>
      <c r="AQ129" s="383"/>
      <c r="AR129" s="507"/>
      <c r="AS129" s="514"/>
      <c r="AT129" s="514"/>
    </row>
    <row r="130">
      <c r="A130" s="382"/>
      <c r="B130" s="418"/>
      <c r="C130" s="383"/>
      <c r="D130" s="507"/>
      <c r="E130" s="382"/>
      <c r="F130" s="418"/>
      <c r="G130" s="383"/>
      <c r="H130" s="507"/>
      <c r="I130" s="382"/>
      <c r="J130" s="418"/>
      <c r="K130" s="383"/>
      <c r="L130" s="507"/>
      <c r="M130" s="382"/>
      <c r="N130" s="418"/>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8"/>
      <c r="AM130" s="383"/>
      <c r="AN130" s="507"/>
      <c r="AO130" s="382"/>
      <c r="AP130" s="418"/>
      <c r="AQ130" s="383"/>
      <c r="AR130" s="507"/>
      <c r="AS130" s="514"/>
      <c r="AT130" s="514"/>
    </row>
    <row r="131">
      <c r="A131" s="382"/>
      <c r="B131" s="418"/>
      <c r="C131" s="383"/>
      <c r="D131" s="507"/>
      <c r="E131" s="382"/>
      <c r="F131" s="418"/>
      <c r="G131" s="383"/>
      <c r="H131" s="507"/>
      <c r="I131" s="382"/>
      <c r="J131" s="418"/>
      <c r="K131" s="383"/>
      <c r="L131" s="507"/>
      <c r="M131" s="382"/>
      <c r="N131" s="418"/>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8"/>
      <c r="AM131" s="383"/>
      <c r="AN131" s="507"/>
      <c r="AO131" s="382"/>
      <c r="AP131" s="418"/>
      <c r="AQ131" s="383"/>
      <c r="AR131" s="507"/>
      <c r="AS131" s="514"/>
      <c r="AT131" s="514"/>
    </row>
    <row r="132">
      <c r="A132" s="382"/>
      <c r="B132" s="418"/>
      <c r="C132" s="383"/>
      <c r="D132" s="507"/>
      <c r="E132" s="382"/>
      <c r="F132" s="418"/>
      <c r="G132" s="383"/>
      <c r="H132" s="507"/>
      <c r="I132" s="382"/>
      <c r="J132" s="418"/>
      <c r="K132" s="383"/>
      <c r="L132" s="507"/>
      <c r="M132" s="382"/>
      <c r="N132" s="418"/>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8"/>
      <c r="AM132" s="383"/>
      <c r="AN132" s="507"/>
      <c r="AO132" s="382"/>
      <c r="AP132" s="418"/>
      <c r="AQ132" s="383"/>
      <c r="AR132" s="507"/>
      <c r="AS132" s="514"/>
      <c r="AT132" s="514"/>
    </row>
    <row r="133">
      <c r="A133" s="382"/>
      <c r="B133" s="418"/>
      <c r="C133" s="383"/>
      <c r="D133" s="507"/>
      <c r="E133" s="382"/>
      <c r="F133" s="418"/>
      <c r="G133" s="383"/>
      <c r="H133" s="507"/>
      <c r="I133" s="382"/>
      <c r="J133" s="418"/>
      <c r="K133" s="383"/>
      <c r="L133" s="507"/>
      <c r="M133" s="382"/>
      <c r="N133" s="418"/>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8"/>
      <c r="AM133" s="383"/>
      <c r="AN133" s="507"/>
      <c r="AO133" s="382"/>
      <c r="AP133" s="418"/>
      <c r="AQ133" s="383"/>
      <c r="AR133" s="507"/>
      <c r="AS133" s="514"/>
      <c r="AT133" s="514"/>
    </row>
    <row r="134">
      <c r="A134" s="382"/>
      <c r="B134" s="418"/>
      <c r="C134" s="383"/>
      <c r="D134" s="507"/>
      <c r="E134" s="382"/>
      <c r="F134" s="418"/>
      <c r="G134" s="383"/>
      <c r="H134" s="507"/>
      <c r="I134" s="382"/>
      <c r="J134" s="418"/>
      <c r="K134" s="383"/>
      <c r="L134" s="507"/>
      <c r="M134" s="382"/>
      <c r="N134" s="418"/>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8"/>
      <c r="AM134" s="383"/>
      <c r="AN134" s="507"/>
      <c r="AO134" s="382"/>
      <c r="AP134" s="418"/>
      <c r="AQ134" s="383"/>
      <c r="AR134" s="507"/>
      <c r="AS134" s="514"/>
      <c r="AT134" s="514"/>
    </row>
    <row r="135">
      <c r="A135" s="382"/>
      <c r="B135" s="418"/>
      <c r="C135" s="383"/>
      <c r="D135" s="507"/>
      <c r="E135" s="382"/>
      <c r="F135" s="418"/>
      <c r="G135" s="383"/>
      <c r="H135" s="507"/>
      <c r="I135" s="382"/>
      <c r="J135" s="418"/>
      <c r="K135" s="383"/>
      <c r="L135" s="507"/>
      <c r="M135" s="382"/>
      <c r="N135" s="418"/>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8"/>
      <c r="AM135" s="383"/>
      <c r="AN135" s="507"/>
      <c r="AO135" s="382"/>
      <c r="AP135" s="418"/>
      <c r="AQ135" s="383"/>
      <c r="AR135" s="507"/>
      <c r="AS135" s="514"/>
      <c r="AT135" s="514"/>
    </row>
    <row r="136">
      <c r="A136" s="382"/>
      <c r="B136" s="418"/>
      <c r="C136" s="383"/>
      <c r="D136" s="507"/>
      <c r="E136" s="382"/>
      <c r="F136" s="418"/>
      <c r="G136" s="383"/>
      <c r="H136" s="507"/>
      <c r="I136" s="382"/>
      <c r="J136" s="418"/>
      <c r="K136" s="383"/>
      <c r="L136" s="507"/>
      <c r="M136" s="382"/>
      <c r="N136" s="418"/>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8"/>
      <c r="AM136" s="383"/>
      <c r="AN136" s="507"/>
      <c r="AO136" s="382"/>
      <c r="AP136" s="418"/>
      <c r="AQ136" s="383"/>
      <c r="AR136" s="507"/>
      <c r="AS136" s="514"/>
      <c r="AT136" s="514"/>
    </row>
    <row r="137">
      <c r="A137" s="382"/>
      <c r="B137" s="418"/>
      <c r="C137" s="383"/>
      <c r="D137" s="507"/>
      <c r="E137" s="382"/>
      <c r="F137" s="418"/>
      <c r="G137" s="383"/>
      <c r="H137" s="507"/>
      <c r="I137" s="382"/>
      <c r="J137" s="418"/>
      <c r="K137" s="383"/>
      <c r="L137" s="507"/>
      <c r="M137" s="382"/>
      <c r="N137" s="418"/>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8"/>
      <c r="AM137" s="383"/>
      <c r="AN137" s="507"/>
      <c r="AO137" s="382"/>
      <c r="AP137" s="418"/>
      <c r="AQ137" s="383"/>
      <c r="AR137" s="507"/>
      <c r="AS137" s="514"/>
      <c r="AT137" s="514"/>
    </row>
    <row r="138">
      <c r="A138" s="382"/>
      <c r="B138" s="418"/>
      <c r="C138" s="383"/>
      <c r="D138" s="507"/>
      <c r="E138" s="382"/>
      <c r="F138" s="418"/>
      <c r="G138" s="383"/>
      <c r="H138" s="507"/>
      <c r="I138" s="382"/>
      <c r="J138" s="418"/>
      <c r="K138" s="383"/>
      <c r="L138" s="507"/>
      <c r="M138" s="382"/>
      <c r="N138" s="418"/>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8"/>
      <c r="AM138" s="383"/>
      <c r="AN138" s="507"/>
      <c r="AO138" s="382"/>
      <c r="AP138" s="418"/>
      <c r="AQ138" s="383"/>
      <c r="AR138" s="507"/>
      <c r="AS138" s="514"/>
      <c r="AT138" s="514"/>
    </row>
    <row r="139">
      <c r="A139" s="382"/>
      <c r="B139" s="418"/>
      <c r="C139" s="383"/>
      <c r="D139" s="507"/>
      <c r="E139" s="382"/>
      <c r="F139" s="418"/>
      <c r="G139" s="383"/>
      <c r="H139" s="507"/>
      <c r="I139" s="382"/>
      <c r="J139" s="418"/>
      <c r="K139" s="383"/>
      <c r="L139" s="507"/>
      <c r="M139" s="382"/>
      <c r="N139" s="418"/>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8"/>
      <c r="AM139" s="383"/>
      <c r="AN139" s="507"/>
      <c r="AO139" s="382"/>
      <c r="AP139" s="418"/>
      <c r="AQ139" s="383"/>
      <c r="AR139" s="507"/>
      <c r="AS139" s="514"/>
      <c r="AT139" s="514"/>
    </row>
    <row r="140">
      <c r="A140" s="382"/>
      <c r="B140" s="418"/>
      <c r="C140" s="383"/>
      <c r="D140" s="507"/>
      <c r="E140" s="382"/>
      <c r="F140" s="418"/>
      <c r="G140" s="383"/>
      <c r="H140" s="507"/>
      <c r="I140" s="382"/>
      <c r="J140" s="418"/>
      <c r="K140" s="383"/>
      <c r="L140" s="507"/>
      <c r="M140" s="382"/>
      <c r="N140" s="418"/>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8"/>
      <c r="AM140" s="383"/>
      <c r="AN140" s="507"/>
      <c r="AO140" s="382"/>
      <c r="AP140" s="418"/>
      <c r="AQ140" s="383"/>
      <c r="AR140" s="507"/>
      <c r="AS140" s="514"/>
      <c r="AT140" s="514"/>
    </row>
    <row r="141">
      <c r="A141" s="382"/>
      <c r="B141" s="418"/>
      <c r="C141" s="383"/>
      <c r="D141" s="507"/>
      <c r="E141" s="382"/>
      <c r="F141" s="418"/>
      <c r="G141" s="383"/>
      <c r="H141" s="507"/>
      <c r="I141" s="382"/>
      <c r="J141" s="418"/>
      <c r="K141" s="383"/>
      <c r="L141" s="507"/>
      <c r="M141" s="382"/>
      <c r="N141" s="418"/>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8"/>
      <c r="AM141" s="383"/>
      <c r="AN141" s="507"/>
      <c r="AO141" s="382"/>
      <c r="AP141" s="418"/>
      <c r="AQ141" s="383"/>
      <c r="AR141" s="507"/>
      <c r="AS141" s="514"/>
      <c r="AT141" s="514"/>
    </row>
    <row r="142">
      <c r="A142" s="382"/>
      <c r="B142" s="418"/>
      <c r="C142" s="383"/>
      <c r="D142" s="507"/>
      <c r="E142" s="382"/>
      <c r="F142" s="418"/>
      <c r="G142" s="383"/>
      <c r="H142" s="507"/>
      <c r="I142" s="382"/>
      <c r="J142" s="418"/>
      <c r="K142" s="383"/>
      <c r="L142" s="507"/>
      <c r="M142" s="382"/>
      <c r="N142" s="418"/>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8"/>
      <c r="AM142" s="383"/>
      <c r="AN142" s="507"/>
      <c r="AO142" s="382"/>
      <c r="AP142" s="418"/>
      <c r="AQ142" s="383"/>
      <c r="AR142" s="507"/>
      <c r="AS142" s="514"/>
      <c r="AT142" s="514"/>
    </row>
    <row r="143">
      <c r="A143" s="382"/>
      <c r="B143" s="418"/>
      <c r="C143" s="383"/>
      <c r="D143" s="507"/>
      <c r="E143" s="382"/>
      <c r="F143" s="418"/>
      <c r="G143" s="383"/>
      <c r="H143" s="507"/>
      <c r="I143" s="382"/>
      <c r="J143" s="418"/>
      <c r="K143" s="383"/>
      <c r="L143" s="507"/>
      <c r="M143" s="382"/>
      <c r="N143" s="418"/>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8"/>
      <c r="AM143" s="383"/>
      <c r="AN143" s="507"/>
      <c r="AO143" s="382"/>
      <c r="AP143" s="418"/>
      <c r="AQ143" s="383"/>
      <c r="AR143" s="507"/>
      <c r="AS143" s="514"/>
      <c r="AT143" s="514"/>
    </row>
    <row r="144">
      <c r="A144" s="382"/>
      <c r="B144" s="418"/>
      <c r="C144" s="383"/>
      <c r="D144" s="507"/>
      <c r="E144" s="382"/>
      <c r="F144" s="418"/>
      <c r="G144" s="383"/>
      <c r="H144" s="507"/>
      <c r="I144" s="382"/>
      <c r="J144" s="418"/>
      <c r="K144" s="383"/>
      <c r="L144" s="507"/>
      <c r="M144" s="382"/>
      <c r="N144" s="418"/>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8"/>
      <c r="AM144" s="383"/>
      <c r="AN144" s="507"/>
      <c r="AO144" s="382"/>
      <c r="AP144" s="418"/>
      <c r="AQ144" s="383"/>
      <c r="AR144" s="507"/>
      <c r="AS144" s="514"/>
      <c r="AT144" s="514"/>
    </row>
    <row r="145">
      <c r="A145" s="382"/>
      <c r="B145" s="418"/>
      <c r="C145" s="383"/>
      <c r="D145" s="507"/>
      <c r="E145" s="382"/>
      <c r="F145" s="418"/>
      <c r="G145" s="383"/>
      <c r="H145" s="507"/>
      <c r="I145" s="382"/>
      <c r="J145" s="418"/>
      <c r="K145" s="383"/>
      <c r="L145" s="507"/>
      <c r="M145" s="382"/>
      <c r="N145" s="418"/>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8"/>
      <c r="AM145" s="383"/>
      <c r="AN145" s="507"/>
      <c r="AO145" s="382"/>
      <c r="AP145" s="418"/>
      <c r="AQ145" s="383"/>
      <c r="AR145" s="507"/>
      <c r="AS145" s="514"/>
      <c r="AT145" s="514"/>
    </row>
    <row r="146">
      <c r="A146" s="382"/>
      <c r="B146" s="418"/>
      <c r="C146" s="383"/>
      <c r="D146" s="507"/>
      <c r="E146" s="382"/>
      <c r="F146" s="418"/>
      <c r="G146" s="383"/>
      <c r="H146" s="507"/>
      <c r="I146" s="382"/>
      <c r="J146" s="418"/>
      <c r="K146" s="383"/>
      <c r="L146" s="507"/>
      <c r="M146" s="382"/>
      <c r="N146" s="418"/>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8"/>
      <c r="AM146" s="383"/>
      <c r="AN146" s="507"/>
      <c r="AO146" s="382"/>
      <c r="AP146" s="418"/>
      <c r="AQ146" s="383"/>
      <c r="AR146" s="507"/>
      <c r="AS146" s="514"/>
      <c r="AT146" s="514"/>
    </row>
    <row r="147">
      <c r="A147" s="382"/>
      <c r="B147" s="418"/>
      <c r="C147" s="383"/>
      <c r="D147" s="507"/>
      <c r="E147" s="382"/>
      <c r="F147" s="418"/>
      <c r="G147" s="383"/>
      <c r="H147" s="507"/>
      <c r="I147" s="382"/>
      <c r="J147" s="418"/>
      <c r="K147" s="383"/>
      <c r="L147" s="507"/>
      <c r="M147" s="382"/>
      <c r="N147" s="418"/>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8"/>
      <c r="AM147" s="383"/>
      <c r="AN147" s="507"/>
      <c r="AO147" s="382"/>
      <c r="AP147" s="418"/>
      <c r="AQ147" s="383"/>
      <c r="AR147" s="507"/>
      <c r="AS147" s="514"/>
      <c r="AT147" s="514"/>
    </row>
    <row r="148">
      <c r="A148" s="382"/>
      <c r="B148" s="418"/>
      <c r="C148" s="383"/>
      <c r="D148" s="507"/>
      <c r="E148" s="382"/>
      <c r="F148" s="418"/>
      <c r="G148" s="383"/>
      <c r="H148" s="507"/>
      <c r="I148" s="382"/>
      <c r="J148" s="418"/>
      <c r="K148" s="383"/>
      <c r="L148" s="507"/>
      <c r="M148" s="382"/>
      <c r="N148" s="418"/>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8"/>
      <c r="AM148" s="383"/>
      <c r="AN148" s="507"/>
      <c r="AO148" s="382"/>
      <c r="AP148" s="418"/>
      <c r="AQ148" s="383"/>
      <c r="AR148" s="507"/>
      <c r="AS148" s="514"/>
      <c r="AT148" s="514"/>
    </row>
    <row r="149">
      <c r="A149" s="382"/>
      <c r="B149" s="418"/>
      <c r="C149" s="383"/>
      <c r="D149" s="507"/>
      <c r="E149" s="382"/>
      <c r="F149" s="418"/>
      <c r="G149" s="383"/>
      <c r="H149" s="507"/>
      <c r="I149" s="382"/>
      <c r="J149" s="418"/>
      <c r="K149" s="383"/>
      <c r="L149" s="507"/>
      <c r="M149" s="382"/>
      <c r="N149" s="418"/>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8"/>
      <c r="AM149" s="383"/>
      <c r="AN149" s="507"/>
      <c r="AO149" s="382"/>
      <c r="AP149" s="418"/>
      <c r="AQ149" s="383"/>
      <c r="AR149" s="507"/>
      <c r="AS149" s="514"/>
      <c r="AT149" s="514"/>
    </row>
    <row r="150">
      <c r="A150" s="382"/>
      <c r="B150" s="418"/>
      <c r="C150" s="383"/>
      <c r="D150" s="507"/>
      <c r="E150" s="382"/>
      <c r="F150" s="418"/>
      <c r="G150" s="383"/>
      <c r="H150" s="507"/>
      <c r="I150" s="382"/>
      <c r="J150" s="418"/>
      <c r="K150" s="383"/>
      <c r="L150" s="507"/>
      <c r="M150" s="382"/>
      <c r="N150" s="418"/>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8"/>
      <c r="AM150" s="383"/>
      <c r="AN150" s="507"/>
      <c r="AO150" s="382"/>
      <c r="AP150" s="418"/>
      <c r="AQ150" s="383"/>
      <c r="AR150" s="507"/>
      <c r="AS150" s="514"/>
      <c r="AT150" s="514"/>
    </row>
    <row r="151">
      <c r="A151" s="382"/>
      <c r="B151" s="418"/>
      <c r="C151" s="383"/>
      <c r="D151" s="507"/>
      <c r="E151" s="382"/>
      <c r="F151" s="418"/>
      <c r="G151" s="383"/>
      <c r="H151" s="507"/>
      <c r="I151" s="382"/>
      <c r="J151" s="418"/>
      <c r="K151" s="383"/>
      <c r="L151" s="507"/>
      <c r="M151" s="382"/>
      <c r="N151" s="418"/>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8"/>
      <c r="AM151" s="383"/>
      <c r="AN151" s="507"/>
      <c r="AO151" s="382"/>
      <c r="AP151" s="418"/>
      <c r="AQ151" s="383"/>
      <c r="AR151" s="507"/>
      <c r="AS151" s="514"/>
      <c r="AT151" s="514"/>
    </row>
    <row r="152">
      <c r="A152" s="382"/>
      <c r="B152" s="418"/>
      <c r="C152" s="383"/>
      <c r="D152" s="507"/>
      <c r="E152" s="382"/>
      <c r="F152" s="418"/>
      <c r="G152" s="383"/>
      <c r="H152" s="507"/>
      <c r="I152" s="382"/>
      <c r="J152" s="418"/>
      <c r="K152" s="383"/>
      <c r="L152" s="507"/>
      <c r="M152" s="382"/>
      <c r="N152" s="418"/>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8"/>
      <c r="AM152" s="383"/>
      <c r="AN152" s="507"/>
      <c r="AO152" s="382"/>
      <c r="AP152" s="418"/>
      <c r="AQ152" s="383"/>
      <c r="AR152" s="507"/>
      <c r="AS152" s="514"/>
      <c r="AT152" s="514"/>
    </row>
    <row r="153">
      <c r="A153" s="382"/>
      <c r="B153" s="418"/>
      <c r="C153" s="383"/>
      <c r="D153" s="507"/>
      <c r="E153" s="382"/>
      <c r="F153" s="418"/>
      <c r="G153" s="383"/>
      <c r="H153" s="507"/>
      <c r="I153" s="382"/>
      <c r="J153" s="418"/>
      <c r="K153" s="383"/>
      <c r="L153" s="507"/>
      <c r="M153" s="382"/>
      <c r="N153" s="418"/>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8"/>
      <c r="AM153" s="383"/>
      <c r="AN153" s="507"/>
      <c r="AO153" s="382"/>
      <c r="AP153" s="418"/>
      <c r="AQ153" s="383"/>
      <c r="AR153" s="507"/>
      <c r="AS153" s="514"/>
      <c r="AT153" s="514"/>
    </row>
    <row r="154">
      <c r="A154" s="382"/>
      <c r="B154" s="418"/>
      <c r="C154" s="383"/>
      <c r="D154" s="507"/>
      <c r="E154" s="382"/>
      <c r="F154" s="418"/>
      <c r="G154" s="383"/>
      <c r="H154" s="507"/>
      <c r="I154" s="382"/>
      <c r="J154" s="418"/>
      <c r="K154" s="383"/>
      <c r="L154" s="507"/>
      <c r="M154" s="382"/>
      <c r="N154" s="418"/>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8"/>
      <c r="AM154" s="383"/>
      <c r="AN154" s="507"/>
      <c r="AO154" s="382"/>
      <c r="AP154" s="418"/>
      <c r="AQ154" s="383"/>
      <c r="AR154" s="507"/>
      <c r="AS154" s="514"/>
      <c r="AT154" s="514"/>
    </row>
    <row r="155">
      <c r="A155" s="382"/>
      <c r="B155" s="418"/>
      <c r="C155" s="383"/>
      <c r="D155" s="507"/>
      <c r="E155" s="382"/>
      <c r="F155" s="418"/>
      <c r="G155" s="383"/>
      <c r="H155" s="507"/>
      <c r="I155" s="382"/>
      <c r="J155" s="418"/>
      <c r="K155" s="383"/>
      <c r="L155" s="507"/>
      <c r="M155" s="382"/>
      <c r="N155" s="418"/>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8"/>
      <c r="AM155" s="383"/>
      <c r="AN155" s="507"/>
      <c r="AO155" s="382"/>
      <c r="AP155" s="418"/>
      <c r="AQ155" s="383"/>
      <c r="AR155" s="507"/>
      <c r="AS155" s="514"/>
      <c r="AT155" s="514"/>
    </row>
    <row r="156">
      <c r="A156" s="382"/>
      <c r="B156" s="418"/>
      <c r="C156" s="383"/>
      <c r="D156" s="507"/>
      <c r="E156" s="382"/>
      <c r="F156" s="418"/>
      <c r="G156" s="383"/>
      <c r="H156" s="507"/>
      <c r="I156" s="382"/>
      <c r="J156" s="418"/>
      <c r="K156" s="383"/>
      <c r="L156" s="507"/>
      <c r="M156" s="382"/>
      <c r="N156" s="418"/>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8"/>
      <c r="AM156" s="383"/>
      <c r="AN156" s="507"/>
      <c r="AO156" s="382"/>
      <c r="AP156" s="418"/>
      <c r="AQ156" s="383"/>
      <c r="AR156" s="507"/>
      <c r="AS156" s="514"/>
      <c r="AT156" s="514"/>
    </row>
    <row r="157">
      <c r="A157" s="382"/>
      <c r="B157" s="418"/>
      <c r="C157" s="383"/>
      <c r="D157" s="507"/>
      <c r="E157" s="382"/>
      <c r="F157" s="418"/>
      <c r="G157" s="383"/>
      <c r="H157" s="507"/>
      <c r="I157" s="382"/>
      <c r="J157" s="418"/>
      <c r="K157" s="383"/>
      <c r="L157" s="507"/>
      <c r="M157" s="382"/>
      <c r="N157" s="418"/>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8"/>
      <c r="AM157" s="383"/>
      <c r="AN157" s="507"/>
      <c r="AO157" s="382"/>
      <c r="AP157" s="418"/>
      <c r="AQ157" s="383"/>
      <c r="AR157" s="507"/>
      <c r="AS157" s="514"/>
      <c r="AT157" s="514"/>
    </row>
    <row r="158">
      <c r="A158" s="382"/>
      <c r="B158" s="418"/>
      <c r="C158" s="383"/>
      <c r="D158" s="507"/>
      <c r="E158" s="382"/>
      <c r="F158" s="418"/>
      <c r="G158" s="383"/>
      <c r="H158" s="507"/>
      <c r="I158" s="382"/>
      <c r="J158" s="418"/>
      <c r="K158" s="383"/>
      <c r="L158" s="507"/>
      <c r="M158" s="382"/>
      <c r="N158" s="418"/>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8"/>
      <c r="AM158" s="383"/>
      <c r="AN158" s="507"/>
      <c r="AO158" s="382"/>
      <c r="AP158" s="418"/>
      <c r="AQ158" s="383"/>
      <c r="AR158" s="507"/>
      <c r="AS158" s="514"/>
      <c r="AT158" s="514"/>
    </row>
    <row r="159">
      <c r="A159" s="382"/>
      <c r="B159" s="418"/>
      <c r="C159" s="383"/>
      <c r="D159" s="507"/>
      <c r="E159" s="382"/>
      <c r="F159" s="418"/>
      <c r="G159" s="383"/>
      <c r="H159" s="507"/>
      <c r="I159" s="382"/>
      <c r="J159" s="418"/>
      <c r="K159" s="383"/>
      <c r="L159" s="507"/>
      <c r="M159" s="382"/>
      <c r="N159" s="418"/>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8"/>
      <c r="AM159" s="383"/>
      <c r="AN159" s="507"/>
      <c r="AO159" s="382"/>
      <c r="AP159" s="418"/>
      <c r="AQ159" s="383"/>
      <c r="AR159" s="507"/>
      <c r="AS159" s="514"/>
      <c r="AT159" s="514"/>
    </row>
    <row r="160">
      <c r="A160" s="382"/>
      <c r="B160" s="418"/>
      <c r="C160" s="383"/>
      <c r="D160" s="507"/>
      <c r="E160" s="382"/>
      <c r="F160" s="418"/>
      <c r="G160" s="383"/>
      <c r="H160" s="507"/>
      <c r="I160" s="382"/>
      <c r="J160" s="418"/>
      <c r="K160" s="383"/>
      <c r="L160" s="507"/>
      <c r="M160" s="382"/>
      <c r="N160" s="418"/>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8"/>
      <c r="AM160" s="383"/>
      <c r="AN160" s="507"/>
      <c r="AO160" s="382"/>
      <c r="AP160" s="418"/>
      <c r="AQ160" s="383"/>
      <c r="AR160" s="507"/>
      <c r="AS160" s="514"/>
      <c r="AT160" s="514"/>
    </row>
    <row r="161">
      <c r="A161" s="382"/>
      <c r="B161" s="418"/>
      <c r="C161" s="383"/>
      <c r="D161" s="507"/>
      <c r="E161" s="382"/>
      <c r="F161" s="418"/>
      <c r="G161" s="383"/>
      <c r="H161" s="507"/>
      <c r="I161" s="382"/>
      <c r="J161" s="418"/>
      <c r="K161" s="383"/>
      <c r="L161" s="507"/>
      <c r="M161" s="382"/>
      <c r="N161" s="418"/>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8"/>
      <c r="AM161" s="383"/>
      <c r="AN161" s="507"/>
      <c r="AO161" s="382"/>
      <c r="AP161" s="418"/>
      <c r="AQ161" s="383"/>
      <c r="AR161" s="507"/>
      <c r="AS161" s="514"/>
      <c r="AT161" s="514"/>
    </row>
    <row r="162">
      <c r="A162" s="382"/>
      <c r="B162" s="418"/>
      <c r="C162" s="383"/>
      <c r="D162" s="507"/>
      <c r="E162" s="382"/>
      <c r="F162" s="418"/>
      <c r="G162" s="383"/>
      <c r="H162" s="507"/>
      <c r="I162" s="382"/>
      <c r="J162" s="418"/>
      <c r="K162" s="383"/>
      <c r="L162" s="507"/>
      <c r="M162" s="382"/>
      <c r="N162" s="418"/>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8"/>
      <c r="AM162" s="383"/>
      <c r="AN162" s="507"/>
      <c r="AO162" s="382"/>
      <c r="AP162" s="418"/>
      <c r="AQ162" s="383"/>
      <c r="AR162" s="507"/>
      <c r="AS162" s="514"/>
      <c r="AT162" s="514"/>
    </row>
    <row r="163">
      <c r="A163" s="382"/>
      <c r="B163" s="418"/>
      <c r="C163" s="383"/>
      <c r="D163" s="507"/>
      <c r="E163" s="382"/>
      <c r="F163" s="418"/>
      <c r="G163" s="383"/>
      <c r="H163" s="507"/>
      <c r="I163" s="382"/>
      <c r="J163" s="418"/>
      <c r="K163" s="383"/>
      <c r="L163" s="507"/>
      <c r="M163" s="382"/>
      <c r="N163" s="418"/>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8"/>
      <c r="AM163" s="383"/>
      <c r="AN163" s="507"/>
      <c r="AO163" s="382"/>
      <c r="AP163" s="418"/>
      <c r="AQ163" s="383"/>
      <c r="AR163" s="507"/>
      <c r="AS163" s="514"/>
      <c r="AT163" s="514"/>
    </row>
    <row r="164">
      <c r="A164" s="382"/>
      <c r="B164" s="418"/>
      <c r="C164" s="383"/>
      <c r="D164" s="507"/>
      <c r="E164" s="382"/>
      <c r="F164" s="418"/>
      <c r="G164" s="383"/>
      <c r="H164" s="507"/>
      <c r="I164" s="382"/>
      <c r="J164" s="418"/>
      <c r="K164" s="383"/>
      <c r="L164" s="507"/>
      <c r="M164" s="382"/>
      <c r="N164" s="418"/>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8"/>
      <c r="AM164" s="383"/>
      <c r="AN164" s="507"/>
      <c r="AO164" s="382"/>
      <c r="AP164" s="418"/>
      <c r="AQ164" s="383"/>
      <c r="AR164" s="507"/>
      <c r="AS164" s="514"/>
      <c r="AT164" s="514"/>
    </row>
    <row r="165">
      <c r="A165" s="382"/>
      <c r="B165" s="418"/>
      <c r="C165" s="383"/>
      <c r="D165" s="507"/>
      <c r="E165" s="382"/>
      <c r="F165" s="418"/>
      <c r="G165" s="383"/>
      <c r="H165" s="507"/>
      <c r="I165" s="382"/>
      <c r="J165" s="418"/>
      <c r="K165" s="383"/>
      <c r="L165" s="507"/>
      <c r="M165" s="382"/>
      <c r="N165" s="418"/>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8"/>
      <c r="AM165" s="383"/>
      <c r="AN165" s="507"/>
      <c r="AO165" s="382"/>
      <c r="AP165" s="418"/>
      <c r="AQ165" s="383"/>
      <c r="AR165" s="507"/>
      <c r="AS165" s="514"/>
      <c r="AT165" s="514"/>
    </row>
    <row r="166">
      <c r="A166" s="382"/>
      <c r="B166" s="418"/>
      <c r="C166" s="383"/>
      <c r="D166" s="507"/>
      <c r="E166" s="382"/>
      <c r="F166" s="418"/>
      <c r="G166" s="383"/>
      <c r="H166" s="507"/>
      <c r="I166" s="382"/>
      <c r="J166" s="418"/>
      <c r="K166" s="383"/>
      <c r="L166" s="507"/>
      <c r="M166" s="382"/>
      <c r="N166" s="418"/>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8"/>
      <c r="AM166" s="383"/>
      <c r="AN166" s="507"/>
      <c r="AO166" s="382"/>
      <c r="AP166" s="418"/>
      <c r="AQ166" s="383"/>
      <c r="AR166" s="507"/>
      <c r="AS166" s="514"/>
      <c r="AT166" s="514"/>
    </row>
    <row r="167">
      <c r="A167" s="382"/>
      <c r="B167" s="418"/>
      <c r="C167" s="383"/>
      <c r="D167" s="507"/>
      <c r="E167" s="382"/>
      <c r="F167" s="418"/>
      <c r="G167" s="383"/>
      <c r="H167" s="507"/>
      <c r="I167" s="382"/>
      <c r="J167" s="418"/>
      <c r="K167" s="383"/>
      <c r="L167" s="507"/>
      <c r="M167" s="382"/>
      <c r="N167" s="418"/>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8"/>
      <c r="AM167" s="383"/>
      <c r="AN167" s="507"/>
      <c r="AO167" s="382"/>
      <c r="AP167" s="418"/>
      <c r="AQ167" s="383"/>
      <c r="AR167" s="507"/>
      <c r="AS167" s="514"/>
      <c r="AT167" s="514"/>
    </row>
    <row r="168">
      <c r="A168" s="382"/>
      <c r="B168" s="418"/>
      <c r="C168" s="383"/>
      <c r="D168" s="507"/>
      <c r="E168" s="382"/>
      <c r="F168" s="418"/>
      <c r="G168" s="383"/>
      <c r="H168" s="507"/>
      <c r="I168" s="382"/>
      <c r="J168" s="418"/>
      <c r="K168" s="383"/>
      <c r="L168" s="507"/>
      <c r="M168" s="382"/>
      <c r="N168" s="418"/>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8"/>
      <c r="AM168" s="383"/>
      <c r="AN168" s="507"/>
      <c r="AO168" s="382"/>
      <c r="AP168" s="418"/>
      <c r="AQ168" s="383"/>
      <c r="AR168" s="507"/>
      <c r="AS168" s="514"/>
      <c r="AT168" s="514"/>
    </row>
    <row r="169">
      <c r="A169" s="382"/>
      <c r="B169" s="418"/>
      <c r="C169" s="383"/>
      <c r="D169" s="507"/>
      <c r="E169" s="382"/>
      <c r="F169" s="418"/>
      <c r="G169" s="383"/>
      <c r="H169" s="507"/>
      <c r="I169" s="382"/>
      <c r="J169" s="418"/>
      <c r="K169" s="383"/>
      <c r="L169" s="507"/>
      <c r="M169" s="382"/>
      <c r="N169" s="418"/>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8"/>
      <c r="AM169" s="383"/>
      <c r="AN169" s="507"/>
      <c r="AO169" s="382"/>
      <c r="AP169" s="418"/>
      <c r="AQ169" s="383"/>
      <c r="AR169" s="507"/>
      <c r="AS169" s="514"/>
      <c r="AT169" s="514"/>
    </row>
    <row r="170">
      <c r="A170" s="382"/>
      <c r="B170" s="418"/>
      <c r="C170" s="383"/>
      <c r="D170" s="507"/>
      <c r="E170" s="382"/>
      <c r="F170" s="418"/>
      <c r="G170" s="383"/>
      <c r="H170" s="507"/>
      <c r="I170" s="382"/>
      <c r="J170" s="418"/>
      <c r="K170" s="383"/>
      <c r="L170" s="507"/>
      <c r="M170" s="382"/>
      <c r="N170" s="418"/>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8"/>
      <c r="AM170" s="383"/>
      <c r="AN170" s="507"/>
      <c r="AO170" s="382"/>
      <c r="AP170" s="418"/>
      <c r="AQ170" s="383"/>
      <c r="AR170" s="507"/>
      <c r="AS170" s="514"/>
      <c r="AT170" s="514"/>
    </row>
    <row r="171">
      <c r="A171" s="382"/>
      <c r="B171" s="418"/>
      <c r="C171" s="383"/>
      <c r="D171" s="507"/>
      <c r="E171" s="382"/>
      <c r="F171" s="418"/>
      <c r="G171" s="383"/>
      <c r="H171" s="507"/>
      <c r="I171" s="382"/>
      <c r="J171" s="418"/>
      <c r="K171" s="383"/>
      <c r="L171" s="507"/>
      <c r="M171" s="382"/>
      <c r="N171" s="418"/>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8"/>
      <c r="AM171" s="383"/>
      <c r="AN171" s="507"/>
      <c r="AO171" s="382"/>
      <c r="AP171" s="418"/>
      <c r="AQ171" s="383"/>
      <c r="AR171" s="507"/>
      <c r="AS171" s="514"/>
      <c r="AT171" s="514"/>
    </row>
    <row r="172">
      <c r="A172" s="382"/>
      <c r="B172" s="418"/>
      <c r="C172" s="383"/>
      <c r="D172" s="507"/>
      <c r="E172" s="382"/>
      <c r="F172" s="418"/>
      <c r="G172" s="383"/>
      <c r="H172" s="507"/>
      <c r="I172" s="382"/>
      <c r="J172" s="418"/>
      <c r="K172" s="383"/>
      <c r="L172" s="507"/>
      <c r="M172" s="382"/>
      <c r="N172" s="418"/>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8"/>
      <c r="AM172" s="383"/>
      <c r="AN172" s="507"/>
      <c r="AO172" s="382"/>
      <c r="AP172" s="418"/>
      <c r="AQ172" s="383"/>
      <c r="AR172" s="507"/>
      <c r="AS172" s="514"/>
      <c r="AT172" s="514"/>
    </row>
    <row r="173">
      <c r="A173" s="382"/>
      <c r="B173" s="418"/>
      <c r="C173" s="383"/>
      <c r="D173" s="507"/>
      <c r="E173" s="382"/>
      <c r="F173" s="418"/>
      <c r="G173" s="383"/>
      <c r="H173" s="507"/>
      <c r="I173" s="382"/>
      <c r="J173" s="418"/>
      <c r="K173" s="383"/>
      <c r="L173" s="507"/>
      <c r="M173" s="382"/>
      <c r="N173" s="418"/>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8"/>
      <c r="AM173" s="383"/>
      <c r="AN173" s="507"/>
      <c r="AO173" s="382"/>
      <c r="AP173" s="418"/>
      <c r="AQ173" s="383"/>
      <c r="AR173" s="507"/>
      <c r="AS173" s="514"/>
      <c r="AT173" s="514"/>
    </row>
    <row r="174">
      <c r="A174" s="382"/>
      <c r="B174" s="418"/>
      <c r="C174" s="383"/>
      <c r="D174" s="507"/>
      <c r="E174" s="382"/>
      <c r="F174" s="418"/>
      <c r="G174" s="383"/>
      <c r="H174" s="507"/>
      <c r="I174" s="382"/>
      <c r="J174" s="418"/>
      <c r="K174" s="383"/>
      <c r="L174" s="507"/>
      <c r="M174" s="382"/>
      <c r="N174" s="418"/>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8"/>
      <c r="AM174" s="383"/>
      <c r="AN174" s="507"/>
      <c r="AO174" s="382"/>
      <c r="AP174" s="418"/>
      <c r="AQ174" s="383"/>
      <c r="AR174" s="507"/>
      <c r="AS174" s="514"/>
      <c r="AT174" s="514"/>
    </row>
    <row r="175">
      <c r="A175" s="382"/>
      <c r="B175" s="418"/>
      <c r="C175" s="383"/>
      <c r="D175" s="507"/>
      <c r="E175" s="382"/>
      <c r="F175" s="418"/>
      <c r="G175" s="383"/>
      <c r="H175" s="507"/>
      <c r="I175" s="382"/>
      <c r="J175" s="418"/>
      <c r="K175" s="383"/>
      <c r="L175" s="507"/>
      <c r="M175" s="382"/>
      <c r="N175" s="418"/>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8"/>
      <c r="AM175" s="383"/>
      <c r="AN175" s="507"/>
      <c r="AO175" s="382"/>
      <c r="AP175" s="418"/>
      <c r="AQ175" s="383"/>
      <c r="AR175" s="507"/>
      <c r="AS175" s="514"/>
      <c r="AT175" s="514"/>
    </row>
    <row r="176">
      <c r="A176" s="382"/>
      <c r="B176" s="418"/>
      <c r="C176" s="383"/>
      <c r="D176" s="507"/>
      <c r="E176" s="382"/>
      <c r="F176" s="418"/>
      <c r="G176" s="383"/>
      <c r="H176" s="507"/>
      <c r="I176" s="382"/>
      <c r="J176" s="418"/>
      <c r="K176" s="383"/>
      <c r="L176" s="507"/>
      <c r="M176" s="382"/>
      <c r="N176" s="418"/>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8"/>
      <c r="AM176" s="383"/>
      <c r="AN176" s="507"/>
      <c r="AO176" s="382"/>
      <c r="AP176" s="418"/>
      <c r="AQ176" s="383"/>
      <c r="AR176" s="507"/>
      <c r="AS176" s="514"/>
      <c r="AT176" s="514"/>
    </row>
    <row r="177">
      <c r="A177" s="382"/>
      <c r="B177" s="418"/>
      <c r="C177" s="383"/>
      <c r="D177" s="507"/>
      <c r="E177" s="382"/>
      <c r="F177" s="418"/>
      <c r="G177" s="383"/>
      <c r="H177" s="507"/>
      <c r="I177" s="382"/>
      <c r="J177" s="418"/>
      <c r="K177" s="383"/>
      <c r="L177" s="507"/>
      <c r="M177" s="382"/>
      <c r="N177" s="418"/>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8"/>
      <c r="AM177" s="383"/>
      <c r="AN177" s="507"/>
      <c r="AO177" s="382"/>
      <c r="AP177" s="418"/>
      <c r="AQ177" s="383"/>
      <c r="AR177" s="507"/>
      <c r="AS177" s="514"/>
      <c r="AT177" s="514"/>
    </row>
    <row r="178">
      <c r="A178" s="382"/>
      <c r="B178" s="418"/>
      <c r="C178" s="383"/>
      <c r="D178" s="507"/>
      <c r="E178" s="382"/>
      <c r="F178" s="418"/>
      <c r="G178" s="383"/>
      <c r="H178" s="507"/>
      <c r="I178" s="382"/>
      <c r="J178" s="418"/>
      <c r="K178" s="383"/>
      <c r="L178" s="507"/>
      <c r="M178" s="382"/>
      <c r="N178" s="418"/>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8"/>
      <c r="AM178" s="383"/>
      <c r="AN178" s="507"/>
      <c r="AO178" s="382"/>
      <c r="AP178" s="418"/>
      <c r="AQ178" s="383"/>
      <c r="AR178" s="507"/>
      <c r="AS178" s="514"/>
      <c r="AT178" s="514"/>
    </row>
    <row r="179">
      <c r="A179" s="382"/>
      <c r="B179" s="418"/>
      <c r="C179" s="383"/>
      <c r="D179" s="507"/>
      <c r="E179" s="382"/>
      <c r="F179" s="418"/>
      <c r="G179" s="383"/>
      <c r="H179" s="507"/>
      <c r="I179" s="382"/>
      <c r="J179" s="418"/>
      <c r="K179" s="383"/>
      <c r="L179" s="507"/>
      <c r="M179" s="382"/>
      <c r="N179" s="418"/>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8"/>
      <c r="AM179" s="383"/>
      <c r="AN179" s="507"/>
      <c r="AO179" s="382"/>
      <c r="AP179" s="418"/>
      <c r="AQ179" s="383"/>
      <c r="AR179" s="507"/>
      <c r="AS179" s="514"/>
      <c r="AT179" s="514"/>
    </row>
    <row r="180">
      <c r="A180" s="382"/>
      <c r="B180" s="418"/>
      <c r="C180" s="383"/>
      <c r="D180" s="507"/>
      <c r="E180" s="382"/>
      <c r="F180" s="418"/>
      <c r="G180" s="383"/>
      <c r="H180" s="507"/>
      <c r="I180" s="382"/>
      <c r="J180" s="418"/>
      <c r="K180" s="383"/>
      <c r="L180" s="507"/>
      <c r="M180" s="382"/>
      <c r="N180" s="418"/>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8"/>
      <c r="AM180" s="383"/>
      <c r="AN180" s="507"/>
      <c r="AO180" s="382"/>
      <c r="AP180" s="418"/>
      <c r="AQ180" s="383"/>
      <c r="AR180" s="507"/>
      <c r="AS180" s="514"/>
      <c r="AT180" s="514"/>
    </row>
    <row r="181">
      <c r="A181" s="382"/>
      <c r="B181" s="418"/>
      <c r="C181" s="383"/>
      <c r="D181" s="507"/>
      <c r="E181" s="382"/>
      <c r="F181" s="418"/>
      <c r="G181" s="383"/>
      <c r="H181" s="507"/>
      <c r="I181" s="382"/>
      <c r="J181" s="418"/>
      <c r="K181" s="383"/>
      <c r="L181" s="507"/>
      <c r="M181" s="382"/>
      <c r="N181" s="418"/>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8"/>
      <c r="AM181" s="383"/>
      <c r="AN181" s="507"/>
      <c r="AO181" s="382"/>
      <c r="AP181" s="418"/>
      <c r="AQ181" s="383"/>
      <c r="AR181" s="507"/>
      <c r="AS181" s="514"/>
      <c r="AT181" s="514"/>
    </row>
    <row r="182">
      <c r="A182" s="382"/>
      <c r="B182" s="418"/>
      <c r="C182" s="383"/>
      <c r="D182" s="507"/>
      <c r="E182" s="382"/>
      <c r="F182" s="418"/>
      <c r="G182" s="383"/>
      <c r="H182" s="507"/>
      <c r="I182" s="382"/>
      <c r="J182" s="418"/>
      <c r="K182" s="383"/>
      <c r="L182" s="507"/>
      <c r="M182" s="382"/>
      <c r="N182" s="418"/>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8"/>
      <c r="AM182" s="383"/>
      <c r="AN182" s="507"/>
      <c r="AO182" s="382"/>
      <c r="AP182" s="418"/>
      <c r="AQ182" s="383"/>
      <c r="AR182" s="507"/>
      <c r="AS182" s="514"/>
      <c r="AT182" s="514"/>
    </row>
    <row r="183">
      <c r="A183" s="382"/>
      <c r="B183" s="418"/>
      <c r="C183" s="383"/>
      <c r="D183" s="507"/>
      <c r="E183" s="382"/>
      <c r="F183" s="418"/>
      <c r="G183" s="383"/>
      <c r="H183" s="507"/>
      <c r="I183" s="382"/>
      <c r="J183" s="418"/>
      <c r="K183" s="383"/>
      <c r="L183" s="507"/>
      <c r="M183" s="382"/>
      <c r="N183" s="418"/>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8"/>
      <c r="AM183" s="383"/>
      <c r="AN183" s="507"/>
      <c r="AO183" s="382"/>
      <c r="AP183" s="418"/>
      <c r="AQ183" s="383"/>
      <c r="AR183" s="507"/>
      <c r="AS183" s="514"/>
      <c r="AT183" s="514"/>
    </row>
    <row r="184">
      <c r="A184" s="382"/>
      <c r="B184" s="418"/>
      <c r="C184" s="383"/>
      <c r="D184" s="507"/>
      <c r="E184" s="382"/>
      <c r="F184" s="418"/>
      <c r="G184" s="383"/>
      <c r="H184" s="507"/>
      <c r="I184" s="382"/>
      <c r="J184" s="418"/>
      <c r="K184" s="383"/>
      <c r="L184" s="507"/>
      <c r="M184" s="382"/>
      <c r="N184" s="418"/>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8"/>
      <c r="AM184" s="383"/>
      <c r="AN184" s="507"/>
      <c r="AO184" s="382"/>
      <c r="AP184" s="418"/>
      <c r="AQ184" s="383"/>
      <c r="AR184" s="507"/>
      <c r="AS184" s="514"/>
      <c r="AT184" s="514"/>
    </row>
    <row r="185">
      <c r="A185" s="382"/>
      <c r="B185" s="418"/>
      <c r="C185" s="383"/>
      <c r="D185" s="507"/>
      <c r="E185" s="382"/>
      <c r="F185" s="418"/>
      <c r="G185" s="383"/>
      <c r="H185" s="507"/>
      <c r="I185" s="382"/>
      <c r="J185" s="418"/>
      <c r="K185" s="383"/>
      <c r="L185" s="507"/>
      <c r="M185" s="382"/>
      <c r="N185" s="418"/>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8"/>
      <c r="AM185" s="383"/>
      <c r="AN185" s="507"/>
      <c r="AO185" s="382"/>
      <c r="AP185" s="418"/>
      <c r="AQ185" s="383"/>
      <c r="AR185" s="507"/>
      <c r="AS185" s="514"/>
      <c r="AT185" s="514"/>
    </row>
    <row r="186">
      <c r="A186" s="382"/>
      <c r="B186" s="418"/>
      <c r="C186" s="383"/>
      <c r="D186" s="507"/>
      <c r="E186" s="382"/>
      <c r="F186" s="418"/>
      <c r="G186" s="383"/>
      <c r="H186" s="507"/>
      <c r="I186" s="382"/>
      <c r="J186" s="418"/>
      <c r="K186" s="383"/>
      <c r="L186" s="507"/>
      <c r="M186" s="382"/>
      <c r="N186" s="418"/>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8"/>
      <c r="AM186" s="383"/>
      <c r="AN186" s="507"/>
      <c r="AO186" s="382"/>
      <c r="AP186" s="418"/>
      <c r="AQ186" s="383"/>
      <c r="AR186" s="507"/>
      <c r="AS186" s="514"/>
      <c r="AT186" s="514"/>
    </row>
    <row r="187">
      <c r="A187" s="382"/>
      <c r="B187" s="418"/>
      <c r="C187" s="383"/>
      <c r="D187" s="507"/>
      <c r="E187" s="382"/>
      <c r="F187" s="418"/>
      <c r="G187" s="383"/>
      <c r="H187" s="507"/>
      <c r="I187" s="382"/>
      <c r="J187" s="418"/>
      <c r="K187" s="383"/>
      <c r="L187" s="507"/>
      <c r="M187" s="382"/>
      <c r="N187" s="418"/>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8"/>
      <c r="AM187" s="383"/>
      <c r="AN187" s="507"/>
      <c r="AO187" s="382"/>
      <c r="AP187" s="418"/>
      <c r="AQ187" s="383"/>
      <c r="AR187" s="507"/>
      <c r="AS187" s="514"/>
      <c r="AT187" s="514"/>
    </row>
    <row r="188">
      <c r="A188" s="382"/>
      <c r="B188" s="418"/>
      <c r="C188" s="383"/>
      <c r="D188" s="507"/>
      <c r="E188" s="382"/>
      <c r="F188" s="418"/>
      <c r="G188" s="383"/>
      <c r="H188" s="507"/>
      <c r="I188" s="382"/>
      <c r="J188" s="418"/>
      <c r="K188" s="383"/>
      <c r="L188" s="507"/>
      <c r="M188" s="382"/>
      <c r="N188" s="418"/>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8"/>
      <c r="AM188" s="383"/>
      <c r="AN188" s="507"/>
      <c r="AO188" s="382"/>
      <c r="AP188" s="418"/>
      <c r="AQ188" s="383"/>
      <c r="AR188" s="507"/>
      <c r="AS188" s="514"/>
      <c r="AT188" s="514"/>
    </row>
    <row r="189">
      <c r="A189" s="382"/>
      <c r="B189" s="418"/>
      <c r="C189" s="383"/>
      <c r="D189" s="507"/>
      <c r="E189" s="382"/>
      <c r="F189" s="418"/>
      <c r="G189" s="383"/>
      <c r="H189" s="507"/>
      <c r="I189" s="382"/>
      <c r="J189" s="418"/>
      <c r="K189" s="383"/>
      <c r="L189" s="507"/>
      <c r="M189" s="382"/>
      <c r="N189" s="418"/>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8"/>
      <c r="AM189" s="383"/>
      <c r="AN189" s="507"/>
      <c r="AO189" s="382"/>
      <c r="AP189" s="418"/>
      <c r="AQ189" s="383"/>
      <c r="AR189" s="507"/>
      <c r="AS189" s="514"/>
      <c r="AT189" s="514"/>
    </row>
    <row r="190">
      <c r="A190" s="382"/>
      <c r="B190" s="418"/>
      <c r="C190" s="383"/>
      <c r="D190" s="507"/>
      <c r="E190" s="382"/>
      <c r="F190" s="418"/>
      <c r="G190" s="383"/>
      <c r="H190" s="507"/>
      <c r="I190" s="382"/>
      <c r="J190" s="418"/>
      <c r="K190" s="383"/>
      <c r="L190" s="507"/>
      <c r="M190" s="382"/>
      <c r="N190" s="418"/>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8"/>
      <c r="AM190" s="383"/>
      <c r="AN190" s="507"/>
      <c r="AO190" s="382"/>
      <c r="AP190" s="418"/>
      <c r="AQ190" s="383"/>
      <c r="AR190" s="507"/>
      <c r="AS190" s="514"/>
      <c r="AT190" s="514"/>
    </row>
    <row r="191">
      <c r="A191" s="382"/>
      <c r="B191" s="418"/>
      <c r="C191" s="383"/>
      <c r="D191" s="507"/>
      <c r="E191" s="382"/>
      <c r="F191" s="418"/>
      <c r="G191" s="383"/>
      <c r="H191" s="507"/>
      <c r="I191" s="382"/>
      <c r="J191" s="418"/>
      <c r="K191" s="383"/>
      <c r="L191" s="507"/>
      <c r="M191" s="382"/>
      <c r="N191" s="418"/>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8"/>
      <c r="AM191" s="383"/>
      <c r="AN191" s="507"/>
      <c r="AO191" s="382"/>
      <c r="AP191" s="418"/>
      <c r="AQ191" s="383"/>
      <c r="AR191" s="507"/>
      <c r="AS191" s="514"/>
      <c r="AT191" s="514"/>
    </row>
    <row r="192">
      <c r="A192" s="382"/>
      <c r="B192" s="418"/>
      <c r="C192" s="383"/>
      <c r="D192" s="507"/>
      <c r="E192" s="382"/>
      <c r="F192" s="418"/>
      <c r="G192" s="383"/>
      <c r="H192" s="507"/>
      <c r="I192" s="382"/>
      <c r="J192" s="418"/>
      <c r="K192" s="383"/>
      <c r="L192" s="507"/>
      <c r="M192" s="382"/>
      <c r="N192" s="418"/>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8"/>
      <c r="AM192" s="383"/>
      <c r="AN192" s="507"/>
      <c r="AO192" s="382"/>
      <c r="AP192" s="418"/>
      <c r="AQ192" s="383"/>
      <c r="AR192" s="507"/>
      <c r="AS192" s="514"/>
      <c r="AT192" s="514"/>
    </row>
    <row r="193">
      <c r="A193" s="382"/>
      <c r="B193" s="418"/>
      <c r="C193" s="383"/>
      <c r="D193" s="507"/>
      <c r="E193" s="382"/>
      <c r="F193" s="418"/>
      <c r="G193" s="383"/>
      <c r="H193" s="507"/>
      <c r="I193" s="382"/>
      <c r="J193" s="418"/>
      <c r="K193" s="383"/>
      <c r="L193" s="507"/>
      <c r="M193" s="382"/>
      <c r="N193" s="418"/>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8"/>
      <c r="AM193" s="383"/>
      <c r="AN193" s="507"/>
      <c r="AO193" s="382"/>
      <c r="AP193" s="418"/>
      <c r="AQ193" s="383"/>
      <c r="AR193" s="507"/>
      <c r="AS193" s="514"/>
      <c r="AT193" s="514"/>
    </row>
    <row r="194">
      <c r="A194" s="382"/>
      <c r="B194" s="418"/>
      <c r="C194" s="383"/>
      <c r="D194" s="507"/>
      <c r="E194" s="382"/>
      <c r="F194" s="418"/>
      <c r="G194" s="383"/>
      <c r="H194" s="507"/>
      <c r="I194" s="382"/>
      <c r="J194" s="418"/>
      <c r="K194" s="383"/>
      <c r="L194" s="507"/>
      <c r="M194" s="382"/>
      <c r="N194" s="418"/>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8"/>
      <c r="AM194" s="383"/>
      <c r="AN194" s="507"/>
      <c r="AO194" s="382"/>
      <c r="AP194" s="418"/>
      <c r="AQ194" s="383"/>
      <c r="AR194" s="507"/>
      <c r="AS194" s="514"/>
      <c r="AT194" s="514"/>
    </row>
    <row r="195">
      <c r="A195" s="382"/>
      <c r="B195" s="418"/>
      <c r="C195" s="383"/>
      <c r="D195" s="507"/>
      <c r="E195" s="382"/>
      <c r="F195" s="418"/>
      <c r="G195" s="383"/>
      <c r="H195" s="507"/>
      <c r="I195" s="382"/>
      <c r="J195" s="418"/>
      <c r="K195" s="383"/>
      <c r="L195" s="507"/>
      <c r="M195" s="382"/>
      <c r="N195" s="418"/>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8"/>
      <c r="AM195" s="383"/>
      <c r="AN195" s="507"/>
      <c r="AO195" s="382"/>
      <c r="AP195" s="418"/>
      <c r="AQ195" s="383"/>
      <c r="AR195" s="507"/>
      <c r="AS195" s="514"/>
      <c r="AT195" s="514"/>
    </row>
    <row r="196">
      <c r="A196" s="382"/>
      <c r="B196" s="418"/>
      <c r="C196" s="383"/>
      <c r="D196" s="507"/>
      <c r="E196" s="382"/>
      <c r="F196" s="418"/>
      <c r="G196" s="383"/>
      <c r="H196" s="507"/>
      <c r="I196" s="382"/>
      <c r="J196" s="418"/>
      <c r="K196" s="383"/>
      <c r="L196" s="507"/>
      <c r="M196" s="382"/>
      <c r="N196" s="418"/>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8"/>
      <c r="AM196" s="383"/>
      <c r="AN196" s="507"/>
      <c r="AO196" s="382"/>
      <c r="AP196" s="418"/>
      <c r="AQ196" s="383"/>
      <c r="AR196" s="507"/>
      <c r="AS196" s="514"/>
      <c r="AT196" s="514"/>
    </row>
    <row r="197">
      <c r="A197" s="382"/>
      <c r="B197" s="418"/>
      <c r="C197" s="383"/>
      <c r="D197" s="507"/>
      <c r="E197" s="382"/>
      <c r="F197" s="418"/>
      <c r="G197" s="383"/>
      <c r="H197" s="507"/>
      <c r="I197" s="382"/>
      <c r="J197" s="418"/>
      <c r="K197" s="383"/>
      <c r="L197" s="507"/>
      <c r="M197" s="382"/>
      <c r="N197" s="418"/>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8"/>
      <c r="AM197" s="383"/>
      <c r="AN197" s="507"/>
      <c r="AO197" s="382"/>
      <c r="AP197" s="418"/>
      <c r="AQ197" s="383"/>
      <c r="AR197" s="507"/>
      <c r="AS197" s="514"/>
      <c r="AT197" s="514"/>
    </row>
    <row r="198">
      <c r="A198" s="382"/>
      <c r="B198" s="418"/>
      <c r="C198" s="383"/>
      <c r="D198" s="507"/>
      <c r="E198" s="382"/>
      <c r="F198" s="418"/>
      <c r="G198" s="383"/>
      <c r="H198" s="507"/>
      <c r="I198" s="382"/>
      <c r="J198" s="418"/>
      <c r="K198" s="383"/>
      <c r="L198" s="507"/>
      <c r="M198" s="382"/>
      <c r="N198" s="418"/>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8"/>
      <c r="AM198" s="383"/>
      <c r="AN198" s="507"/>
      <c r="AO198" s="382"/>
      <c r="AP198" s="418"/>
      <c r="AQ198" s="383"/>
      <c r="AR198" s="507"/>
      <c r="AS198" s="514"/>
      <c r="AT198" s="514"/>
    </row>
    <row r="199">
      <c r="A199" s="382"/>
      <c r="B199" s="418"/>
      <c r="C199" s="383"/>
      <c r="D199" s="507"/>
      <c r="E199" s="382"/>
      <c r="F199" s="418"/>
      <c r="G199" s="383"/>
      <c r="H199" s="507"/>
      <c r="I199" s="382"/>
      <c r="J199" s="418"/>
      <c r="K199" s="383"/>
      <c r="L199" s="507"/>
      <c r="M199" s="382"/>
      <c r="N199" s="418"/>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8"/>
      <c r="AM199" s="383"/>
      <c r="AN199" s="507"/>
      <c r="AO199" s="382"/>
      <c r="AP199" s="418"/>
      <c r="AQ199" s="383"/>
      <c r="AR199" s="507"/>
      <c r="AS199" s="514"/>
      <c r="AT199" s="514"/>
    </row>
    <row r="200">
      <c r="A200" s="382"/>
      <c r="B200" s="418"/>
      <c r="C200" s="383"/>
      <c r="D200" s="507"/>
      <c r="E200" s="382"/>
      <c r="F200" s="418"/>
      <c r="G200" s="383"/>
      <c r="H200" s="507"/>
      <c r="I200" s="382"/>
      <c r="J200" s="418"/>
      <c r="K200" s="383"/>
      <c r="L200" s="507"/>
      <c r="M200" s="382"/>
      <c r="N200" s="418"/>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8"/>
      <c r="AM200" s="383"/>
      <c r="AN200" s="507"/>
      <c r="AO200" s="382"/>
      <c r="AP200" s="418"/>
      <c r="AQ200" s="383"/>
      <c r="AR200" s="507"/>
      <c r="AS200" s="514"/>
      <c r="AT200" s="514"/>
    </row>
    <row r="201">
      <c r="A201" s="382"/>
      <c r="B201" s="418"/>
      <c r="C201" s="383"/>
      <c r="D201" s="507"/>
      <c r="E201" s="382"/>
      <c r="F201" s="418"/>
      <c r="G201" s="383"/>
      <c r="H201" s="507"/>
      <c r="I201" s="382"/>
      <c r="J201" s="418"/>
      <c r="K201" s="383"/>
      <c r="L201" s="507"/>
      <c r="M201" s="382"/>
      <c r="N201" s="418"/>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8"/>
      <c r="AM201" s="383"/>
      <c r="AN201" s="507"/>
      <c r="AO201" s="382"/>
      <c r="AP201" s="418"/>
      <c r="AQ201" s="383"/>
      <c r="AR201" s="507"/>
      <c r="AS201" s="514"/>
      <c r="AT201" s="514"/>
    </row>
    <row r="202">
      <c r="A202" s="382"/>
      <c r="B202" s="418"/>
      <c r="C202" s="383"/>
      <c r="D202" s="507"/>
      <c r="E202" s="382"/>
      <c r="F202" s="418"/>
      <c r="G202" s="383"/>
      <c r="H202" s="507"/>
      <c r="I202" s="382"/>
      <c r="J202" s="418"/>
      <c r="K202" s="383"/>
      <c r="L202" s="507"/>
      <c r="M202" s="382"/>
      <c r="N202" s="418"/>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8"/>
      <c r="AM202" s="383"/>
      <c r="AN202" s="507"/>
      <c r="AO202" s="382"/>
      <c r="AP202" s="418"/>
      <c r="AQ202" s="383"/>
      <c r="AR202" s="507"/>
      <c r="AS202" s="514"/>
      <c r="AT202" s="514"/>
    </row>
    <row r="203">
      <c r="A203" s="382"/>
      <c r="B203" s="418"/>
      <c r="C203" s="383"/>
      <c r="D203" s="507"/>
      <c r="E203" s="382"/>
      <c r="F203" s="418"/>
      <c r="G203" s="383"/>
      <c r="H203" s="507"/>
      <c r="I203" s="382"/>
      <c r="J203" s="418"/>
      <c r="K203" s="383"/>
      <c r="L203" s="507"/>
      <c r="M203" s="382"/>
      <c r="N203" s="418"/>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8"/>
      <c r="AM203" s="383"/>
      <c r="AN203" s="507"/>
      <c r="AO203" s="382"/>
      <c r="AP203" s="418"/>
      <c r="AQ203" s="383"/>
      <c r="AR203" s="507"/>
      <c r="AS203" s="514"/>
      <c r="AT203" s="514"/>
    </row>
    <row r="204">
      <c r="A204" s="382"/>
      <c r="B204" s="418"/>
      <c r="C204" s="383"/>
      <c r="D204" s="507"/>
      <c r="E204" s="382"/>
      <c r="F204" s="418"/>
      <c r="G204" s="383"/>
      <c r="H204" s="507"/>
      <c r="I204" s="382"/>
      <c r="J204" s="418"/>
      <c r="K204" s="383"/>
      <c r="L204" s="507"/>
      <c r="M204" s="382"/>
      <c r="N204" s="418"/>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8"/>
      <c r="AM204" s="383"/>
      <c r="AN204" s="507"/>
      <c r="AO204" s="382"/>
      <c r="AP204" s="418"/>
      <c r="AQ204" s="383"/>
      <c r="AR204" s="507"/>
      <c r="AS204" s="514"/>
      <c r="AT204" s="514"/>
    </row>
    <row r="205">
      <c r="A205" s="382"/>
      <c r="B205" s="418"/>
      <c r="C205" s="383"/>
      <c r="D205" s="507"/>
      <c r="E205" s="382"/>
      <c r="F205" s="418"/>
      <c r="G205" s="383"/>
      <c r="H205" s="507"/>
      <c r="I205" s="382"/>
      <c r="J205" s="418"/>
      <c r="K205" s="383"/>
      <c r="L205" s="507"/>
      <c r="M205" s="382"/>
      <c r="N205" s="418"/>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8"/>
      <c r="AM205" s="383"/>
      <c r="AN205" s="507"/>
      <c r="AO205" s="382"/>
      <c r="AP205" s="418"/>
      <c r="AQ205" s="383"/>
      <c r="AR205" s="507"/>
      <c r="AS205" s="514"/>
      <c r="AT205" s="514"/>
    </row>
    <row r="206">
      <c r="A206" s="382"/>
      <c r="B206" s="418"/>
      <c r="C206" s="383"/>
      <c r="D206" s="507"/>
      <c r="E206" s="382"/>
      <c r="F206" s="418"/>
      <c r="G206" s="383"/>
      <c r="H206" s="507"/>
      <c r="I206" s="382"/>
      <c r="J206" s="418"/>
      <c r="K206" s="383"/>
      <c r="L206" s="507"/>
      <c r="M206" s="382"/>
      <c r="N206" s="418"/>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8"/>
      <c r="AM206" s="383"/>
      <c r="AN206" s="507"/>
      <c r="AO206" s="382"/>
      <c r="AP206" s="418"/>
      <c r="AQ206" s="383"/>
      <c r="AR206" s="507"/>
      <c r="AS206" s="514"/>
      <c r="AT206" s="514"/>
    </row>
    <row r="207">
      <c r="A207" s="382"/>
      <c r="B207" s="418"/>
      <c r="C207" s="383"/>
      <c r="D207" s="507"/>
      <c r="E207" s="382"/>
      <c r="F207" s="418"/>
      <c r="G207" s="383"/>
      <c r="H207" s="507"/>
      <c r="I207" s="382"/>
      <c r="J207" s="418"/>
      <c r="K207" s="383"/>
      <c r="L207" s="507"/>
      <c r="M207" s="382"/>
      <c r="N207" s="418"/>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8"/>
      <c r="AM207" s="383"/>
      <c r="AN207" s="507"/>
      <c r="AO207" s="382"/>
      <c r="AP207" s="418"/>
      <c r="AQ207" s="383"/>
      <c r="AR207" s="507"/>
      <c r="AS207" s="514"/>
      <c r="AT207" s="514"/>
    </row>
    <row r="208">
      <c r="A208" s="382"/>
      <c r="B208" s="418"/>
      <c r="C208" s="383"/>
      <c r="D208" s="507"/>
      <c r="E208" s="382"/>
      <c r="F208" s="418"/>
      <c r="G208" s="383"/>
      <c r="H208" s="507"/>
      <c r="I208" s="382"/>
      <c r="J208" s="418"/>
      <c r="K208" s="383"/>
      <c r="L208" s="507"/>
      <c r="M208" s="382"/>
      <c r="N208" s="418"/>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8"/>
      <c r="AM208" s="383"/>
      <c r="AN208" s="507"/>
      <c r="AO208" s="382"/>
      <c r="AP208" s="418"/>
      <c r="AQ208" s="383"/>
      <c r="AR208" s="507"/>
      <c r="AS208" s="514"/>
      <c r="AT208" s="514"/>
    </row>
    <row r="209">
      <c r="A209" s="382"/>
      <c r="B209" s="418"/>
      <c r="C209" s="383"/>
      <c r="D209" s="507"/>
      <c r="E209" s="382"/>
      <c r="F209" s="418"/>
      <c r="G209" s="383"/>
      <c r="H209" s="507"/>
      <c r="I209" s="382"/>
      <c r="J209" s="418"/>
      <c r="K209" s="383"/>
      <c r="L209" s="507"/>
      <c r="M209" s="382"/>
      <c r="N209" s="418"/>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8"/>
      <c r="AM209" s="383"/>
      <c r="AN209" s="507"/>
      <c r="AO209" s="382"/>
      <c r="AP209" s="418"/>
      <c r="AQ209" s="383"/>
      <c r="AR209" s="507"/>
      <c r="AS209" s="514"/>
      <c r="AT209" s="514"/>
    </row>
    <row r="210">
      <c r="A210" s="382"/>
      <c r="B210" s="418"/>
      <c r="C210" s="383"/>
      <c r="D210" s="507"/>
      <c r="E210" s="382"/>
      <c r="F210" s="418"/>
      <c r="G210" s="383"/>
      <c r="H210" s="507"/>
      <c r="I210" s="382"/>
      <c r="J210" s="418"/>
      <c r="K210" s="383"/>
      <c r="L210" s="507"/>
      <c r="M210" s="382"/>
      <c r="N210" s="418"/>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8"/>
      <c r="AM210" s="383"/>
      <c r="AN210" s="507"/>
      <c r="AO210" s="382"/>
      <c r="AP210" s="418"/>
      <c r="AQ210" s="383"/>
      <c r="AR210" s="507"/>
      <c r="AS210" s="514"/>
      <c r="AT210" s="514"/>
    </row>
    <row r="211">
      <c r="A211" s="382"/>
      <c r="B211" s="418"/>
      <c r="C211" s="383"/>
      <c r="D211" s="507"/>
      <c r="E211" s="382"/>
      <c r="F211" s="418"/>
      <c r="G211" s="383"/>
      <c r="H211" s="507"/>
      <c r="I211" s="382"/>
      <c r="J211" s="418"/>
      <c r="K211" s="383"/>
      <c r="L211" s="507"/>
      <c r="M211" s="382"/>
      <c r="N211" s="418"/>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8"/>
      <c r="AM211" s="383"/>
      <c r="AN211" s="507"/>
      <c r="AO211" s="382"/>
      <c r="AP211" s="418"/>
      <c r="AQ211" s="383"/>
      <c r="AR211" s="507"/>
      <c r="AS211" s="514"/>
      <c r="AT211" s="514"/>
    </row>
    <row r="212">
      <c r="A212" s="382"/>
      <c r="B212" s="418"/>
      <c r="C212" s="383"/>
      <c r="D212" s="507"/>
      <c r="E212" s="382"/>
      <c r="F212" s="418"/>
      <c r="G212" s="383"/>
      <c r="H212" s="507"/>
      <c r="I212" s="382"/>
      <c r="J212" s="418"/>
      <c r="K212" s="383"/>
      <c r="L212" s="507"/>
      <c r="M212" s="382"/>
      <c r="N212" s="418"/>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8"/>
      <c r="AM212" s="383"/>
      <c r="AN212" s="507"/>
      <c r="AO212" s="382"/>
      <c r="AP212" s="418"/>
      <c r="AQ212" s="383"/>
      <c r="AR212" s="507"/>
      <c r="AS212" s="514"/>
      <c r="AT212" s="514"/>
    </row>
    <row r="213">
      <c r="A213" s="382"/>
      <c r="B213" s="418"/>
      <c r="C213" s="383"/>
      <c r="D213" s="507"/>
      <c r="E213" s="382"/>
      <c r="F213" s="418"/>
      <c r="G213" s="383"/>
      <c r="H213" s="507"/>
      <c r="I213" s="382"/>
      <c r="J213" s="418"/>
      <c r="K213" s="383"/>
      <c r="L213" s="507"/>
      <c r="M213" s="382"/>
      <c r="N213" s="418"/>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8"/>
      <c r="AM213" s="383"/>
      <c r="AN213" s="507"/>
      <c r="AO213" s="382"/>
      <c r="AP213" s="418"/>
      <c r="AQ213" s="383"/>
      <c r="AR213" s="507"/>
      <c r="AS213" s="514"/>
      <c r="AT213" s="514"/>
    </row>
    <row r="214">
      <c r="A214" s="382"/>
      <c r="B214" s="418"/>
      <c r="C214" s="383"/>
      <c r="D214" s="507"/>
      <c r="E214" s="382"/>
      <c r="F214" s="418"/>
      <c r="G214" s="383"/>
      <c r="H214" s="507"/>
      <c r="I214" s="382"/>
      <c r="J214" s="418"/>
      <c r="K214" s="383"/>
      <c r="L214" s="507"/>
      <c r="M214" s="382"/>
      <c r="N214" s="418"/>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8"/>
      <c r="AM214" s="383"/>
      <c r="AN214" s="507"/>
      <c r="AO214" s="382"/>
      <c r="AP214" s="418"/>
      <c r="AQ214" s="383"/>
      <c r="AR214" s="507"/>
      <c r="AS214" s="514"/>
      <c r="AT214" s="514"/>
    </row>
    <row r="215">
      <c r="A215" s="382"/>
      <c r="B215" s="418"/>
      <c r="C215" s="383"/>
      <c r="D215" s="507"/>
      <c r="E215" s="382"/>
      <c r="F215" s="418"/>
      <c r="G215" s="383"/>
      <c r="H215" s="507"/>
      <c r="I215" s="382"/>
      <c r="J215" s="418"/>
      <c r="K215" s="383"/>
      <c r="L215" s="507"/>
      <c r="M215" s="382"/>
      <c r="N215" s="418"/>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8"/>
      <c r="AM215" s="383"/>
      <c r="AN215" s="507"/>
      <c r="AO215" s="382"/>
      <c r="AP215" s="418"/>
      <c r="AQ215" s="383"/>
      <c r="AR215" s="507"/>
      <c r="AS215" s="514"/>
      <c r="AT215" s="514"/>
    </row>
    <row r="216">
      <c r="A216" s="382"/>
      <c r="B216" s="418"/>
      <c r="C216" s="383"/>
      <c r="D216" s="507"/>
      <c r="E216" s="382"/>
      <c r="F216" s="418"/>
      <c r="G216" s="383"/>
      <c r="H216" s="507"/>
      <c r="I216" s="382"/>
      <c r="J216" s="418"/>
      <c r="K216" s="383"/>
      <c r="L216" s="507"/>
      <c r="M216" s="382"/>
      <c r="N216" s="418"/>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8"/>
      <c r="AM216" s="383"/>
      <c r="AN216" s="507"/>
      <c r="AO216" s="382"/>
      <c r="AP216" s="418"/>
      <c r="AQ216" s="383"/>
      <c r="AR216" s="507"/>
      <c r="AS216" s="514"/>
      <c r="AT216" s="514"/>
    </row>
    <row r="217">
      <c r="A217" s="382"/>
      <c r="B217" s="418"/>
      <c r="C217" s="383"/>
      <c r="D217" s="507"/>
      <c r="E217" s="382"/>
      <c r="F217" s="418"/>
      <c r="G217" s="383"/>
      <c r="H217" s="507"/>
      <c r="I217" s="382"/>
      <c r="J217" s="418"/>
      <c r="K217" s="383"/>
      <c r="L217" s="507"/>
      <c r="M217" s="382"/>
      <c r="N217" s="418"/>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8"/>
      <c r="AM217" s="383"/>
      <c r="AN217" s="507"/>
      <c r="AO217" s="382"/>
      <c r="AP217" s="418"/>
      <c r="AQ217" s="383"/>
      <c r="AR217" s="507"/>
      <c r="AS217" s="514"/>
      <c r="AT217" s="514"/>
    </row>
    <row r="218">
      <c r="A218" s="382"/>
      <c r="B218" s="418"/>
      <c r="C218" s="383"/>
      <c r="D218" s="507"/>
      <c r="E218" s="382"/>
      <c r="F218" s="418"/>
      <c r="G218" s="383"/>
      <c r="H218" s="507"/>
      <c r="I218" s="382"/>
      <c r="J218" s="418"/>
      <c r="K218" s="383"/>
      <c r="L218" s="507"/>
      <c r="M218" s="382"/>
      <c r="N218" s="418"/>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8"/>
      <c r="AM218" s="383"/>
      <c r="AN218" s="507"/>
      <c r="AO218" s="382"/>
      <c r="AP218" s="418"/>
      <c r="AQ218" s="383"/>
      <c r="AR218" s="507"/>
      <c r="AS218" s="514"/>
      <c r="AT218" s="514"/>
    </row>
    <row r="219">
      <c r="A219" s="382"/>
      <c r="B219" s="418"/>
      <c r="C219" s="383"/>
      <c r="D219" s="507"/>
      <c r="E219" s="382"/>
      <c r="F219" s="418"/>
      <c r="G219" s="383"/>
      <c r="H219" s="507"/>
      <c r="I219" s="382"/>
      <c r="J219" s="418"/>
      <c r="K219" s="383"/>
      <c r="L219" s="507"/>
      <c r="M219" s="382"/>
      <c r="N219" s="418"/>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8"/>
      <c r="AM219" s="383"/>
      <c r="AN219" s="507"/>
      <c r="AO219" s="382"/>
      <c r="AP219" s="418"/>
      <c r="AQ219" s="383"/>
      <c r="AR219" s="507"/>
      <c r="AS219" s="514"/>
      <c r="AT219" s="514"/>
    </row>
    <row r="220">
      <c r="A220" s="382"/>
      <c r="B220" s="418"/>
      <c r="C220" s="383"/>
      <c r="D220" s="507"/>
      <c r="E220" s="382"/>
      <c r="F220" s="418"/>
      <c r="G220" s="383"/>
      <c r="H220" s="507"/>
      <c r="I220" s="382"/>
      <c r="J220" s="418"/>
      <c r="K220" s="383"/>
      <c r="L220" s="507"/>
      <c r="M220" s="382"/>
      <c r="N220" s="418"/>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8"/>
      <c r="AM220" s="383"/>
      <c r="AN220" s="507"/>
      <c r="AO220" s="382"/>
      <c r="AP220" s="418"/>
      <c r="AQ220" s="383"/>
      <c r="AR220" s="507"/>
      <c r="AS220" s="514"/>
      <c r="AT220" s="514"/>
    </row>
    <row r="221">
      <c r="A221" s="382"/>
      <c r="B221" s="418"/>
      <c r="C221" s="383"/>
      <c r="D221" s="507"/>
      <c r="E221" s="382"/>
      <c r="F221" s="418"/>
      <c r="G221" s="383"/>
      <c r="H221" s="507"/>
      <c r="I221" s="382"/>
      <c r="J221" s="418"/>
      <c r="K221" s="383"/>
      <c r="L221" s="507"/>
      <c r="M221" s="382"/>
      <c r="N221" s="418"/>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8"/>
      <c r="AM221" s="383"/>
      <c r="AN221" s="507"/>
      <c r="AO221" s="382"/>
      <c r="AP221" s="418"/>
      <c r="AQ221" s="383"/>
      <c r="AR221" s="507"/>
      <c r="AS221" s="514"/>
      <c r="AT221" s="514"/>
    </row>
    <row r="222">
      <c r="A222" s="382"/>
      <c r="B222" s="418"/>
      <c r="C222" s="383"/>
      <c r="D222" s="507"/>
      <c r="E222" s="382"/>
      <c r="F222" s="418"/>
      <c r="G222" s="383"/>
      <c r="H222" s="507"/>
      <c r="I222" s="382"/>
      <c r="J222" s="418"/>
      <c r="K222" s="383"/>
      <c r="L222" s="507"/>
      <c r="M222" s="382"/>
      <c r="N222" s="418"/>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8"/>
      <c r="AM222" s="383"/>
      <c r="AN222" s="507"/>
      <c r="AO222" s="382"/>
      <c r="AP222" s="418"/>
      <c r="AQ222" s="383"/>
      <c r="AR222" s="507"/>
      <c r="AS222" s="514"/>
      <c r="AT222" s="514"/>
    </row>
    <row r="223">
      <c r="A223" s="382"/>
      <c r="B223" s="418"/>
      <c r="C223" s="383"/>
      <c r="D223" s="507"/>
      <c r="E223" s="382"/>
      <c r="F223" s="418"/>
      <c r="G223" s="383"/>
      <c r="H223" s="507"/>
      <c r="I223" s="382"/>
      <c r="J223" s="418"/>
      <c r="K223" s="383"/>
      <c r="L223" s="507"/>
      <c r="M223" s="382"/>
      <c r="N223" s="418"/>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8"/>
      <c r="AM223" s="383"/>
      <c r="AN223" s="507"/>
      <c r="AO223" s="382"/>
      <c r="AP223" s="418"/>
      <c r="AQ223" s="383"/>
      <c r="AR223" s="507"/>
      <c r="AS223" s="514"/>
      <c r="AT223" s="514"/>
    </row>
    <row r="224">
      <c r="A224" s="382"/>
      <c r="B224" s="418"/>
      <c r="C224" s="383"/>
      <c r="D224" s="507"/>
      <c r="E224" s="382"/>
      <c r="F224" s="418"/>
      <c r="G224" s="383"/>
      <c r="H224" s="507"/>
      <c r="I224" s="382"/>
      <c r="J224" s="418"/>
      <c r="K224" s="383"/>
      <c r="L224" s="507"/>
      <c r="M224" s="382"/>
      <c r="N224" s="418"/>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8"/>
      <c r="AM224" s="383"/>
      <c r="AN224" s="507"/>
      <c r="AO224" s="382"/>
      <c r="AP224" s="418"/>
      <c r="AQ224" s="383"/>
      <c r="AR224" s="507"/>
      <c r="AS224" s="514"/>
      <c r="AT224" s="514"/>
    </row>
    <row r="225">
      <c r="A225" s="382"/>
      <c r="B225" s="418"/>
      <c r="C225" s="383"/>
      <c r="D225" s="507"/>
      <c r="E225" s="382"/>
      <c r="F225" s="418"/>
      <c r="G225" s="383"/>
      <c r="H225" s="507"/>
      <c r="I225" s="382"/>
      <c r="J225" s="418"/>
      <c r="K225" s="383"/>
      <c r="L225" s="507"/>
      <c r="M225" s="382"/>
      <c r="N225" s="418"/>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8"/>
      <c r="AM225" s="383"/>
      <c r="AN225" s="507"/>
      <c r="AO225" s="382"/>
      <c r="AP225" s="418"/>
      <c r="AQ225" s="383"/>
      <c r="AR225" s="507"/>
      <c r="AS225" s="514"/>
      <c r="AT225" s="514"/>
    </row>
    <row r="226">
      <c r="A226" s="382"/>
      <c r="B226" s="418"/>
      <c r="C226" s="383"/>
      <c r="D226" s="507"/>
      <c r="E226" s="382"/>
      <c r="F226" s="418"/>
      <c r="G226" s="383"/>
      <c r="H226" s="507"/>
      <c r="I226" s="382"/>
      <c r="J226" s="418"/>
      <c r="K226" s="383"/>
      <c r="L226" s="507"/>
      <c r="M226" s="382"/>
      <c r="N226" s="418"/>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8"/>
      <c r="AM226" s="383"/>
      <c r="AN226" s="507"/>
      <c r="AO226" s="382"/>
      <c r="AP226" s="418"/>
      <c r="AQ226" s="383"/>
      <c r="AR226" s="507"/>
      <c r="AS226" s="514"/>
      <c r="AT226" s="514"/>
    </row>
    <row r="227">
      <c r="A227" s="382"/>
      <c r="B227" s="418"/>
      <c r="C227" s="383"/>
      <c r="D227" s="507"/>
      <c r="E227" s="382"/>
      <c r="F227" s="418"/>
      <c r="G227" s="383"/>
      <c r="H227" s="507"/>
      <c r="I227" s="382"/>
      <c r="J227" s="418"/>
      <c r="K227" s="383"/>
      <c r="L227" s="507"/>
      <c r="M227" s="382"/>
      <c r="N227" s="418"/>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8"/>
      <c r="AM227" s="383"/>
      <c r="AN227" s="507"/>
      <c r="AO227" s="382"/>
      <c r="AP227" s="418"/>
      <c r="AQ227" s="383"/>
      <c r="AR227" s="507"/>
      <c r="AS227" s="514"/>
      <c r="AT227" s="514"/>
    </row>
    <row r="228">
      <c r="A228" s="382"/>
      <c r="B228" s="418"/>
      <c r="C228" s="383"/>
      <c r="D228" s="507"/>
      <c r="E228" s="382"/>
      <c r="F228" s="418"/>
      <c r="G228" s="383"/>
      <c r="H228" s="507"/>
      <c r="I228" s="382"/>
      <c r="J228" s="418"/>
      <c r="K228" s="383"/>
      <c r="L228" s="507"/>
      <c r="M228" s="382"/>
      <c r="N228" s="418"/>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8"/>
      <c r="AM228" s="383"/>
      <c r="AN228" s="507"/>
      <c r="AO228" s="382"/>
      <c r="AP228" s="418"/>
      <c r="AQ228" s="383"/>
      <c r="AR228" s="507"/>
      <c r="AS228" s="514"/>
      <c r="AT228" s="514"/>
    </row>
    <row r="229">
      <c r="A229" s="382"/>
      <c r="B229" s="418"/>
      <c r="C229" s="383"/>
      <c r="D229" s="507"/>
      <c r="E229" s="382"/>
      <c r="F229" s="418"/>
      <c r="G229" s="383"/>
      <c r="H229" s="507"/>
      <c r="I229" s="382"/>
      <c r="J229" s="418"/>
      <c r="K229" s="383"/>
      <c r="L229" s="507"/>
      <c r="M229" s="382"/>
      <c r="N229" s="418"/>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8"/>
      <c r="AM229" s="383"/>
      <c r="AN229" s="507"/>
      <c r="AO229" s="382"/>
      <c r="AP229" s="418"/>
      <c r="AQ229" s="383"/>
      <c r="AR229" s="507"/>
      <c r="AS229" s="514"/>
      <c r="AT229" s="514"/>
    </row>
    <row r="230">
      <c r="A230" s="382"/>
      <c r="B230" s="418"/>
      <c r="C230" s="383"/>
      <c r="D230" s="507"/>
      <c r="E230" s="382"/>
      <c r="F230" s="418"/>
      <c r="G230" s="383"/>
      <c r="H230" s="507"/>
      <c r="I230" s="382"/>
      <c r="J230" s="418"/>
      <c r="K230" s="383"/>
      <c r="L230" s="507"/>
      <c r="M230" s="382"/>
      <c r="N230" s="418"/>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8"/>
      <c r="AM230" s="383"/>
      <c r="AN230" s="507"/>
      <c r="AO230" s="382"/>
      <c r="AP230" s="418"/>
      <c r="AQ230" s="383"/>
      <c r="AR230" s="507"/>
      <c r="AS230" s="514"/>
      <c r="AT230" s="514"/>
    </row>
    <row r="231">
      <c r="A231" s="382"/>
      <c r="B231" s="418"/>
      <c r="C231" s="383"/>
      <c r="D231" s="507"/>
      <c r="E231" s="382"/>
      <c r="F231" s="418"/>
      <c r="G231" s="383"/>
      <c r="H231" s="507"/>
      <c r="I231" s="382"/>
      <c r="J231" s="418"/>
      <c r="K231" s="383"/>
      <c r="L231" s="507"/>
      <c r="M231" s="382"/>
      <c r="N231" s="418"/>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8"/>
      <c r="AM231" s="383"/>
      <c r="AN231" s="507"/>
      <c r="AO231" s="382"/>
      <c r="AP231" s="418"/>
      <c r="AQ231" s="383"/>
      <c r="AR231" s="507"/>
      <c r="AS231" s="514"/>
      <c r="AT231" s="514"/>
    </row>
    <row r="232">
      <c r="A232" s="382"/>
      <c r="B232" s="418"/>
      <c r="C232" s="383"/>
      <c r="D232" s="507"/>
      <c r="E232" s="382"/>
      <c r="F232" s="418"/>
      <c r="G232" s="383"/>
      <c r="H232" s="507"/>
      <c r="I232" s="382"/>
      <c r="J232" s="418"/>
      <c r="K232" s="383"/>
      <c r="L232" s="507"/>
      <c r="M232" s="382"/>
      <c r="N232" s="418"/>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8"/>
      <c r="AM232" s="383"/>
      <c r="AN232" s="507"/>
      <c r="AO232" s="382"/>
      <c r="AP232" s="418"/>
      <c r="AQ232" s="383"/>
      <c r="AR232" s="507"/>
      <c r="AS232" s="514"/>
      <c r="AT232" s="514"/>
    </row>
    <row r="233">
      <c r="A233" s="382"/>
      <c r="B233" s="418"/>
      <c r="C233" s="383"/>
      <c r="D233" s="507"/>
      <c r="E233" s="382"/>
      <c r="F233" s="418"/>
      <c r="G233" s="383"/>
      <c r="H233" s="507"/>
      <c r="I233" s="382"/>
      <c r="J233" s="418"/>
      <c r="K233" s="383"/>
      <c r="L233" s="507"/>
      <c r="M233" s="382"/>
      <c r="N233" s="418"/>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8"/>
      <c r="AM233" s="383"/>
      <c r="AN233" s="507"/>
      <c r="AO233" s="382"/>
      <c r="AP233" s="418"/>
      <c r="AQ233" s="383"/>
      <c r="AR233" s="507"/>
      <c r="AS233" s="514"/>
      <c r="AT233" s="514"/>
    </row>
    <row r="234">
      <c r="A234" s="382"/>
      <c r="B234" s="418"/>
      <c r="C234" s="383"/>
      <c r="D234" s="507"/>
      <c r="E234" s="382"/>
      <c r="F234" s="418"/>
      <c r="G234" s="383"/>
      <c r="H234" s="507"/>
      <c r="I234" s="382"/>
      <c r="J234" s="418"/>
      <c r="K234" s="383"/>
      <c r="L234" s="507"/>
      <c r="M234" s="382"/>
      <c r="N234" s="418"/>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8"/>
      <c r="AM234" s="383"/>
      <c r="AN234" s="507"/>
      <c r="AO234" s="382"/>
      <c r="AP234" s="418"/>
      <c r="AQ234" s="383"/>
      <c r="AR234" s="507"/>
      <c r="AS234" s="514"/>
      <c r="AT234" s="514"/>
    </row>
    <row r="235">
      <c r="A235" s="382"/>
      <c r="B235" s="418"/>
      <c r="C235" s="383"/>
      <c r="D235" s="507"/>
      <c r="E235" s="382"/>
      <c r="F235" s="418"/>
      <c r="G235" s="383"/>
      <c r="H235" s="507"/>
      <c r="I235" s="382"/>
      <c r="J235" s="418"/>
      <c r="K235" s="383"/>
      <c r="L235" s="507"/>
      <c r="M235" s="382"/>
      <c r="N235" s="418"/>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8"/>
      <c r="AM235" s="383"/>
      <c r="AN235" s="507"/>
      <c r="AO235" s="382"/>
      <c r="AP235" s="418"/>
      <c r="AQ235" s="383"/>
      <c r="AR235" s="507"/>
      <c r="AS235" s="514"/>
      <c r="AT235" s="514"/>
    </row>
    <row r="236">
      <c r="A236" s="382"/>
      <c r="B236" s="418"/>
      <c r="C236" s="383"/>
      <c r="D236" s="507"/>
      <c r="E236" s="382"/>
      <c r="F236" s="418"/>
      <c r="G236" s="383"/>
      <c r="H236" s="507"/>
      <c r="I236" s="382"/>
      <c r="J236" s="418"/>
      <c r="K236" s="383"/>
      <c r="L236" s="507"/>
      <c r="M236" s="382"/>
      <c r="N236" s="418"/>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8"/>
      <c r="AM236" s="383"/>
      <c r="AN236" s="507"/>
      <c r="AO236" s="382"/>
      <c r="AP236" s="418"/>
      <c r="AQ236" s="383"/>
      <c r="AR236" s="507"/>
      <c r="AS236" s="514"/>
      <c r="AT236" s="514"/>
    </row>
    <row r="237">
      <c r="A237" s="382"/>
      <c r="B237" s="418"/>
      <c r="C237" s="383"/>
      <c r="D237" s="507"/>
      <c r="E237" s="382"/>
      <c r="F237" s="418"/>
      <c r="G237" s="383"/>
      <c r="H237" s="507"/>
      <c r="I237" s="382"/>
      <c r="J237" s="418"/>
      <c r="K237" s="383"/>
      <c r="L237" s="507"/>
      <c r="M237" s="382"/>
      <c r="N237" s="418"/>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8"/>
      <c r="AM237" s="383"/>
      <c r="AN237" s="507"/>
      <c r="AO237" s="382"/>
      <c r="AP237" s="418"/>
      <c r="AQ237" s="383"/>
      <c r="AR237" s="507"/>
      <c r="AS237" s="514"/>
      <c r="AT237" s="514"/>
    </row>
    <row r="238">
      <c r="A238" s="382"/>
      <c r="B238" s="418"/>
      <c r="C238" s="383"/>
      <c r="D238" s="507"/>
      <c r="E238" s="382"/>
      <c r="F238" s="418"/>
      <c r="G238" s="383"/>
      <c r="H238" s="507"/>
      <c r="I238" s="382"/>
      <c r="J238" s="418"/>
      <c r="K238" s="383"/>
      <c r="L238" s="507"/>
      <c r="M238" s="382"/>
      <c r="N238" s="418"/>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8"/>
      <c r="AM238" s="383"/>
      <c r="AN238" s="507"/>
      <c r="AO238" s="382"/>
      <c r="AP238" s="418"/>
      <c r="AQ238" s="383"/>
      <c r="AR238" s="507"/>
      <c r="AS238" s="514"/>
      <c r="AT238" s="514"/>
    </row>
    <row r="239">
      <c r="A239" s="382"/>
      <c r="B239" s="418"/>
      <c r="C239" s="383"/>
      <c r="D239" s="507"/>
      <c r="E239" s="382"/>
      <c r="F239" s="418"/>
      <c r="G239" s="383"/>
      <c r="H239" s="507"/>
      <c r="I239" s="382"/>
      <c r="J239" s="418"/>
      <c r="K239" s="383"/>
      <c r="L239" s="507"/>
      <c r="M239" s="382"/>
      <c r="N239" s="418"/>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8"/>
      <c r="AM239" s="383"/>
      <c r="AN239" s="507"/>
      <c r="AO239" s="382"/>
      <c r="AP239" s="418"/>
      <c r="AQ239" s="383"/>
      <c r="AR239" s="507"/>
      <c r="AS239" s="514"/>
      <c r="AT239" s="514"/>
    </row>
    <row r="240">
      <c r="A240" s="382"/>
      <c r="B240" s="418"/>
      <c r="C240" s="383"/>
      <c r="D240" s="507"/>
      <c r="E240" s="382"/>
      <c r="F240" s="418"/>
      <c r="G240" s="383"/>
      <c r="H240" s="507"/>
      <c r="I240" s="382"/>
      <c r="J240" s="418"/>
      <c r="K240" s="383"/>
      <c r="L240" s="507"/>
      <c r="M240" s="382"/>
      <c r="N240" s="418"/>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8"/>
      <c r="AM240" s="383"/>
      <c r="AN240" s="507"/>
      <c r="AO240" s="382"/>
      <c r="AP240" s="418"/>
      <c r="AQ240" s="383"/>
      <c r="AR240" s="507"/>
      <c r="AS240" s="514"/>
      <c r="AT240" s="514"/>
    </row>
    <row r="241">
      <c r="A241" s="382"/>
      <c r="B241" s="418"/>
      <c r="C241" s="383"/>
      <c r="D241" s="507"/>
      <c r="E241" s="382"/>
      <c r="F241" s="418"/>
      <c r="G241" s="383"/>
      <c r="H241" s="507"/>
      <c r="I241" s="382"/>
      <c r="J241" s="418"/>
      <c r="K241" s="383"/>
      <c r="L241" s="507"/>
      <c r="M241" s="382"/>
      <c r="N241" s="418"/>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8"/>
      <c r="AM241" s="383"/>
      <c r="AN241" s="507"/>
      <c r="AO241" s="382"/>
      <c r="AP241" s="418"/>
      <c r="AQ241" s="383"/>
      <c r="AR241" s="507"/>
      <c r="AS241" s="514"/>
      <c r="AT241" s="514"/>
    </row>
    <row r="242">
      <c r="A242" s="382"/>
      <c r="B242" s="418"/>
      <c r="C242" s="383"/>
      <c r="D242" s="507"/>
      <c r="E242" s="382"/>
      <c r="F242" s="418"/>
      <c r="G242" s="383"/>
      <c r="H242" s="507"/>
      <c r="I242" s="382"/>
      <c r="J242" s="418"/>
      <c r="K242" s="383"/>
      <c r="L242" s="507"/>
      <c r="M242" s="382"/>
      <c r="N242" s="418"/>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8"/>
      <c r="AM242" s="383"/>
      <c r="AN242" s="507"/>
      <c r="AO242" s="382"/>
      <c r="AP242" s="418"/>
      <c r="AQ242" s="383"/>
      <c r="AR242" s="507"/>
      <c r="AS242" s="514"/>
      <c r="AT242" s="514"/>
    </row>
    <row r="243">
      <c r="A243" s="382"/>
      <c r="B243" s="418"/>
      <c r="C243" s="383"/>
      <c r="D243" s="507"/>
      <c r="E243" s="382"/>
      <c r="F243" s="418"/>
      <c r="G243" s="383"/>
      <c r="H243" s="507"/>
      <c r="I243" s="382"/>
      <c r="J243" s="418"/>
      <c r="K243" s="383"/>
      <c r="L243" s="507"/>
      <c r="M243" s="382"/>
      <c r="N243" s="418"/>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8"/>
      <c r="AM243" s="383"/>
      <c r="AN243" s="507"/>
      <c r="AO243" s="382"/>
      <c r="AP243" s="418"/>
      <c r="AQ243" s="383"/>
      <c r="AR243" s="507"/>
      <c r="AS243" s="514"/>
      <c r="AT243" s="514"/>
    </row>
    <row r="244">
      <c r="A244" s="382"/>
      <c r="B244" s="418"/>
      <c r="C244" s="383"/>
      <c r="D244" s="507"/>
      <c r="E244" s="382"/>
      <c r="F244" s="418"/>
      <c r="G244" s="383"/>
      <c r="H244" s="507"/>
      <c r="I244" s="382"/>
      <c r="J244" s="418"/>
      <c r="K244" s="383"/>
      <c r="L244" s="507"/>
      <c r="M244" s="382"/>
      <c r="N244" s="418"/>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8"/>
      <c r="AM244" s="383"/>
      <c r="AN244" s="507"/>
      <c r="AO244" s="382"/>
      <c r="AP244" s="418"/>
      <c r="AQ244" s="383"/>
      <c r="AR244" s="507"/>
      <c r="AS244" s="514"/>
      <c r="AT244" s="514"/>
    </row>
    <row r="245">
      <c r="A245" s="382"/>
      <c r="B245" s="418"/>
      <c r="C245" s="383"/>
      <c r="D245" s="507"/>
      <c r="E245" s="382"/>
      <c r="F245" s="418"/>
      <c r="G245" s="383"/>
      <c r="H245" s="507"/>
      <c r="I245" s="382"/>
      <c r="J245" s="418"/>
      <c r="K245" s="383"/>
      <c r="L245" s="507"/>
      <c r="M245" s="382"/>
      <c r="N245" s="418"/>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8"/>
      <c r="AM245" s="383"/>
      <c r="AN245" s="507"/>
      <c r="AO245" s="382"/>
      <c r="AP245" s="418"/>
      <c r="AQ245" s="383"/>
      <c r="AR245" s="507"/>
      <c r="AS245" s="514"/>
      <c r="AT245" s="514"/>
    </row>
    <row r="246">
      <c r="A246" s="382"/>
      <c r="B246" s="418"/>
      <c r="C246" s="383"/>
      <c r="D246" s="507"/>
      <c r="E246" s="382"/>
      <c r="F246" s="418"/>
      <c r="G246" s="383"/>
      <c r="H246" s="507"/>
      <c r="I246" s="382"/>
      <c r="J246" s="418"/>
      <c r="K246" s="383"/>
      <c r="L246" s="507"/>
      <c r="M246" s="382"/>
      <c r="N246" s="418"/>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8"/>
      <c r="AM246" s="383"/>
      <c r="AN246" s="507"/>
      <c r="AO246" s="382"/>
      <c r="AP246" s="418"/>
      <c r="AQ246" s="383"/>
      <c r="AR246" s="507"/>
      <c r="AS246" s="514"/>
      <c r="AT246" s="514"/>
    </row>
    <row r="247">
      <c r="A247" s="382"/>
      <c r="B247" s="418"/>
      <c r="C247" s="383"/>
      <c r="D247" s="507"/>
      <c r="E247" s="382"/>
      <c r="F247" s="418"/>
      <c r="G247" s="383"/>
      <c r="H247" s="507"/>
      <c r="I247" s="382"/>
      <c r="J247" s="418"/>
      <c r="K247" s="383"/>
      <c r="L247" s="507"/>
      <c r="M247" s="382"/>
      <c r="N247" s="418"/>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8"/>
      <c r="AM247" s="383"/>
      <c r="AN247" s="507"/>
      <c r="AO247" s="382"/>
      <c r="AP247" s="418"/>
      <c r="AQ247" s="383"/>
      <c r="AR247" s="507"/>
      <c r="AS247" s="514"/>
      <c r="AT247" s="514"/>
    </row>
    <row r="248">
      <c r="A248" s="382"/>
      <c r="B248" s="418"/>
      <c r="C248" s="383"/>
      <c r="D248" s="507"/>
      <c r="E248" s="382"/>
      <c r="F248" s="418"/>
      <c r="G248" s="383"/>
      <c r="H248" s="507"/>
      <c r="I248" s="382"/>
      <c r="J248" s="418"/>
      <c r="K248" s="383"/>
      <c r="L248" s="507"/>
      <c r="M248" s="382"/>
      <c r="N248" s="418"/>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8"/>
      <c r="AM248" s="383"/>
      <c r="AN248" s="507"/>
      <c r="AO248" s="382"/>
      <c r="AP248" s="418"/>
      <c r="AQ248" s="383"/>
      <c r="AR248" s="507"/>
      <c r="AS248" s="514"/>
      <c r="AT248" s="514"/>
    </row>
    <row r="249">
      <c r="A249" s="382"/>
      <c r="B249" s="418"/>
      <c r="C249" s="383"/>
      <c r="D249" s="507"/>
      <c r="E249" s="382"/>
      <c r="F249" s="418"/>
      <c r="G249" s="383"/>
      <c r="H249" s="507"/>
      <c r="I249" s="382"/>
      <c r="J249" s="418"/>
      <c r="K249" s="383"/>
      <c r="L249" s="507"/>
      <c r="M249" s="382"/>
      <c r="N249" s="418"/>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8"/>
      <c r="AM249" s="383"/>
      <c r="AN249" s="507"/>
      <c r="AO249" s="382"/>
      <c r="AP249" s="418"/>
      <c r="AQ249" s="383"/>
      <c r="AR249" s="507"/>
      <c r="AS249" s="514"/>
      <c r="AT249" s="514"/>
    </row>
    <row r="250">
      <c r="A250" s="382"/>
      <c r="B250" s="418"/>
      <c r="C250" s="383"/>
      <c r="D250" s="507"/>
      <c r="E250" s="382"/>
      <c r="F250" s="418"/>
      <c r="G250" s="383"/>
      <c r="H250" s="507"/>
      <c r="I250" s="382"/>
      <c r="J250" s="418"/>
      <c r="K250" s="383"/>
      <c r="L250" s="507"/>
      <c r="M250" s="382"/>
      <c r="N250" s="418"/>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8"/>
      <c r="AM250" s="383"/>
      <c r="AN250" s="507"/>
      <c r="AO250" s="382"/>
      <c r="AP250" s="418"/>
      <c r="AQ250" s="383"/>
      <c r="AR250" s="507"/>
      <c r="AS250" s="514"/>
      <c r="AT250" s="514"/>
    </row>
    <row r="251">
      <c r="A251" s="382"/>
      <c r="B251" s="418"/>
      <c r="C251" s="383"/>
      <c r="D251" s="507"/>
      <c r="E251" s="382"/>
      <c r="F251" s="418"/>
      <c r="G251" s="383"/>
      <c r="H251" s="507"/>
      <c r="I251" s="382"/>
      <c r="J251" s="418"/>
      <c r="K251" s="383"/>
      <c r="L251" s="507"/>
      <c r="M251" s="382"/>
      <c r="N251" s="418"/>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8"/>
      <c r="AM251" s="383"/>
      <c r="AN251" s="507"/>
      <c r="AO251" s="382"/>
      <c r="AP251" s="418"/>
      <c r="AQ251" s="383"/>
      <c r="AR251" s="507"/>
      <c r="AS251" s="514"/>
      <c r="AT251" s="514"/>
    </row>
    <row r="252">
      <c r="A252" s="382"/>
      <c r="B252" s="418"/>
      <c r="C252" s="383"/>
      <c r="D252" s="507"/>
      <c r="E252" s="382"/>
      <c r="F252" s="418"/>
      <c r="G252" s="383"/>
      <c r="H252" s="507"/>
      <c r="I252" s="382"/>
      <c r="J252" s="418"/>
      <c r="K252" s="383"/>
      <c r="L252" s="507"/>
      <c r="M252" s="382"/>
      <c r="N252" s="418"/>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8"/>
      <c r="AM252" s="383"/>
      <c r="AN252" s="507"/>
      <c r="AO252" s="382"/>
      <c r="AP252" s="418"/>
      <c r="AQ252" s="383"/>
      <c r="AR252" s="507"/>
      <c r="AS252" s="514"/>
      <c r="AT252" s="514"/>
    </row>
    <row r="253">
      <c r="A253" s="382"/>
      <c r="B253" s="418"/>
      <c r="C253" s="383"/>
      <c r="D253" s="507"/>
      <c r="E253" s="382"/>
      <c r="F253" s="418"/>
      <c r="G253" s="383"/>
      <c r="H253" s="507"/>
      <c r="I253" s="382"/>
      <c r="J253" s="418"/>
      <c r="K253" s="383"/>
      <c r="L253" s="507"/>
      <c r="M253" s="382"/>
      <c r="N253" s="418"/>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8"/>
      <c r="AM253" s="383"/>
      <c r="AN253" s="507"/>
      <c r="AO253" s="382"/>
      <c r="AP253" s="418"/>
      <c r="AQ253" s="383"/>
      <c r="AR253" s="507"/>
      <c r="AS253" s="514"/>
      <c r="AT253" s="514"/>
    </row>
    <row r="254">
      <c r="A254" s="382"/>
      <c r="B254" s="418"/>
      <c r="C254" s="383"/>
      <c r="D254" s="507"/>
      <c r="E254" s="382"/>
      <c r="F254" s="418"/>
      <c r="G254" s="383"/>
      <c r="H254" s="507"/>
      <c r="I254" s="382"/>
      <c r="J254" s="418"/>
      <c r="K254" s="383"/>
      <c r="L254" s="507"/>
      <c r="M254" s="382"/>
      <c r="N254" s="418"/>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8"/>
      <c r="AM254" s="383"/>
      <c r="AN254" s="507"/>
      <c r="AO254" s="382"/>
      <c r="AP254" s="418"/>
      <c r="AQ254" s="383"/>
      <c r="AR254" s="507"/>
      <c r="AS254" s="514"/>
      <c r="AT254" s="514"/>
    </row>
    <row r="255">
      <c r="A255" s="382"/>
      <c r="B255" s="418"/>
      <c r="C255" s="383"/>
      <c r="D255" s="507"/>
      <c r="E255" s="382"/>
      <c r="F255" s="418"/>
      <c r="G255" s="383"/>
      <c r="H255" s="507"/>
      <c r="I255" s="382"/>
      <c r="J255" s="418"/>
      <c r="K255" s="383"/>
      <c r="L255" s="507"/>
      <c r="M255" s="382"/>
      <c r="N255" s="418"/>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8"/>
      <c r="AM255" s="383"/>
      <c r="AN255" s="507"/>
      <c r="AO255" s="382"/>
      <c r="AP255" s="418"/>
      <c r="AQ255" s="383"/>
      <c r="AR255" s="507"/>
      <c r="AS255" s="514"/>
      <c r="AT255" s="514"/>
    </row>
    <row r="256">
      <c r="A256" s="382"/>
      <c r="B256" s="418"/>
      <c r="C256" s="383"/>
      <c r="D256" s="507"/>
      <c r="E256" s="382"/>
      <c r="F256" s="418"/>
      <c r="G256" s="383"/>
      <c r="H256" s="507"/>
      <c r="I256" s="382"/>
      <c r="J256" s="418"/>
      <c r="K256" s="383"/>
      <c r="L256" s="507"/>
      <c r="M256" s="382"/>
      <c r="N256" s="418"/>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8"/>
      <c r="AM256" s="383"/>
      <c r="AN256" s="507"/>
      <c r="AO256" s="382"/>
      <c r="AP256" s="418"/>
      <c r="AQ256" s="383"/>
      <c r="AR256" s="507"/>
      <c r="AS256" s="514"/>
      <c r="AT256" s="514"/>
    </row>
    <row r="257">
      <c r="A257" s="382"/>
      <c r="B257" s="418"/>
      <c r="C257" s="383"/>
      <c r="D257" s="507"/>
      <c r="E257" s="382"/>
      <c r="F257" s="418"/>
      <c r="G257" s="383"/>
      <c r="H257" s="507"/>
      <c r="I257" s="382"/>
      <c r="J257" s="418"/>
      <c r="K257" s="383"/>
      <c r="L257" s="507"/>
      <c r="M257" s="382"/>
      <c r="N257" s="418"/>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8"/>
      <c r="AM257" s="383"/>
      <c r="AN257" s="507"/>
      <c r="AO257" s="382"/>
      <c r="AP257" s="418"/>
      <c r="AQ257" s="383"/>
      <c r="AR257" s="507"/>
      <c r="AS257" s="514"/>
      <c r="AT257" s="514"/>
    </row>
    <row r="258">
      <c r="A258" s="382"/>
      <c r="B258" s="418"/>
      <c r="C258" s="383"/>
      <c r="D258" s="507"/>
      <c r="E258" s="382"/>
      <c r="F258" s="418"/>
      <c r="G258" s="383"/>
      <c r="H258" s="507"/>
      <c r="I258" s="382"/>
      <c r="J258" s="418"/>
      <c r="K258" s="383"/>
      <c r="L258" s="507"/>
      <c r="M258" s="382"/>
      <c r="N258" s="418"/>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8"/>
      <c r="AM258" s="383"/>
      <c r="AN258" s="507"/>
      <c r="AO258" s="382"/>
      <c r="AP258" s="418"/>
      <c r="AQ258" s="383"/>
      <c r="AR258" s="507"/>
      <c r="AS258" s="514"/>
      <c r="AT258" s="514"/>
    </row>
    <row r="259">
      <c r="A259" s="382"/>
      <c r="B259" s="418"/>
      <c r="C259" s="383"/>
      <c r="D259" s="507"/>
      <c r="E259" s="382"/>
      <c r="F259" s="418"/>
      <c r="G259" s="383"/>
      <c r="H259" s="507"/>
      <c r="I259" s="382"/>
      <c r="J259" s="418"/>
      <c r="K259" s="383"/>
      <c r="L259" s="507"/>
      <c r="M259" s="382"/>
      <c r="N259" s="418"/>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8"/>
      <c r="AM259" s="383"/>
      <c r="AN259" s="507"/>
      <c r="AO259" s="382"/>
      <c r="AP259" s="418"/>
      <c r="AQ259" s="383"/>
      <c r="AR259" s="507"/>
      <c r="AS259" s="514"/>
      <c r="AT259" s="514"/>
    </row>
    <row r="260">
      <c r="A260" s="382"/>
      <c r="B260" s="418"/>
      <c r="C260" s="383"/>
      <c r="D260" s="507"/>
      <c r="E260" s="382"/>
      <c r="F260" s="418"/>
      <c r="G260" s="383"/>
      <c r="H260" s="507"/>
      <c r="I260" s="382"/>
      <c r="J260" s="418"/>
      <c r="K260" s="383"/>
      <c r="L260" s="507"/>
      <c r="M260" s="382"/>
      <c r="N260" s="418"/>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8"/>
      <c r="AM260" s="383"/>
      <c r="AN260" s="507"/>
      <c r="AO260" s="382"/>
      <c r="AP260" s="418"/>
      <c r="AQ260" s="383"/>
      <c r="AR260" s="507"/>
      <c r="AS260" s="514"/>
      <c r="AT260" s="514"/>
    </row>
    <row r="261">
      <c r="A261" s="382"/>
      <c r="B261" s="418"/>
      <c r="C261" s="383"/>
      <c r="D261" s="507"/>
      <c r="E261" s="382"/>
      <c r="F261" s="418"/>
      <c r="G261" s="383"/>
      <c r="H261" s="507"/>
      <c r="I261" s="382"/>
      <c r="J261" s="418"/>
      <c r="K261" s="383"/>
      <c r="L261" s="507"/>
      <c r="M261" s="382"/>
      <c r="N261" s="418"/>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8"/>
      <c r="AM261" s="383"/>
      <c r="AN261" s="507"/>
      <c r="AO261" s="382"/>
      <c r="AP261" s="418"/>
      <c r="AQ261" s="383"/>
      <c r="AR261" s="507"/>
      <c r="AS261" s="514"/>
      <c r="AT261" s="514"/>
    </row>
    <row r="262">
      <c r="A262" s="382"/>
      <c r="B262" s="418"/>
      <c r="C262" s="383"/>
      <c r="D262" s="507"/>
      <c r="E262" s="382"/>
      <c r="F262" s="418"/>
      <c r="G262" s="383"/>
      <c r="H262" s="507"/>
      <c r="I262" s="382"/>
      <c r="J262" s="418"/>
      <c r="K262" s="383"/>
      <c r="L262" s="507"/>
      <c r="M262" s="382"/>
      <c r="N262" s="418"/>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8"/>
      <c r="AM262" s="383"/>
      <c r="AN262" s="507"/>
      <c r="AO262" s="382"/>
      <c r="AP262" s="418"/>
      <c r="AQ262" s="383"/>
      <c r="AR262" s="507"/>
      <c r="AS262" s="514"/>
      <c r="AT262" s="514"/>
    </row>
    <row r="263">
      <c r="A263" s="382"/>
      <c r="B263" s="418"/>
      <c r="C263" s="383"/>
      <c r="D263" s="507"/>
      <c r="E263" s="382"/>
      <c r="F263" s="418"/>
      <c r="G263" s="383"/>
      <c r="H263" s="507"/>
      <c r="I263" s="382"/>
      <c r="J263" s="418"/>
      <c r="K263" s="383"/>
      <c r="L263" s="507"/>
      <c r="M263" s="382"/>
      <c r="N263" s="418"/>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8"/>
      <c r="AM263" s="383"/>
      <c r="AN263" s="507"/>
      <c r="AO263" s="382"/>
      <c r="AP263" s="418"/>
      <c r="AQ263" s="383"/>
      <c r="AR263" s="507"/>
      <c r="AS263" s="514"/>
      <c r="AT263" s="514"/>
    </row>
    <row r="264">
      <c r="A264" s="382"/>
      <c r="B264" s="418"/>
      <c r="C264" s="383"/>
      <c r="D264" s="507"/>
      <c r="E264" s="382"/>
      <c r="F264" s="418"/>
      <c r="G264" s="383"/>
      <c r="H264" s="507"/>
      <c r="I264" s="382"/>
      <c r="J264" s="418"/>
      <c r="K264" s="383"/>
      <c r="L264" s="507"/>
      <c r="M264" s="382"/>
      <c r="N264" s="418"/>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8"/>
      <c r="AM264" s="383"/>
      <c r="AN264" s="507"/>
      <c r="AO264" s="382"/>
      <c r="AP264" s="418"/>
      <c r="AQ264" s="383"/>
      <c r="AR264" s="507"/>
      <c r="AS264" s="514"/>
      <c r="AT264" s="514"/>
    </row>
    <row r="265">
      <c r="A265" s="382"/>
      <c r="B265" s="418"/>
      <c r="C265" s="383"/>
      <c r="D265" s="507"/>
      <c r="E265" s="382"/>
      <c r="F265" s="418"/>
      <c r="G265" s="383"/>
      <c r="H265" s="507"/>
      <c r="I265" s="382"/>
      <c r="J265" s="418"/>
      <c r="K265" s="383"/>
      <c r="L265" s="507"/>
      <c r="M265" s="382"/>
      <c r="N265" s="418"/>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8"/>
      <c r="AM265" s="383"/>
      <c r="AN265" s="507"/>
      <c r="AO265" s="382"/>
      <c r="AP265" s="418"/>
      <c r="AQ265" s="383"/>
      <c r="AR265" s="507"/>
      <c r="AS265" s="514"/>
      <c r="AT265" s="514"/>
    </row>
    <row r="266">
      <c r="A266" s="382"/>
      <c r="B266" s="418"/>
      <c r="C266" s="383"/>
      <c r="D266" s="507"/>
      <c r="E266" s="382"/>
      <c r="F266" s="418"/>
      <c r="G266" s="383"/>
      <c r="H266" s="507"/>
      <c r="I266" s="382"/>
      <c r="J266" s="418"/>
      <c r="K266" s="383"/>
      <c r="L266" s="507"/>
      <c r="M266" s="382"/>
      <c r="N266" s="418"/>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8"/>
      <c r="AM266" s="383"/>
      <c r="AN266" s="507"/>
      <c r="AO266" s="382"/>
      <c r="AP266" s="418"/>
      <c r="AQ266" s="383"/>
      <c r="AR266" s="507"/>
      <c r="AS266" s="514"/>
      <c r="AT266" s="514"/>
    </row>
    <row r="267">
      <c r="A267" s="382"/>
      <c r="B267" s="418"/>
      <c r="C267" s="383"/>
      <c r="D267" s="507"/>
      <c r="E267" s="382"/>
      <c r="F267" s="418"/>
      <c r="G267" s="383"/>
      <c r="H267" s="507"/>
      <c r="I267" s="382"/>
      <c r="J267" s="418"/>
      <c r="K267" s="383"/>
      <c r="L267" s="507"/>
      <c r="M267" s="382"/>
      <c r="N267" s="418"/>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8"/>
      <c r="AM267" s="383"/>
      <c r="AN267" s="507"/>
      <c r="AO267" s="382"/>
      <c r="AP267" s="418"/>
      <c r="AQ267" s="383"/>
      <c r="AR267" s="507"/>
      <c r="AS267" s="514"/>
      <c r="AT267" s="514"/>
    </row>
    <row r="268">
      <c r="A268" s="382"/>
      <c r="B268" s="418"/>
      <c r="C268" s="383"/>
      <c r="D268" s="507"/>
      <c r="E268" s="382"/>
      <c r="F268" s="418"/>
      <c r="G268" s="383"/>
      <c r="H268" s="507"/>
      <c r="I268" s="382"/>
      <c r="J268" s="418"/>
      <c r="K268" s="383"/>
      <c r="L268" s="507"/>
      <c r="M268" s="382"/>
      <c r="N268" s="418"/>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8"/>
      <c r="AM268" s="383"/>
      <c r="AN268" s="507"/>
      <c r="AO268" s="382"/>
      <c r="AP268" s="418"/>
      <c r="AQ268" s="383"/>
      <c r="AR268" s="507"/>
      <c r="AS268" s="514"/>
      <c r="AT268" s="514"/>
    </row>
    <row r="269">
      <c r="A269" s="382"/>
      <c r="B269" s="418"/>
      <c r="C269" s="383"/>
      <c r="D269" s="507"/>
      <c r="E269" s="382"/>
      <c r="F269" s="418"/>
      <c r="G269" s="383"/>
      <c r="H269" s="507"/>
      <c r="I269" s="382"/>
      <c r="J269" s="418"/>
      <c r="K269" s="383"/>
      <c r="L269" s="507"/>
      <c r="M269" s="382"/>
      <c r="N269" s="418"/>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8"/>
      <c r="AM269" s="383"/>
      <c r="AN269" s="507"/>
      <c r="AO269" s="382"/>
      <c r="AP269" s="418"/>
      <c r="AQ269" s="383"/>
      <c r="AR269" s="507"/>
      <c r="AS269" s="514"/>
      <c r="AT269" s="514"/>
    </row>
    <row r="270">
      <c r="A270" s="382"/>
      <c r="B270" s="418"/>
      <c r="C270" s="383"/>
      <c r="D270" s="507"/>
      <c r="E270" s="382"/>
      <c r="F270" s="418"/>
      <c r="G270" s="383"/>
      <c r="H270" s="507"/>
      <c r="I270" s="382"/>
      <c r="J270" s="418"/>
      <c r="K270" s="383"/>
      <c r="L270" s="507"/>
      <c r="M270" s="382"/>
      <c r="N270" s="418"/>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8"/>
      <c r="AM270" s="383"/>
      <c r="AN270" s="507"/>
      <c r="AO270" s="382"/>
      <c r="AP270" s="418"/>
      <c r="AQ270" s="383"/>
      <c r="AR270" s="507"/>
      <c r="AS270" s="514"/>
      <c r="AT270" s="514"/>
    </row>
    <row r="271">
      <c r="A271" s="382"/>
      <c r="B271" s="418"/>
      <c r="C271" s="383"/>
      <c r="D271" s="507"/>
      <c r="E271" s="382"/>
      <c r="F271" s="418"/>
      <c r="G271" s="383"/>
      <c r="H271" s="507"/>
      <c r="I271" s="382"/>
      <c r="J271" s="418"/>
      <c r="K271" s="383"/>
      <c r="L271" s="507"/>
      <c r="M271" s="382"/>
      <c r="N271" s="418"/>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8"/>
      <c r="AM271" s="383"/>
      <c r="AN271" s="507"/>
      <c r="AO271" s="382"/>
      <c r="AP271" s="418"/>
      <c r="AQ271" s="383"/>
      <c r="AR271" s="507"/>
      <c r="AS271" s="514"/>
      <c r="AT271" s="514"/>
    </row>
    <row r="272">
      <c r="A272" s="382"/>
      <c r="B272" s="418"/>
      <c r="C272" s="383"/>
      <c r="D272" s="507"/>
      <c r="E272" s="382"/>
      <c r="F272" s="418"/>
      <c r="G272" s="383"/>
      <c r="H272" s="507"/>
      <c r="I272" s="382"/>
      <c r="J272" s="418"/>
      <c r="K272" s="383"/>
      <c r="L272" s="507"/>
      <c r="M272" s="382"/>
      <c r="N272" s="418"/>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8"/>
      <c r="AM272" s="383"/>
      <c r="AN272" s="507"/>
      <c r="AO272" s="382"/>
      <c r="AP272" s="418"/>
      <c r="AQ272" s="383"/>
      <c r="AR272" s="507"/>
      <c r="AS272" s="514"/>
      <c r="AT272" s="514"/>
    </row>
    <row r="273">
      <c r="A273" s="382"/>
      <c r="B273" s="418"/>
      <c r="C273" s="383"/>
      <c r="D273" s="507"/>
      <c r="E273" s="382"/>
      <c r="F273" s="418"/>
      <c r="G273" s="383"/>
      <c r="H273" s="507"/>
      <c r="I273" s="382"/>
      <c r="J273" s="418"/>
      <c r="K273" s="383"/>
      <c r="L273" s="507"/>
      <c r="M273" s="382"/>
      <c r="N273" s="418"/>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8"/>
      <c r="AM273" s="383"/>
      <c r="AN273" s="507"/>
      <c r="AO273" s="382"/>
      <c r="AP273" s="418"/>
      <c r="AQ273" s="383"/>
      <c r="AR273" s="507"/>
      <c r="AS273" s="514"/>
      <c r="AT273" s="514"/>
    </row>
    <row r="274">
      <c r="A274" s="382"/>
      <c r="B274" s="418"/>
      <c r="C274" s="383"/>
      <c r="D274" s="507"/>
      <c r="E274" s="382"/>
      <c r="F274" s="418"/>
      <c r="G274" s="383"/>
      <c r="H274" s="507"/>
      <c r="I274" s="382"/>
      <c r="J274" s="418"/>
      <c r="K274" s="383"/>
      <c r="L274" s="507"/>
      <c r="M274" s="382"/>
      <c r="N274" s="418"/>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8"/>
      <c r="AM274" s="383"/>
      <c r="AN274" s="507"/>
      <c r="AO274" s="382"/>
      <c r="AP274" s="418"/>
      <c r="AQ274" s="383"/>
      <c r="AR274" s="507"/>
      <c r="AS274" s="514"/>
      <c r="AT274" s="514"/>
    </row>
    <row r="275">
      <c r="A275" s="382"/>
      <c r="B275" s="418"/>
      <c r="C275" s="383"/>
      <c r="D275" s="507"/>
      <c r="E275" s="382"/>
      <c r="F275" s="418"/>
      <c r="G275" s="383"/>
      <c r="H275" s="507"/>
      <c r="I275" s="382"/>
      <c r="J275" s="418"/>
      <c r="K275" s="383"/>
      <c r="L275" s="507"/>
      <c r="M275" s="382"/>
      <c r="N275" s="418"/>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8"/>
      <c r="AM275" s="383"/>
      <c r="AN275" s="507"/>
      <c r="AO275" s="382"/>
      <c r="AP275" s="418"/>
      <c r="AQ275" s="383"/>
      <c r="AR275" s="507"/>
      <c r="AS275" s="514"/>
      <c r="AT275" s="514"/>
    </row>
    <row r="276">
      <c r="A276" s="382"/>
      <c r="B276" s="418"/>
      <c r="C276" s="383"/>
      <c r="D276" s="507"/>
      <c r="E276" s="382"/>
      <c r="F276" s="418"/>
      <c r="G276" s="383"/>
      <c r="H276" s="507"/>
      <c r="I276" s="382"/>
      <c r="J276" s="418"/>
      <c r="K276" s="383"/>
      <c r="L276" s="507"/>
      <c r="M276" s="382"/>
      <c r="N276" s="418"/>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8"/>
      <c r="AM276" s="383"/>
      <c r="AN276" s="507"/>
      <c r="AO276" s="382"/>
      <c r="AP276" s="418"/>
      <c r="AQ276" s="383"/>
      <c r="AR276" s="507"/>
      <c r="AS276" s="514"/>
      <c r="AT276" s="514"/>
    </row>
    <row r="277">
      <c r="A277" s="382"/>
      <c r="B277" s="418"/>
      <c r="C277" s="383"/>
      <c r="D277" s="507"/>
      <c r="E277" s="382"/>
      <c r="F277" s="418"/>
      <c r="G277" s="383"/>
      <c r="H277" s="507"/>
      <c r="I277" s="382"/>
      <c r="J277" s="418"/>
      <c r="K277" s="383"/>
      <c r="L277" s="507"/>
      <c r="M277" s="382"/>
      <c r="N277" s="418"/>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8"/>
      <c r="AM277" s="383"/>
      <c r="AN277" s="507"/>
      <c r="AO277" s="382"/>
      <c r="AP277" s="418"/>
      <c r="AQ277" s="383"/>
      <c r="AR277" s="507"/>
      <c r="AS277" s="514"/>
      <c r="AT277" s="514"/>
    </row>
    <row r="278">
      <c r="A278" s="382"/>
      <c r="B278" s="418"/>
      <c r="C278" s="383"/>
      <c r="D278" s="507"/>
      <c r="E278" s="382"/>
      <c r="F278" s="418"/>
      <c r="G278" s="383"/>
      <c r="H278" s="507"/>
      <c r="I278" s="382"/>
      <c r="J278" s="418"/>
      <c r="K278" s="383"/>
      <c r="L278" s="507"/>
      <c r="M278" s="382"/>
      <c r="N278" s="418"/>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8"/>
      <c r="AM278" s="383"/>
      <c r="AN278" s="507"/>
      <c r="AO278" s="382"/>
      <c r="AP278" s="418"/>
      <c r="AQ278" s="383"/>
      <c r="AR278" s="507"/>
      <c r="AS278" s="514"/>
      <c r="AT278" s="514"/>
    </row>
    <row r="279">
      <c r="A279" s="382"/>
      <c r="B279" s="418"/>
      <c r="C279" s="383"/>
      <c r="D279" s="507"/>
      <c r="E279" s="382"/>
      <c r="F279" s="418"/>
      <c r="G279" s="383"/>
      <c r="H279" s="507"/>
      <c r="I279" s="382"/>
      <c r="J279" s="418"/>
      <c r="K279" s="383"/>
      <c r="L279" s="507"/>
      <c r="M279" s="382"/>
      <c r="N279" s="418"/>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8"/>
      <c r="AM279" s="383"/>
      <c r="AN279" s="507"/>
      <c r="AO279" s="382"/>
      <c r="AP279" s="418"/>
      <c r="AQ279" s="383"/>
      <c r="AR279" s="507"/>
      <c r="AS279" s="514"/>
      <c r="AT279" s="514"/>
    </row>
    <row r="280">
      <c r="A280" s="382"/>
      <c r="B280" s="418"/>
      <c r="C280" s="383"/>
      <c r="D280" s="507"/>
      <c r="E280" s="382"/>
      <c r="F280" s="418"/>
      <c r="G280" s="383"/>
      <c r="H280" s="507"/>
      <c r="I280" s="382"/>
      <c r="J280" s="418"/>
      <c r="K280" s="383"/>
      <c r="L280" s="507"/>
      <c r="M280" s="382"/>
      <c r="N280" s="418"/>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8"/>
      <c r="AM280" s="383"/>
      <c r="AN280" s="507"/>
      <c r="AO280" s="382"/>
      <c r="AP280" s="418"/>
      <c r="AQ280" s="383"/>
      <c r="AR280" s="507"/>
      <c r="AS280" s="514"/>
      <c r="AT280" s="514"/>
    </row>
    <row r="281">
      <c r="A281" s="382"/>
      <c r="B281" s="418"/>
      <c r="C281" s="383"/>
      <c r="D281" s="507"/>
      <c r="E281" s="382"/>
      <c r="F281" s="418"/>
      <c r="G281" s="383"/>
      <c r="H281" s="507"/>
      <c r="I281" s="382"/>
      <c r="J281" s="418"/>
      <c r="K281" s="383"/>
      <c r="L281" s="507"/>
      <c r="M281" s="382"/>
      <c r="N281" s="418"/>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8"/>
      <c r="AM281" s="383"/>
      <c r="AN281" s="507"/>
      <c r="AO281" s="382"/>
      <c r="AP281" s="418"/>
      <c r="AQ281" s="383"/>
      <c r="AR281" s="507"/>
      <c r="AS281" s="514"/>
      <c r="AT281" s="514"/>
    </row>
    <row r="282">
      <c r="A282" s="382"/>
      <c r="B282" s="418"/>
      <c r="C282" s="383"/>
      <c r="D282" s="507"/>
      <c r="E282" s="382"/>
      <c r="F282" s="418"/>
      <c r="G282" s="383"/>
      <c r="H282" s="507"/>
      <c r="I282" s="382"/>
      <c r="J282" s="418"/>
      <c r="K282" s="383"/>
      <c r="L282" s="507"/>
      <c r="M282" s="382"/>
      <c r="N282" s="418"/>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8"/>
      <c r="AM282" s="383"/>
      <c r="AN282" s="507"/>
      <c r="AO282" s="382"/>
      <c r="AP282" s="418"/>
      <c r="AQ282" s="383"/>
      <c r="AR282" s="507"/>
      <c r="AS282" s="514"/>
      <c r="AT282" s="514"/>
    </row>
    <row r="283">
      <c r="A283" s="382"/>
      <c r="B283" s="418"/>
      <c r="C283" s="383"/>
      <c r="D283" s="507"/>
      <c r="E283" s="382"/>
      <c r="F283" s="418"/>
      <c r="G283" s="383"/>
      <c r="H283" s="507"/>
      <c r="I283" s="382"/>
      <c r="J283" s="418"/>
      <c r="K283" s="383"/>
      <c r="L283" s="507"/>
      <c r="M283" s="382"/>
      <c r="N283" s="418"/>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8"/>
      <c r="AM283" s="383"/>
      <c r="AN283" s="507"/>
      <c r="AO283" s="382"/>
      <c r="AP283" s="418"/>
      <c r="AQ283" s="383"/>
      <c r="AR283" s="507"/>
      <c r="AS283" s="514"/>
      <c r="AT283" s="514"/>
    </row>
    <row r="284">
      <c r="A284" s="382"/>
      <c r="B284" s="418"/>
      <c r="C284" s="383"/>
      <c r="D284" s="507"/>
      <c r="E284" s="382"/>
      <c r="F284" s="418"/>
      <c r="G284" s="383"/>
      <c r="H284" s="507"/>
      <c r="I284" s="382"/>
      <c r="J284" s="418"/>
      <c r="K284" s="383"/>
      <c r="L284" s="507"/>
      <c r="M284" s="382"/>
      <c r="N284" s="418"/>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8"/>
      <c r="AM284" s="383"/>
      <c r="AN284" s="507"/>
      <c r="AO284" s="382"/>
      <c r="AP284" s="418"/>
      <c r="AQ284" s="383"/>
      <c r="AR284" s="507"/>
      <c r="AS284" s="514"/>
      <c r="AT284" s="514"/>
    </row>
    <row r="285">
      <c r="A285" s="382"/>
      <c r="B285" s="418"/>
      <c r="C285" s="383"/>
      <c r="D285" s="507"/>
      <c r="E285" s="382"/>
      <c r="F285" s="418"/>
      <c r="G285" s="383"/>
      <c r="H285" s="507"/>
      <c r="I285" s="382"/>
      <c r="J285" s="418"/>
      <c r="K285" s="383"/>
      <c r="L285" s="507"/>
      <c r="M285" s="382"/>
      <c r="N285" s="418"/>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8"/>
      <c r="AM285" s="383"/>
      <c r="AN285" s="507"/>
      <c r="AO285" s="382"/>
      <c r="AP285" s="418"/>
      <c r="AQ285" s="383"/>
      <c r="AR285" s="507"/>
      <c r="AS285" s="514"/>
      <c r="AT285" s="514"/>
    </row>
    <row r="286">
      <c r="A286" s="382"/>
      <c r="B286" s="418"/>
      <c r="C286" s="383"/>
      <c r="D286" s="507"/>
      <c r="E286" s="382"/>
      <c r="F286" s="418"/>
      <c r="G286" s="383"/>
      <c r="H286" s="507"/>
      <c r="I286" s="382"/>
      <c r="J286" s="418"/>
      <c r="K286" s="383"/>
      <c r="L286" s="507"/>
      <c r="M286" s="382"/>
      <c r="N286" s="418"/>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8"/>
      <c r="AM286" s="383"/>
      <c r="AN286" s="507"/>
      <c r="AO286" s="382"/>
      <c r="AP286" s="418"/>
      <c r="AQ286" s="383"/>
      <c r="AR286" s="507"/>
      <c r="AS286" s="514"/>
      <c r="AT286" s="514"/>
    </row>
    <row r="287">
      <c r="A287" s="382"/>
      <c r="B287" s="418"/>
      <c r="C287" s="383"/>
      <c r="D287" s="507"/>
      <c r="E287" s="382"/>
      <c r="F287" s="418"/>
      <c r="G287" s="383"/>
      <c r="H287" s="507"/>
      <c r="I287" s="382"/>
      <c r="J287" s="418"/>
      <c r="K287" s="383"/>
      <c r="L287" s="507"/>
      <c r="M287" s="382"/>
      <c r="N287" s="418"/>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8"/>
      <c r="AM287" s="383"/>
      <c r="AN287" s="507"/>
      <c r="AO287" s="382"/>
      <c r="AP287" s="418"/>
      <c r="AQ287" s="383"/>
      <c r="AR287" s="507"/>
      <c r="AS287" s="514"/>
      <c r="AT287" s="514"/>
    </row>
    <row r="288">
      <c r="A288" s="382"/>
      <c r="B288" s="418"/>
      <c r="C288" s="383"/>
      <c r="D288" s="507"/>
      <c r="E288" s="382"/>
      <c r="F288" s="418"/>
      <c r="G288" s="383"/>
      <c r="H288" s="507"/>
      <c r="I288" s="382"/>
      <c r="J288" s="418"/>
      <c r="K288" s="383"/>
      <c r="L288" s="507"/>
      <c r="M288" s="382"/>
      <c r="N288" s="418"/>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8"/>
      <c r="AM288" s="383"/>
      <c r="AN288" s="507"/>
      <c r="AO288" s="382"/>
      <c r="AP288" s="418"/>
      <c r="AQ288" s="383"/>
      <c r="AR288" s="507"/>
      <c r="AS288" s="514"/>
      <c r="AT288" s="514"/>
    </row>
    <row r="289">
      <c r="A289" s="382"/>
      <c r="B289" s="418"/>
      <c r="C289" s="383"/>
      <c r="D289" s="507"/>
      <c r="E289" s="382"/>
      <c r="F289" s="418"/>
      <c r="G289" s="383"/>
      <c r="H289" s="507"/>
      <c r="I289" s="382"/>
      <c r="J289" s="418"/>
      <c r="K289" s="383"/>
      <c r="L289" s="507"/>
      <c r="M289" s="382"/>
      <c r="N289" s="418"/>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8"/>
      <c r="AM289" s="383"/>
      <c r="AN289" s="507"/>
      <c r="AO289" s="382"/>
      <c r="AP289" s="418"/>
      <c r="AQ289" s="383"/>
      <c r="AR289" s="507"/>
      <c r="AS289" s="514"/>
      <c r="AT289" s="514"/>
    </row>
    <row r="290">
      <c r="A290" s="382"/>
      <c r="B290" s="418"/>
      <c r="C290" s="383"/>
      <c r="D290" s="507"/>
      <c r="E290" s="382"/>
      <c r="F290" s="418"/>
      <c r="G290" s="383"/>
      <c r="H290" s="507"/>
      <c r="I290" s="382"/>
      <c r="J290" s="418"/>
      <c r="K290" s="383"/>
      <c r="L290" s="507"/>
      <c r="M290" s="382"/>
      <c r="N290" s="418"/>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8"/>
      <c r="AM290" s="383"/>
      <c r="AN290" s="507"/>
      <c r="AO290" s="382"/>
      <c r="AP290" s="418"/>
      <c r="AQ290" s="383"/>
      <c r="AR290" s="507"/>
      <c r="AS290" s="514"/>
      <c r="AT290" s="514"/>
    </row>
    <row r="291">
      <c r="A291" s="382"/>
      <c r="B291" s="418"/>
      <c r="C291" s="383"/>
      <c r="D291" s="507"/>
      <c r="E291" s="382"/>
      <c r="F291" s="418"/>
      <c r="G291" s="383"/>
      <c r="H291" s="507"/>
      <c r="I291" s="382"/>
      <c r="J291" s="418"/>
      <c r="K291" s="383"/>
      <c r="L291" s="507"/>
      <c r="M291" s="382"/>
      <c r="N291" s="418"/>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8"/>
      <c r="AM291" s="383"/>
      <c r="AN291" s="507"/>
      <c r="AO291" s="382"/>
      <c r="AP291" s="418"/>
      <c r="AQ291" s="383"/>
      <c r="AR291" s="507"/>
      <c r="AS291" s="514"/>
      <c r="AT291" s="514"/>
    </row>
    <row r="292">
      <c r="A292" s="382"/>
      <c r="B292" s="418"/>
      <c r="C292" s="383"/>
      <c r="D292" s="507"/>
      <c r="E292" s="382"/>
      <c r="F292" s="418"/>
      <c r="G292" s="383"/>
      <c r="H292" s="507"/>
      <c r="I292" s="382"/>
      <c r="J292" s="418"/>
      <c r="K292" s="383"/>
      <c r="L292" s="507"/>
      <c r="M292" s="382"/>
      <c r="N292" s="418"/>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8"/>
      <c r="AM292" s="383"/>
      <c r="AN292" s="507"/>
      <c r="AO292" s="382"/>
      <c r="AP292" s="418"/>
      <c r="AQ292" s="383"/>
      <c r="AR292" s="507"/>
      <c r="AS292" s="514"/>
      <c r="AT292" s="514"/>
    </row>
    <row r="293">
      <c r="A293" s="382"/>
      <c r="B293" s="418"/>
      <c r="C293" s="383"/>
      <c r="D293" s="507"/>
      <c r="E293" s="382"/>
      <c r="F293" s="418"/>
      <c r="G293" s="383"/>
      <c r="H293" s="507"/>
      <c r="I293" s="382"/>
      <c r="J293" s="418"/>
      <c r="K293" s="383"/>
      <c r="L293" s="507"/>
      <c r="M293" s="382"/>
      <c r="N293" s="418"/>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8"/>
      <c r="AM293" s="383"/>
      <c r="AN293" s="507"/>
      <c r="AO293" s="382"/>
      <c r="AP293" s="418"/>
      <c r="AQ293" s="383"/>
      <c r="AR293" s="507"/>
      <c r="AS293" s="514"/>
      <c r="AT293" s="514"/>
    </row>
    <row r="294">
      <c r="A294" s="382"/>
      <c r="B294" s="418"/>
      <c r="C294" s="383"/>
      <c r="D294" s="507"/>
      <c r="E294" s="382"/>
      <c r="F294" s="418"/>
      <c r="G294" s="383"/>
      <c r="H294" s="507"/>
      <c r="I294" s="382"/>
      <c r="J294" s="418"/>
      <c r="K294" s="383"/>
      <c r="L294" s="507"/>
      <c r="M294" s="382"/>
      <c r="N294" s="418"/>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8"/>
      <c r="AM294" s="383"/>
      <c r="AN294" s="507"/>
      <c r="AO294" s="382"/>
      <c r="AP294" s="418"/>
      <c r="AQ294" s="383"/>
      <c r="AR294" s="507"/>
      <c r="AS294" s="514"/>
      <c r="AT294" s="514"/>
    </row>
    <row r="295">
      <c r="A295" s="382"/>
      <c r="B295" s="418"/>
      <c r="C295" s="383"/>
      <c r="D295" s="507"/>
      <c r="E295" s="382"/>
      <c r="F295" s="418"/>
      <c r="G295" s="383"/>
      <c r="H295" s="507"/>
      <c r="I295" s="382"/>
      <c r="J295" s="418"/>
      <c r="K295" s="383"/>
      <c r="L295" s="507"/>
      <c r="M295" s="382"/>
      <c r="N295" s="418"/>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8"/>
      <c r="AM295" s="383"/>
      <c r="AN295" s="507"/>
      <c r="AO295" s="382"/>
      <c r="AP295" s="418"/>
      <c r="AQ295" s="383"/>
      <c r="AR295" s="507"/>
      <c r="AS295" s="514"/>
      <c r="AT295" s="514"/>
    </row>
    <row r="296">
      <c r="A296" s="382"/>
      <c r="B296" s="418"/>
      <c r="C296" s="383"/>
      <c r="D296" s="507"/>
      <c r="E296" s="382"/>
      <c r="F296" s="418"/>
      <c r="G296" s="383"/>
      <c r="H296" s="507"/>
      <c r="I296" s="382"/>
      <c r="J296" s="418"/>
      <c r="K296" s="383"/>
      <c r="L296" s="507"/>
      <c r="M296" s="382"/>
      <c r="N296" s="418"/>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8"/>
      <c r="AM296" s="383"/>
      <c r="AN296" s="507"/>
      <c r="AO296" s="382"/>
      <c r="AP296" s="418"/>
      <c r="AQ296" s="383"/>
      <c r="AR296" s="507"/>
      <c r="AS296" s="514"/>
      <c r="AT296" s="514"/>
    </row>
    <row r="297">
      <c r="A297" s="382"/>
      <c r="B297" s="418"/>
      <c r="C297" s="383"/>
      <c r="D297" s="507"/>
      <c r="E297" s="382"/>
      <c r="F297" s="418"/>
      <c r="G297" s="383"/>
      <c r="H297" s="507"/>
      <c r="I297" s="382"/>
      <c r="J297" s="418"/>
      <c r="K297" s="383"/>
      <c r="L297" s="507"/>
      <c r="M297" s="382"/>
      <c r="N297" s="418"/>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8"/>
      <c r="AM297" s="383"/>
      <c r="AN297" s="507"/>
      <c r="AO297" s="382"/>
      <c r="AP297" s="418"/>
      <c r="AQ297" s="383"/>
      <c r="AR297" s="507"/>
      <c r="AS297" s="514"/>
      <c r="AT297" s="514"/>
    </row>
    <row r="298">
      <c r="A298" s="382"/>
      <c r="B298" s="418"/>
      <c r="C298" s="383"/>
      <c r="D298" s="507"/>
      <c r="E298" s="382"/>
      <c r="F298" s="418"/>
      <c r="G298" s="383"/>
      <c r="H298" s="507"/>
      <c r="I298" s="382"/>
      <c r="J298" s="418"/>
      <c r="K298" s="383"/>
      <c r="L298" s="507"/>
      <c r="M298" s="382"/>
      <c r="N298" s="418"/>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8"/>
      <c r="AM298" s="383"/>
      <c r="AN298" s="507"/>
      <c r="AO298" s="382"/>
      <c r="AP298" s="418"/>
      <c r="AQ298" s="383"/>
      <c r="AR298" s="507"/>
      <c r="AS298" s="514"/>
      <c r="AT298" s="514"/>
    </row>
    <row r="299">
      <c r="A299" s="382"/>
      <c r="B299" s="418"/>
      <c r="C299" s="383"/>
      <c r="D299" s="507"/>
      <c r="E299" s="382"/>
      <c r="F299" s="418"/>
      <c r="G299" s="383"/>
      <c r="H299" s="507"/>
      <c r="I299" s="382"/>
      <c r="J299" s="418"/>
      <c r="K299" s="383"/>
      <c r="L299" s="507"/>
      <c r="M299" s="382"/>
      <c r="N299" s="418"/>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8"/>
      <c r="AM299" s="383"/>
      <c r="AN299" s="507"/>
      <c r="AO299" s="382"/>
      <c r="AP299" s="418"/>
      <c r="AQ299" s="383"/>
      <c r="AR299" s="507"/>
      <c r="AS299" s="514"/>
      <c r="AT299" s="514"/>
    </row>
    <row r="300">
      <c r="A300" s="382"/>
      <c r="B300" s="418"/>
      <c r="C300" s="383"/>
      <c r="D300" s="507"/>
      <c r="E300" s="382"/>
      <c r="F300" s="418"/>
      <c r="G300" s="383"/>
      <c r="H300" s="507"/>
      <c r="I300" s="382"/>
      <c r="J300" s="418"/>
      <c r="K300" s="383"/>
      <c r="L300" s="507"/>
      <c r="M300" s="382"/>
      <c r="N300" s="418"/>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8"/>
      <c r="AM300" s="383"/>
      <c r="AN300" s="507"/>
      <c r="AO300" s="382"/>
      <c r="AP300" s="418"/>
      <c r="AQ300" s="383"/>
      <c r="AR300" s="507"/>
      <c r="AS300" s="514"/>
      <c r="AT300" s="514"/>
    </row>
    <row r="301">
      <c r="A301" s="382"/>
      <c r="B301" s="418"/>
      <c r="C301" s="383"/>
      <c r="D301" s="507"/>
      <c r="E301" s="382"/>
      <c r="F301" s="418"/>
      <c r="G301" s="383"/>
      <c r="H301" s="507"/>
      <c r="I301" s="382"/>
      <c r="J301" s="418"/>
      <c r="K301" s="383"/>
      <c r="L301" s="507"/>
      <c r="M301" s="382"/>
      <c r="N301" s="418"/>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8"/>
      <c r="AM301" s="383"/>
      <c r="AN301" s="507"/>
      <c r="AO301" s="382"/>
      <c r="AP301" s="418"/>
      <c r="AQ301" s="383"/>
      <c r="AR301" s="507"/>
      <c r="AS301" s="514"/>
      <c r="AT301" s="514"/>
    </row>
    <row r="302">
      <c r="A302" s="382"/>
      <c r="B302" s="418"/>
      <c r="C302" s="383"/>
      <c r="D302" s="507"/>
      <c r="E302" s="382"/>
      <c r="F302" s="418"/>
      <c r="G302" s="383"/>
      <c r="H302" s="507"/>
      <c r="I302" s="382"/>
      <c r="J302" s="418"/>
      <c r="K302" s="383"/>
      <c r="L302" s="507"/>
      <c r="M302" s="382"/>
      <c r="N302" s="418"/>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8"/>
      <c r="AM302" s="383"/>
      <c r="AN302" s="507"/>
      <c r="AO302" s="382"/>
      <c r="AP302" s="418"/>
      <c r="AQ302" s="383"/>
      <c r="AR302" s="507"/>
      <c r="AS302" s="514"/>
      <c r="AT302" s="514"/>
    </row>
    <row r="303">
      <c r="A303" s="382"/>
      <c r="B303" s="418"/>
      <c r="C303" s="383"/>
      <c r="D303" s="507"/>
      <c r="E303" s="382"/>
      <c r="F303" s="418"/>
      <c r="G303" s="383"/>
      <c r="H303" s="507"/>
      <c r="I303" s="382"/>
      <c r="J303" s="418"/>
      <c r="K303" s="383"/>
      <c r="L303" s="507"/>
      <c r="M303" s="382"/>
      <c r="N303" s="418"/>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8"/>
      <c r="AM303" s="383"/>
      <c r="AN303" s="507"/>
      <c r="AO303" s="382"/>
      <c r="AP303" s="418"/>
      <c r="AQ303" s="383"/>
      <c r="AR303" s="507"/>
      <c r="AS303" s="514"/>
      <c r="AT303" s="514"/>
    </row>
    <row r="304">
      <c r="A304" s="382"/>
      <c r="B304" s="418"/>
      <c r="C304" s="383"/>
      <c r="D304" s="507"/>
      <c r="E304" s="382"/>
      <c r="F304" s="418"/>
      <c r="G304" s="383"/>
      <c r="H304" s="507"/>
      <c r="I304" s="382"/>
      <c r="J304" s="418"/>
      <c r="K304" s="383"/>
      <c r="L304" s="507"/>
      <c r="M304" s="382"/>
      <c r="N304" s="418"/>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8"/>
      <c r="AM304" s="383"/>
      <c r="AN304" s="507"/>
      <c r="AO304" s="382"/>
      <c r="AP304" s="418"/>
      <c r="AQ304" s="383"/>
      <c r="AR304" s="507"/>
      <c r="AS304" s="514"/>
      <c r="AT304" s="514"/>
    </row>
    <row r="305">
      <c r="A305" s="382"/>
      <c r="B305" s="418"/>
      <c r="C305" s="383"/>
      <c r="D305" s="507"/>
      <c r="E305" s="382"/>
      <c r="F305" s="418"/>
      <c r="G305" s="383"/>
      <c r="H305" s="507"/>
      <c r="I305" s="382"/>
      <c r="J305" s="418"/>
      <c r="K305" s="383"/>
      <c r="L305" s="507"/>
      <c r="M305" s="382"/>
      <c r="N305" s="418"/>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8"/>
      <c r="AM305" s="383"/>
      <c r="AN305" s="507"/>
      <c r="AO305" s="382"/>
      <c r="AP305" s="418"/>
      <c r="AQ305" s="383"/>
      <c r="AR305" s="507"/>
      <c r="AS305" s="514"/>
      <c r="AT305" s="514"/>
    </row>
    <row r="306">
      <c r="A306" s="382"/>
      <c r="B306" s="418"/>
      <c r="C306" s="383"/>
      <c r="D306" s="507"/>
      <c r="E306" s="382"/>
      <c r="F306" s="418"/>
      <c r="G306" s="383"/>
      <c r="H306" s="507"/>
      <c r="I306" s="382"/>
      <c r="J306" s="418"/>
      <c r="K306" s="383"/>
      <c r="L306" s="507"/>
      <c r="M306" s="382"/>
      <c r="N306" s="418"/>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8"/>
      <c r="AM306" s="383"/>
      <c r="AN306" s="507"/>
      <c r="AO306" s="382"/>
      <c r="AP306" s="418"/>
      <c r="AQ306" s="383"/>
      <c r="AR306" s="507"/>
      <c r="AS306" s="514"/>
      <c r="AT306" s="514"/>
    </row>
    <row r="307">
      <c r="A307" s="382"/>
      <c r="B307" s="418"/>
      <c r="C307" s="383"/>
      <c r="D307" s="507"/>
      <c r="E307" s="382"/>
      <c r="F307" s="418"/>
      <c r="G307" s="383"/>
      <c r="H307" s="507"/>
      <c r="I307" s="382"/>
      <c r="J307" s="418"/>
      <c r="K307" s="383"/>
      <c r="L307" s="507"/>
      <c r="M307" s="382"/>
      <c r="N307" s="418"/>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8"/>
      <c r="AM307" s="383"/>
      <c r="AN307" s="507"/>
      <c r="AO307" s="382"/>
      <c r="AP307" s="418"/>
      <c r="AQ307" s="383"/>
      <c r="AR307" s="507"/>
      <c r="AS307" s="514"/>
      <c r="AT307" s="514"/>
    </row>
    <row r="308">
      <c r="A308" s="382"/>
      <c r="B308" s="418"/>
      <c r="C308" s="383"/>
      <c r="D308" s="507"/>
      <c r="E308" s="382"/>
      <c r="F308" s="418"/>
      <c r="G308" s="383"/>
      <c r="H308" s="507"/>
      <c r="I308" s="382"/>
      <c r="J308" s="418"/>
      <c r="K308" s="383"/>
      <c r="L308" s="507"/>
      <c r="M308" s="382"/>
      <c r="N308" s="418"/>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8"/>
      <c r="AM308" s="383"/>
      <c r="AN308" s="507"/>
      <c r="AO308" s="382"/>
      <c r="AP308" s="418"/>
      <c r="AQ308" s="383"/>
      <c r="AR308" s="507"/>
      <c r="AS308" s="514"/>
      <c r="AT308" s="514"/>
    </row>
    <row r="309">
      <c r="A309" s="382"/>
      <c r="B309" s="418"/>
      <c r="C309" s="383"/>
      <c r="D309" s="507"/>
      <c r="E309" s="382"/>
      <c r="F309" s="418"/>
      <c r="G309" s="383"/>
      <c r="H309" s="507"/>
      <c r="I309" s="382"/>
      <c r="J309" s="418"/>
      <c r="K309" s="383"/>
      <c r="L309" s="507"/>
      <c r="M309" s="382"/>
      <c r="N309" s="418"/>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8"/>
      <c r="AM309" s="383"/>
      <c r="AN309" s="507"/>
      <c r="AO309" s="382"/>
      <c r="AP309" s="418"/>
      <c r="AQ309" s="383"/>
      <c r="AR309" s="507"/>
      <c r="AS309" s="514"/>
      <c r="AT309" s="514"/>
    </row>
    <row r="310">
      <c r="A310" s="382"/>
      <c r="B310" s="418"/>
      <c r="C310" s="383"/>
      <c r="D310" s="507"/>
      <c r="E310" s="382"/>
      <c r="F310" s="418"/>
      <c r="G310" s="383"/>
      <c r="H310" s="507"/>
      <c r="I310" s="382"/>
      <c r="J310" s="418"/>
      <c r="K310" s="383"/>
      <c r="L310" s="507"/>
      <c r="M310" s="382"/>
      <c r="N310" s="418"/>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8"/>
      <c r="AM310" s="383"/>
      <c r="AN310" s="507"/>
      <c r="AO310" s="382"/>
      <c r="AP310" s="418"/>
      <c r="AQ310" s="383"/>
      <c r="AR310" s="507"/>
      <c r="AS310" s="514"/>
      <c r="AT310" s="514"/>
    </row>
    <row r="311">
      <c r="A311" s="382"/>
      <c r="B311" s="418"/>
      <c r="C311" s="383"/>
      <c r="D311" s="507"/>
      <c r="E311" s="382"/>
      <c r="F311" s="418"/>
      <c r="G311" s="383"/>
      <c r="H311" s="507"/>
      <c r="I311" s="382"/>
      <c r="J311" s="418"/>
      <c r="K311" s="383"/>
      <c r="L311" s="507"/>
      <c r="M311" s="382"/>
      <c r="N311" s="418"/>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8"/>
      <c r="AM311" s="383"/>
      <c r="AN311" s="507"/>
      <c r="AO311" s="382"/>
      <c r="AP311" s="418"/>
      <c r="AQ311" s="383"/>
      <c r="AR311" s="507"/>
      <c r="AS311" s="514"/>
      <c r="AT311" s="514"/>
    </row>
    <row r="312">
      <c r="A312" s="382"/>
      <c r="B312" s="418"/>
      <c r="C312" s="383"/>
      <c r="D312" s="507"/>
      <c r="E312" s="382"/>
      <c r="F312" s="418"/>
      <c r="G312" s="383"/>
      <c r="H312" s="507"/>
      <c r="I312" s="382"/>
      <c r="J312" s="418"/>
      <c r="K312" s="383"/>
      <c r="L312" s="507"/>
      <c r="M312" s="382"/>
      <c r="N312" s="418"/>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8"/>
      <c r="AM312" s="383"/>
      <c r="AN312" s="507"/>
      <c r="AO312" s="382"/>
      <c r="AP312" s="418"/>
      <c r="AQ312" s="383"/>
      <c r="AR312" s="507"/>
      <c r="AS312" s="514"/>
      <c r="AT312" s="514"/>
    </row>
    <row r="313">
      <c r="A313" s="382"/>
      <c r="B313" s="418"/>
      <c r="C313" s="383"/>
      <c r="D313" s="507"/>
      <c r="E313" s="382"/>
      <c r="F313" s="418"/>
      <c r="G313" s="383"/>
      <c r="H313" s="507"/>
      <c r="I313" s="382"/>
      <c r="J313" s="418"/>
      <c r="K313" s="383"/>
      <c r="L313" s="507"/>
      <c r="M313" s="382"/>
      <c r="N313" s="418"/>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8"/>
      <c r="AM313" s="383"/>
      <c r="AN313" s="507"/>
      <c r="AO313" s="382"/>
      <c r="AP313" s="418"/>
      <c r="AQ313" s="383"/>
      <c r="AR313" s="507"/>
      <c r="AS313" s="514"/>
      <c r="AT313" s="514"/>
    </row>
    <row r="314">
      <c r="A314" s="382"/>
      <c r="B314" s="418"/>
      <c r="C314" s="383"/>
      <c r="D314" s="507"/>
      <c r="E314" s="382"/>
      <c r="F314" s="418"/>
      <c r="G314" s="383"/>
      <c r="H314" s="507"/>
      <c r="I314" s="382"/>
      <c r="J314" s="418"/>
      <c r="K314" s="383"/>
      <c r="L314" s="507"/>
      <c r="M314" s="382"/>
      <c r="N314" s="418"/>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8"/>
      <c r="AM314" s="383"/>
      <c r="AN314" s="507"/>
      <c r="AO314" s="382"/>
      <c r="AP314" s="418"/>
      <c r="AQ314" s="383"/>
      <c r="AR314" s="507"/>
      <c r="AS314" s="514"/>
      <c r="AT314" s="514"/>
    </row>
    <row r="315">
      <c r="A315" s="382"/>
      <c r="B315" s="418"/>
      <c r="C315" s="383"/>
      <c r="D315" s="507"/>
      <c r="E315" s="382"/>
      <c r="F315" s="418"/>
      <c r="G315" s="383"/>
      <c r="H315" s="507"/>
      <c r="I315" s="382"/>
      <c r="J315" s="418"/>
      <c r="K315" s="383"/>
      <c r="L315" s="507"/>
      <c r="M315" s="382"/>
      <c r="N315" s="418"/>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8"/>
      <c r="AM315" s="383"/>
      <c r="AN315" s="507"/>
      <c r="AO315" s="382"/>
      <c r="AP315" s="418"/>
      <c r="AQ315" s="383"/>
      <c r="AR315" s="507"/>
      <c r="AS315" s="514"/>
      <c r="AT315" s="514"/>
    </row>
    <row r="316">
      <c r="A316" s="382"/>
      <c r="B316" s="418"/>
      <c r="C316" s="383"/>
      <c r="D316" s="507"/>
      <c r="E316" s="382"/>
      <c r="F316" s="418"/>
      <c r="G316" s="383"/>
      <c r="H316" s="507"/>
      <c r="I316" s="382"/>
      <c r="J316" s="418"/>
      <c r="K316" s="383"/>
      <c r="L316" s="507"/>
      <c r="M316" s="382"/>
      <c r="N316" s="418"/>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8"/>
      <c r="AM316" s="383"/>
      <c r="AN316" s="507"/>
      <c r="AO316" s="382"/>
      <c r="AP316" s="418"/>
      <c r="AQ316" s="383"/>
      <c r="AR316" s="507"/>
      <c r="AS316" s="514"/>
      <c r="AT316" s="514"/>
    </row>
    <row r="317">
      <c r="A317" s="382"/>
      <c r="B317" s="418"/>
      <c r="C317" s="383"/>
      <c r="D317" s="507"/>
      <c r="E317" s="382"/>
      <c r="F317" s="418"/>
      <c r="G317" s="383"/>
      <c r="H317" s="507"/>
      <c r="I317" s="382"/>
      <c r="J317" s="418"/>
      <c r="K317" s="383"/>
      <c r="L317" s="507"/>
      <c r="M317" s="382"/>
      <c r="N317" s="418"/>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8"/>
      <c r="AM317" s="383"/>
      <c r="AN317" s="507"/>
      <c r="AO317" s="382"/>
      <c r="AP317" s="418"/>
      <c r="AQ317" s="383"/>
      <c r="AR317" s="507"/>
      <c r="AS317" s="514"/>
      <c r="AT317" s="514"/>
    </row>
    <row r="318">
      <c r="A318" s="382"/>
      <c r="B318" s="418"/>
      <c r="C318" s="383"/>
      <c r="D318" s="507"/>
      <c r="E318" s="382"/>
      <c r="F318" s="418"/>
      <c r="G318" s="383"/>
      <c r="H318" s="507"/>
      <c r="I318" s="382"/>
      <c r="J318" s="418"/>
      <c r="K318" s="383"/>
      <c r="L318" s="507"/>
      <c r="M318" s="382"/>
      <c r="N318" s="418"/>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8"/>
      <c r="AM318" s="383"/>
      <c r="AN318" s="507"/>
      <c r="AO318" s="382"/>
      <c r="AP318" s="418"/>
      <c r="AQ318" s="383"/>
      <c r="AR318" s="507"/>
      <c r="AS318" s="514"/>
      <c r="AT318" s="514"/>
    </row>
    <row r="319">
      <c r="A319" s="382"/>
      <c r="B319" s="418"/>
      <c r="C319" s="383"/>
      <c r="D319" s="507"/>
      <c r="E319" s="382"/>
      <c r="F319" s="418"/>
      <c r="G319" s="383"/>
      <c r="H319" s="507"/>
      <c r="I319" s="382"/>
      <c r="J319" s="418"/>
      <c r="K319" s="383"/>
      <c r="L319" s="507"/>
      <c r="M319" s="382"/>
      <c r="N319" s="418"/>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8"/>
      <c r="AM319" s="383"/>
      <c r="AN319" s="507"/>
      <c r="AO319" s="382"/>
      <c r="AP319" s="418"/>
      <c r="AQ319" s="383"/>
      <c r="AR319" s="507"/>
      <c r="AS319" s="514"/>
      <c r="AT319" s="514"/>
    </row>
    <row r="320">
      <c r="A320" s="382"/>
      <c r="B320" s="418"/>
      <c r="C320" s="383"/>
      <c r="D320" s="507"/>
      <c r="E320" s="382"/>
      <c r="F320" s="418"/>
      <c r="G320" s="383"/>
      <c r="H320" s="507"/>
      <c r="I320" s="382"/>
      <c r="J320" s="418"/>
      <c r="K320" s="383"/>
      <c r="L320" s="507"/>
      <c r="M320" s="382"/>
      <c r="N320" s="418"/>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8"/>
      <c r="AM320" s="383"/>
      <c r="AN320" s="507"/>
      <c r="AO320" s="382"/>
      <c r="AP320" s="418"/>
      <c r="AQ320" s="383"/>
      <c r="AR320" s="507"/>
      <c r="AS320" s="514"/>
      <c r="AT320" s="514"/>
    </row>
    <row r="321">
      <c r="A321" s="382"/>
      <c r="B321" s="418"/>
      <c r="C321" s="383"/>
      <c r="D321" s="507"/>
      <c r="E321" s="382"/>
      <c r="F321" s="418"/>
      <c r="G321" s="383"/>
      <c r="H321" s="507"/>
      <c r="I321" s="382"/>
      <c r="J321" s="418"/>
      <c r="K321" s="383"/>
      <c r="L321" s="507"/>
      <c r="M321" s="382"/>
      <c r="N321" s="418"/>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8"/>
      <c r="AM321" s="383"/>
      <c r="AN321" s="507"/>
      <c r="AO321" s="382"/>
      <c r="AP321" s="418"/>
      <c r="AQ321" s="383"/>
      <c r="AR321" s="507"/>
      <c r="AS321" s="514"/>
      <c r="AT321" s="514"/>
    </row>
    <row r="322">
      <c r="A322" s="382"/>
      <c r="B322" s="418"/>
      <c r="C322" s="383"/>
      <c r="D322" s="507"/>
      <c r="E322" s="382"/>
      <c r="F322" s="418"/>
      <c r="G322" s="383"/>
      <c r="H322" s="507"/>
      <c r="I322" s="382"/>
      <c r="J322" s="418"/>
      <c r="K322" s="383"/>
      <c r="L322" s="507"/>
      <c r="M322" s="382"/>
      <c r="N322" s="418"/>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8"/>
      <c r="AM322" s="383"/>
      <c r="AN322" s="507"/>
      <c r="AO322" s="382"/>
      <c r="AP322" s="418"/>
      <c r="AQ322" s="383"/>
      <c r="AR322" s="507"/>
      <c r="AS322" s="514"/>
      <c r="AT322" s="514"/>
    </row>
    <row r="323">
      <c r="A323" s="382"/>
      <c r="B323" s="418"/>
      <c r="C323" s="383"/>
      <c r="D323" s="507"/>
      <c r="E323" s="382"/>
      <c r="F323" s="418"/>
      <c r="G323" s="383"/>
      <c r="H323" s="507"/>
      <c r="I323" s="382"/>
      <c r="J323" s="418"/>
      <c r="K323" s="383"/>
      <c r="L323" s="507"/>
      <c r="M323" s="382"/>
      <c r="N323" s="418"/>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8"/>
      <c r="AM323" s="383"/>
      <c r="AN323" s="507"/>
      <c r="AO323" s="382"/>
      <c r="AP323" s="418"/>
      <c r="AQ323" s="383"/>
      <c r="AR323" s="507"/>
      <c r="AS323" s="514"/>
      <c r="AT323" s="514"/>
    </row>
    <row r="324">
      <c r="A324" s="382"/>
      <c r="B324" s="418"/>
      <c r="C324" s="383"/>
      <c r="D324" s="507"/>
      <c r="E324" s="382"/>
      <c r="F324" s="418"/>
      <c r="G324" s="383"/>
      <c r="H324" s="507"/>
      <c r="I324" s="382"/>
      <c r="J324" s="418"/>
      <c r="K324" s="383"/>
      <c r="L324" s="507"/>
      <c r="M324" s="382"/>
      <c r="N324" s="418"/>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8"/>
      <c r="AM324" s="383"/>
      <c r="AN324" s="507"/>
      <c r="AO324" s="382"/>
      <c r="AP324" s="418"/>
      <c r="AQ324" s="383"/>
      <c r="AR324" s="507"/>
      <c r="AS324" s="514"/>
      <c r="AT324" s="514"/>
    </row>
    <row r="325">
      <c r="A325" s="382"/>
      <c r="B325" s="418"/>
      <c r="C325" s="383"/>
      <c r="D325" s="507"/>
      <c r="E325" s="382"/>
      <c r="F325" s="418"/>
      <c r="G325" s="383"/>
      <c r="H325" s="507"/>
      <c r="I325" s="382"/>
      <c r="J325" s="418"/>
      <c r="K325" s="383"/>
      <c r="L325" s="507"/>
      <c r="M325" s="382"/>
      <c r="N325" s="418"/>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8"/>
      <c r="AM325" s="383"/>
      <c r="AN325" s="507"/>
      <c r="AO325" s="382"/>
      <c r="AP325" s="418"/>
      <c r="AQ325" s="383"/>
      <c r="AR325" s="507"/>
      <c r="AS325" s="514"/>
      <c r="AT325" s="514"/>
    </row>
    <row r="326">
      <c r="A326" s="382"/>
      <c r="B326" s="418"/>
      <c r="C326" s="383"/>
      <c r="D326" s="507"/>
      <c r="E326" s="382"/>
      <c r="F326" s="418"/>
      <c r="G326" s="383"/>
      <c r="H326" s="507"/>
      <c r="I326" s="382"/>
      <c r="J326" s="418"/>
      <c r="K326" s="383"/>
      <c r="L326" s="507"/>
      <c r="M326" s="382"/>
      <c r="N326" s="418"/>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8"/>
      <c r="AM326" s="383"/>
      <c r="AN326" s="507"/>
      <c r="AO326" s="382"/>
      <c r="AP326" s="418"/>
      <c r="AQ326" s="383"/>
      <c r="AR326" s="507"/>
      <c r="AS326" s="514"/>
      <c r="AT326" s="514"/>
    </row>
    <row r="327">
      <c r="A327" s="382"/>
      <c r="B327" s="418"/>
      <c r="C327" s="383"/>
      <c r="D327" s="507"/>
      <c r="E327" s="382"/>
      <c r="F327" s="418"/>
      <c r="G327" s="383"/>
      <c r="H327" s="507"/>
      <c r="I327" s="382"/>
      <c r="J327" s="418"/>
      <c r="K327" s="383"/>
      <c r="L327" s="507"/>
      <c r="M327" s="382"/>
      <c r="N327" s="418"/>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8"/>
      <c r="AM327" s="383"/>
      <c r="AN327" s="507"/>
      <c r="AO327" s="382"/>
      <c r="AP327" s="418"/>
      <c r="AQ327" s="383"/>
      <c r="AR327" s="507"/>
      <c r="AS327" s="514"/>
      <c r="AT327" s="514"/>
    </row>
    <row r="328">
      <c r="A328" s="382"/>
      <c r="B328" s="418"/>
      <c r="C328" s="383"/>
      <c r="D328" s="507"/>
      <c r="E328" s="382"/>
      <c r="F328" s="418"/>
      <c r="G328" s="383"/>
      <c r="H328" s="507"/>
      <c r="I328" s="382"/>
      <c r="J328" s="418"/>
      <c r="K328" s="383"/>
      <c r="L328" s="507"/>
      <c r="M328" s="382"/>
      <c r="N328" s="418"/>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8"/>
      <c r="AM328" s="383"/>
      <c r="AN328" s="507"/>
      <c r="AO328" s="382"/>
      <c r="AP328" s="418"/>
      <c r="AQ328" s="383"/>
      <c r="AR328" s="507"/>
      <c r="AS328" s="514"/>
      <c r="AT328" s="514"/>
    </row>
    <row r="329">
      <c r="A329" s="382"/>
      <c r="B329" s="418"/>
      <c r="C329" s="383"/>
      <c r="D329" s="507"/>
      <c r="E329" s="382"/>
      <c r="F329" s="418"/>
      <c r="G329" s="383"/>
      <c r="H329" s="507"/>
      <c r="I329" s="382"/>
      <c r="J329" s="418"/>
      <c r="K329" s="383"/>
      <c r="L329" s="507"/>
      <c r="M329" s="382"/>
      <c r="N329" s="418"/>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8"/>
      <c r="AM329" s="383"/>
      <c r="AN329" s="507"/>
      <c r="AO329" s="382"/>
      <c r="AP329" s="418"/>
      <c r="AQ329" s="383"/>
      <c r="AR329" s="507"/>
      <c r="AS329" s="514"/>
      <c r="AT329" s="514"/>
    </row>
    <row r="330">
      <c r="A330" s="382"/>
      <c r="B330" s="418"/>
      <c r="C330" s="383"/>
      <c r="D330" s="507"/>
      <c r="E330" s="382"/>
      <c r="F330" s="418"/>
      <c r="G330" s="383"/>
      <c r="H330" s="507"/>
      <c r="I330" s="382"/>
      <c r="J330" s="418"/>
      <c r="K330" s="383"/>
      <c r="L330" s="507"/>
      <c r="M330" s="382"/>
      <c r="N330" s="418"/>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8"/>
      <c r="AM330" s="383"/>
      <c r="AN330" s="507"/>
      <c r="AO330" s="382"/>
      <c r="AP330" s="418"/>
      <c r="AQ330" s="383"/>
      <c r="AR330" s="507"/>
      <c r="AS330" s="514"/>
      <c r="AT330" s="514"/>
    </row>
    <row r="331">
      <c r="A331" s="382"/>
      <c r="B331" s="418"/>
      <c r="C331" s="383"/>
      <c r="D331" s="507"/>
      <c r="E331" s="382"/>
      <c r="F331" s="418"/>
      <c r="G331" s="383"/>
      <c r="H331" s="507"/>
      <c r="I331" s="382"/>
      <c r="J331" s="418"/>
      <c r="K331" s="383"/>
      <c r="L331" s="507"/>
      <c r="M331" s="382"/>
      <c r="N331" s="418"/>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8"/>
      <c r="AM331" s="383"/>
      <c r="AN331" s="507"/>
      <c r="AO331" s="382"/>
      <c r="AP331" s="418"/>
      <c r="AQ331" s="383"/>
      <c r="AR331" s="507"/>
      <c r="AS331" s="514"/>
      <c r="AT331" s="514"/>
    </row>
    <row r="332">
      <c r="A332" s="382"/>
      <c r="B332" s="418"/>
      <c r="C332" s="383"/>
      <c r="D332" s="507"/>
      <c r="E332" s="382"/>
      <c r="F332" s="418"/>
      <c r="G332" s="383"/>
      <c r="H332" s="507"/>
      <c r="I332" s="382"/>
      <c r="J332" s="418"/>
      <c r="K332" s="383"/>
      <c r="L332" s="507"/>
      <c r="M332" s="382"/>
      <c r="N332" s="418"/>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8"/>
      <c r="AM332" s="383"/>
      <c r="AN332" s="507"/>
      <c r="AO332" s="382"/>
      <c r="AP332" s="418"/>
      <c r="AQ332" s="383"/>
      <c r="AR332" s="507"/>
      <c r="AS332" s="514"/>
      <c r="AT332" s="514"/>
    </row>
    <row r="333">
      <c r="A333" s="382"/>
      <c r="B333" s="418"/>
      <c r="C333" s="383"/>
      <c r="D333" s="507"/>
      <c r="E333" s="382"/>
      <c r="F333" s="418"/>
      <c r="G333" s="383"/>
      <c r="H333" s="507"/>
      <c r="I333" s="382"/>
      <c r="J333" s="418"/>
      <c r="K333" s="383"/>
      <c r="L333" s="507"/>
      <c r="M333" s="382"/>
      <c r="N333" s="418"/>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8"/>
      <c r="AM333" s="383"/>
      <c r="AN333" s="507"/>
      <c r="AO333" s="382"/>
      <c r="AP333" s="418"/>
      <c r="AQ333" s="383"/>
      <c r="AR333" s="507"/>
      <c r="AS333" s="514"/>
      <c r="AT333" s="514"/>
    </row>
    <row r="334">
      <c r="A334" s="382"/>
      <c r="B334" s="418"/>
      <c r="C334" s="383"/>
      <c r="D334" s="507"/>
      <c r="E334" s="382"/>
      <c r="F334" s="418"/>
      <c r="G334" s="383"/>
      <c r="H334" s="507"/>
      <c r="I334" s="382"/>
      <c r="J334" s="418"/>
      <c r="K334" s="383"/>
      <c r="L334" s="507"/>
      <c r="M334" s="382"/>
      <c r="N334" s="418"/>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8"/>
      <c r="AM334" s="383"/>
      <c r="AN334" s="507"/>
      <c r="AO334" s="382"/>
      <c r="AP334" s="418"/>
      <c r="AQ334" s="383"/>
      <c r="AR334" s="507"/>
      <c r="AS334" s="514"/>
      <c r="AT334" s="514"/>
    </row>
    <row r="335">
      <c r="A335" s="382"/>
      <c r="B335" s="418"/>
      <c r="C335" s="383"/>
      <c r="D335" s="507"/>
      <c r="E335" s="382"/>
      <c r="F335" s="418"/>
      <c r="G335" s="383"/>
      <c r="H335" s="507"/>
      <c r="I335" s="382"/>
      <c r="J335" s="418"/>
      <c r="K335" s="383"/>
      <c r="L335" s="507"/>
      <c r="M335" s="382"/>
      <c r="N335" s="418"/>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8"/>
      <c r="AM335" s="383"/>
      <c r="AN335" s="507"/>
      <c r="AO335" s="382"/>
      <c r="AP335" s="418"/>
      <c r="AQ335" s="383"/>
      <c r="AR335" s="507"/>
      <c r="AS335" s="514"/>
      <c r="AT335" s="514"/>
    </row>
    <row r="336">
      <c r="A336" s="382"/>
      <c r="B336" s="418"/>
      <c r="C336" s="383"/>
      <c r="D336" s="507"/>
      <c r="E336" s="382"/>
      <c r="F336" s="418"/>
      <c r="G336" s="383"/>
      <c r="H336" s="507"/>
      <c r="I336" s="382"/>
      <c r="J336" s="418"/>
      <c r="K336" s="383"/>
      <c r="L336" s="507"/>
      <c r="M336" s="382"/>
      <c r="N336" s="418"/>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8"/>
      <c r="AM336" s="383"/>
      <c r="AN336" s="507"/>
      <c r="AO336" s="382"/>
      <c r="AP336" s="418"/>
      <c r="AQ336" s="383"/>
      <c r="AR336" s="507"/>
      <c r="AS336" s="514"/>
      <c r="AT336" s="514"/>
    </row>
    <row r="337">
      <c r="A337" s="382"/>
      <c r="B337" s="418"/>
      <c r="C337" s="383"/>
      <c r="D337" s="507"/>
      <c r="E337" s="382"/>
      <c r="F337" s="418"/>
      <c r="G337" s="383"/>
      <c r="H337" s="507"/>
      <c r="I337" s="382"/>
      <c r="J337" s="418"/>
      <c r="K337" s="383"/>
      <c r="L337" s="507"/>
      <c r="M337" s="382"/>
      <c r="N337" s="418"/>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8"/>
      <c r="AM337" s="383"/>
      <c r="AN337" s="507"/>
      <c r="AO337" s="382"/>
      <c r="AP337" s="418"/>
      <c r="AQ337" s="383"/>
      <c r="AR337" s="507"/>
      <c r="AS337" s="514"/>
      <c r="AT337" s="514"/>
    </row>
    <row r="338">
      <c r="A338" s="382"/>
      <c r="B338" s="418"/>
      <c r="C338" s="383"/>
      <c r="D338" s="507"/>
      <c r="E338" s="382"/>
      <c r="F338" s="418"/>
      <c r="G338" s="383"/>
      <c r="H338" s="507"/>
      <c r="I338" s="382"/>
      <c r="J338" s="418"/>
      <c r="K338" s="383"/>
      <c r="L338" s="507"/>
      <c r="M338" s="382"/>
      <c r="N338" s="418"/>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8"/>
      <c r="AM338" s="383"/>
      <c r="AN338" s="507"/>
      <c r="AO338" s="382"/>
      <c r="AP338" s="418"/>
      <c r="AQ338" s="383"/>
      <c r="AR338" s="507"/>
      <c r="AS338" s="514"/>
      <c r="AT338" s="514"/>
    </row>
    <row r="339">
      <c r="A339" s="382"/>
      <c r="B339" s="418"/>
      <c r="C339" s="383"/>
      <c r="D339" s="507"/>
      <c r="E339" s="382"/>
      <c r="F339" s="418"/>
      <c r="G339" s="383"/>
      <c r="H339" s="507"/>
      <c r="I339" s="382"/>
      <c r="J339" s="418"/>
      <c r="K339" s="383"/>
      <c r="L339" s="507"/>
      <c r="M339" s="382"/>
      <c r="N339" s="418"/>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8"/>
      <c r="AM339" s="383"/>
      <c r="AN339" s="507"/>
      <c r="AO339" s="382"/>
      <c r="AP339" s="418"/>
      <c r="AQ339" s="383"/>
      <c r="AR339" s="507"/>
      <c r="AS339" s="514"/>
      <c r="AT339" s="514"/>
    </row>
    <row r="340">
      <c r="A340" s="382"/>
      <c r="B340" s="418"/>
      <c r="C340" s="383"/>
      <c r="D340" s="507"/>
      <c r="E340" s="382"/>
      <c r="F340" s="418"/>
      <c r="G340" s="383"/>
      <c r="H340" s="507"/>
      <c r="I340" s="382"/>
      <c r="J340" s="418"/>
      <c r="K340" s="383"/>
      <c r="L340" s="507"/>
      <c r="M340" s="382"/>
      <c r="N340" s="418"/>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8"/>
      <c r="AM340" s="383"/>
      <c r="AN340" s="507"/>
      <c r="AO340" s="382"/>
      <c r="AP340" s="418"/>
      <c r="AQ340" s="383"/>
      <c r="AR340" s="507"/>
      <c r="AS340" s="514"/>
      <c r="AT340" s="514"/>
    </row>
    <row r="341">
      <c r="A341" s="382"/>
      <c r="B341" s="418"/>
      <c r="C341" s="383"/>
      <c r="D341" s="507"/>
      <c r="E341" s="382"/>
      <c r="F341" s="418"/>
      <c r="G341" s="383"/>
      <c r="H341" s="507"/>
      <c r="I341" s="382"/>
      <c r="J341" s="418"/>
      <c r="K341" s="383"/>
      <c r="L341" s="507"/>
      <c r="M341" s="382"/>
      <c r="N341" s="418"/>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8"/>
      <c r="AM341" s="383"/>
      <c r="AN341" s="507"/>
      <c r="AO341" s="382"/>
      <c r="AP341" s="418"/>
      <c r="AQ341" s="383"/>
      <c r="AR341" s="507"/>
      <c r="AS341" s="514"/>
      <c r="AT341" s="514"/>
    </row>
    <row r="342">
      <c r="A342" s="382"/>
      <c r="B342" s="418"/>
      <c r="C342" s="383"/>
      <c r="D342" s="507"/>
      <c r="E342" s="382"/>
      <c r="F342" s="418"/>
      <c r="G342" s="383"/>
      <c r="H342" s="507"/>
      <c r="I342" s="382"/>
      <c r="J342" s="418"/>
      <c r="K342" s="383"/>
      <c r="L342" s="507"/>
      <c r="M342" s="382"/>
      <c r="N342" s="418"/>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8"/>
      <c r="AM342" s="383"/>
      <c r="AN342" s="507"/>
      <c r="AO342" s="382"/>
      <c r="AP342" s="418"/>
      <c r="AQ342" s="383"/>
      <c r="AR342" s="507"/>
      <c r="AS342" s="514"/>
      <c r="AT342" s="514"/>
    </row>
    <row r="343">
      <c r="A343" s="382"/>
      <c r="B343" s="418"/>
      <c r="C343" s="383"/>
      <c r="D343" s="507"/>
      <c r="E343" s="382"/>
      <c r="F343" s="418"/>
      <c r="G343" s="383"/>
      <c r="H343" s="507"/>
      <c r="I343" s="382"/>
      <c r="J343" s="418"/>
      <c r="K343" s="383"/>
      <c r="L343" s="507"/>
      <c r="M343" s="382"/>
      <c r="N343" s="418"/>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8"/>
      <c r="AM343" s="383"/>
      <c r="AN343" s="507"/>
      <c r="AO343" s="382"/>
      <c r="AP343" s="418"/>
      <c r="AQ343" s="383"/>
      <c r="AR343" s="507"/>
      <c r="AS343" s="514"/>
      <c r="AT343" s="514"/>
    </row>
    <row r="344">
      <c r="A344" s="382"/>
      <c r="B344" s="418"/>
      <c r="C344" s="383"/>
      <c r="D344" s="507"/>
      <c r="E344" s="382"/>
      <c r="F344" s="418"/>
      <c r="G344" s="383"/>
      <c r="H344" s="507"/>
      <c r="I344" s="382"/>
      <c r="J344" s="418"/>
      <c r="K344" s="383"/>
      <c r="L344" s="507"/>
      <c r="M344" s="382"/>
      <c r="N344" s="418"/>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8"/>
      <c r="AM344" s="383"/>
      <c r="AN344" s="507"/>
      <c r="AO344" s="382"/>
      <c r="AP344" s="418"/>
      <c r="AQ344" s="383"/>
      <c r="AR344" s="507"/>
      <c r="AS344" s="514"/>
      <c r="AT344" s="514"/>
    </row>
    <row r="345">
      <c r="A345" s="382"/>
      <c r="B345" s="418"/>
      <c r="C345" s="383"/>
      <c r="D345" s="507"/>
      <c r="E345" s="382"/>
      <c r="F345" s="418"/>
      <c r="G345" s="383"/>
      <c r="H345" s="507"/>
      <c r="I345" s="382"/>
      <c r="J345" s="418"/>
      <c r="K345" s="383"/>
      <c r="L345" s="507"/>
      <c r="M345" s="382"/>
      <c r="N345" s="418"/>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8"/>
      <c r="AM345" s="383"/>
      <c r="AN345" s="507"/>
      <c r="AO345" s="382"/>
      <c r="AP345" s="418"/>
      <c r="AQ345" s="383"/>
      <c r="AR345" s="507"/>
      <c r="AS345" s="514"/>
      <c r="AT345" s="514"/>
    </row>
    <row r="346">
      <c r="A346" s="382"/>
      <c r="B346" s="418"/>
      <c r="C346" s="383"/>
      <c r="D346" s="507"/>
      <c r="E346" s="382"/>
      <c r="F346" s="418"/>
      <c r="G346" s="383"/>
      <c r="H346" s="507"/>
      <c r="I346" s="382"/>
      <c r="J346" s="418"/>
      <c r="K346" s="383"/>
      <c r="L346" s="507"/>
      <c r="M346" s="382"/>
      <c r="N346" s="418"/>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8"/>
      <c r="AM346" s="383"/>
      <c r="AN346" s="507"/>
      <c r="AO346" s="382"/>
      <c r="AP346" s="418"/>
      <c r="AQ346" s="383"/>
      <c r="AR346" s="507"/>
      <c r="AS346" s="514"/>
      <c r="AT346" s="514"/>
    </row>
    <row r="347">
      <c r="A347" s="382"/>
      <c r="B347" s="418"/>
      <c r="C347" s="383"/>
      <c r="D347" s="507"/>
      <c r="E347" s="382"/>
      <c r="F347" s="418"/>
      <c r="G347" s="383"/>
      <c r="H347" s="507"/>
      <c r="I347" s="382"/>
      <c r="J347" s="418"/>
      <c r="K347" s="383"/>
      <c r="L347" s="507"/>
      <c r="M347" s="382"/>
      <c r="N347" s="418"/>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8"/>
      <c r="AM347" s="383"/>
      <c r="AN347" s="507"/>
      <c r="AO347" s="382"/>
      <c r="AP347" s="418"/>
      <c r="AQ347" s="383"/>
      <c r="AR347" s="507"/>
      <c r="AS347" s="514"/>
      <c r="AT347" s="514"/>
    </row>
    <row r="348">
      <c r="A348" s="382"/>
      <c r="B348" s="418"/>
      <c r="C348" s="383"/>
      <c r="D348" s="507"/>
      <c r="E348" s="382"/>
      <c r="F348" s="418"/>
      <c r="G348" s="383"/>
      <c r="H348" s="507"/>
      <c r="I348" s="382"/>
      <c r="J348" s="418"/>
      <c r="K348" s="383"/>
      <c r="L348" s="507"/>
      <c r="M348" s="382"/>
      <c r="N348" s="418"/>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8"/>
      <c r="AM348" s="383"/>
      <c r="AN348" s="507"/>
      <c r="AO348" s="382"/>
      <c r="AP348" s="418"/>
      <c r="AQ348" s="383"/>
      <c r="AR348" s="507"/>
      <c r="AS348" s="514"/>
      <c r="AT348" s="514"/>
    </row>
    <row r="349">
      <c r="A349" s="382"/>
      <c r="B349" s="418"/>
      <c r="C349" s="383"/>
      <c r="D349" s="507"/>
      <c r="E349" s="382"/>
      <c r="F349" s="418"/>
      <c r="G349" s="383"/>
      <c r="H349" s="507"/>
      <c r="I349" s="382"/>
      <c r="J349" s="418"/>
      <c r="K349" s="383"/>
      <c r="L349" s="507"/>
      <c r="M349" s="382"/>
      <c r="N349" s="418"/>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8"/>
      <c r="AM349" s="383"/>
      <c r="AN349" s="507"/>
      <c r="AO349" s="382"/>
      <c r="AP349" s="418"/>
      <c r="AQ349" s="383"/>
      <c r="AR349" s="507"/>
      <c r="AS349" s="514"/>
      <c r="AT349" s="514"/>
    </row>
    <row r="350">
      <c r="A350" s="382"/>
      <c r="B350" s="418"/>
      <c r="C350" s="383"/>
      <c r="D350" s="507"/>
      <c r="E350" s="382"/>
      <c r="F350" s="418"/>
      <c r="G350" s="383"/>
      <c r="H350" s="507"/>
      <c r="I350" s="382"/>
      <c r="J350" s="418"/>
      <c r="K350" s="383"/>
      <c r="L350" s="507"/>
      <c r="M350" s="382"/>
      <c r="N350" s="418"/>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8"/>
      <c r="AM350" s="383"/>
      <c r="AN350" s="507"/>
      <c r="AO350" s="382"/>
      <c r="AP350" s="418"/>
      <c r="AQ350" s="383"/>
      <c r="AR350" s="507"/>
      <c r="AS350" s="514"/>
      <c r="AT350" s="514"/>
    </row>
    <row r="351">
      <c r="A351" s="382"/>
      <c r="B351" s="418"/>
      <c r="C351" s="383"/>
      <c r="D351" s="507"/>
      <c r="E351" s="382"/>
      <c r="F351" s="418"/>
      <c r="G351" s="383"/>
      <c r="H351" s="507"/>
      <c r="I351" s="382"/>
      <c r="J351" s="418"/>
      <c r="K351" s="383"/>
      <c r="L351" s="507"/>
      <c r="M351" s="382"/>
      <c r="N351" s="418"/>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8"/>
      <c r="AM351" s="383"/>
      <c r="AN351" s="507"/>
      <c r="AO351" s="382"/>
      <c r="AP351" s="418"/>
      <c r="AQ351" s="383"/>
      <c r="AR351" s="507"/>
      <c r="AS351" s="514"/>
      <c r="AT351" s="514"/>
    </row>
    <row r="352">
      <c r="A352" s="382"/>
      <c r="B352" s="418"/>
      <c r="C352" s="383"/>
      <c r="D352" s="507"/>
      <c r="E352" s="382"/>
      <c r="F352" s="418"/>
      <c r="G352" s="383"/>
      <c r="H352" s="507"/>
      <c r="I352" s="382"/>
      <c r="J352" s="418"/>
      <c r="K352" s="383"/>
      <c r="L352" s="507"/>
      <c r="M352" s="382"/>
      <c r="N352" s="418"/>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8"/>
      <c r="AM352" s="383"/>
      <c r="AN352" s="507"/>
      <c r="AO352" s="382"/>
      <c r="AP352" s="418"/>
      <c r="AQ352" s="383"/>
      <c r="AR352" s="507"/>
      <c r="AS352" s="514"/>
      <c r="AT352" s="514"/>
    </row>
    <row r="353">
      <c r="A353" s="382"/>
      <c r="B353" s="418"/>
      <c r="C353" s="383"/>
      <c r="D353" s="507"/>
      <c r="E353" s="382"/>
      <c r="F353" s="418"/>
      <c r="G353" s="383"/>
      <c r="H353" s="507"/>
      <c r="I353" s="382"/>
      <c r="J353" s="418"/>
      <c r="K353" s="383"/>
      <c r="L353" s="507"/>
      <c r="M353" s="382"/>
      <c r="N353" s="418"/>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8"/>
      <c r="AM353" s="383"/>
      <c r="AN353" s="507"/>
      <c r="AO353" s="382"/>
      <c r="AP353" s="418"/>
      <c r="AQ353" s="383"/>
      <c r="AR353" s="507"/>
      <c r="AS353" s="514"/>
      <c r="AT353" s="514"/>
    </row>
    <row r="354">
      <c r="A354" s="382"/>
      <c r="B354" s="418"/>
      <c r="C354" s="383"/>
      <c r="D354" s="507"/>
      <c r="E354" s="382"/>
      <c r="F354" s="418"/>
      <c r="G354" s="383"/>
      <c r="H354" s="507"/>
      <c r="I354" s="382"/>
      <c r="J354" s="418"/>
      <c r="K354" s="383"/>
      <c r="L354" s="507"/>
      <c r="M354" s="382"/>
      <c r="N354" s="418"/>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8"/>
      <c r="AM354" s="383"/>
      <c r="AN354" s="507"/>
      <c r="AO354" s="382"/>
      <c r="AP354" s="418"/>
      <c r="AQ354" s="383"/>
      <c r="AR354" s="507"/>
      <c r="AS354" s="514"/>
      <c r="AT354" s="514"/>
    </row>
    <row r="355">
      <c r="A355" s="382"/>
      <c r="B355" s="418"/>
      <c r="C355" s="383"/>
      <c r="D355" s="507"/>
      <c r="E355" s="382"/>
      <c r="F355" s="418"/>
      <c r="G355" s="383"/>
      <c r="H355" s="507"/>
      <c r="I355" s="382"/>
      <c r="J355" s="418"/>
      <c r="K355" s="383"/>
      <c r="L355" s="507"/>
      <c r="M355" s="382"/>
      <c r="N355" s="418"/>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8"/>
      <c r="AM355" s="383"/>
      <c r="AN355" s="507"/>
      <c r="AO355" s="382"/>
      <c r="AP355" s="418"/>
      <c r="AQ355" s="383"/>
      <c r="AR355" s="507"/>
      <c r="AS355" s="514"/>
      <c r="AT355" s="514"/>
    </row>
    <row r="356">
      <c r="A356" s="382"/>
      <c r="B356" s="418"/>
      <c r="C356" s="383"/>
      <c r="D356" s="507"/>
      <c r="E356" s="382"/>
      <c r="F356" s="418"/>
      <c r="G356" s="383"/>
      <c r="H356" s="507"/>
      <c r="I356" s="382"/>
      <c r="J356" s="418"/>
      <c r="K356" s="383"/>
      <c r="L356" s="507"/>
      <c r="M356" s="382"/>
      <c r="N356" s="418"/>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8"/>
      <c r="AM356" s="383"/>
      <c r="AN356" s="507"/>
      <c r="AO356" s="382"/>
      <c r="AP356" s="418"/>
      <c r="AQ356" s="383"/>
      <c r="AR356" s="507"/>
      <c r="AS356" s="514"/>
      <c r="AT356" s="514"/>
    </row>
    <row r="357">
      <c r="A357" s="382"/>
      <c r="B357" s="418"/>
      <c r="C357" s="383"/>
      <c r="D357" s="507"/>
      <c r="E357" s="382"/>
      <c r="F357" s="418"/>
      <c r="G357" s="383"/>
      <c r="H357" s="507"/>
      <c r="I357" s="382"/>
      <c r="J357" s="418"/>
      <c r="K357" s="383"/>
      <c r="L357" s="507"/>
      <c r="M357" s="382"/>
      <c r="N357" s="418"/>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8"/>
      <c r="AM357" s="383"/>
      <c r="AN357" s="507"/>
      <c r="AO357" s="382"/>
      <c r="AP357" s="418"/>
      <c r="AQ357" s="383"/>
      <c r="AR357" s="507"/>
      <c r="AS357" s="514"/>
      <c r="AT357" s="514"/>
    </row>
    <row r="358">
      <c r="A358" s="382"/>
      <c r="B358" s="418"/>
      <c r="C358" s="383"/>
      <c r="D358" s="507"/>
      <c r="E358" s="382"/>
      <c r="F358" s="418"/>
      <c r="G358" s="383"/>
      <c r="H358" s="507"/>
      <c r="I358" s="382"/>
      <c r="J358" s="418"/>
      <c r="K358" s="383"/>
      <c r="L358" s="507"/>
      <c r="M358" s="382"/>
      <c r="N358" s="418"/>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8"/>
      <c r="AM358" s="383"/>
      <c r="AN358" s="507"/>
      <c r="AO358" s="382"/>
      <c r="AP358" s="418"/>
      <c r="AQ358" s="383"/>
      <c r="AR358" s="507"/>
      <c r="AS358" s="514"/>
      <c r="AT358" s="514"/>
    </row>
    <row r="359">
      <c r="A359" s="382"/>
      <c r="B359" s="418"/>
      <c r="C359" s="383"/>
      <c r="D359" s="507"/>
      <c r="E359" s="382"/>
      <c r="F359" s="418"/>
      <c r="G359" s="383"/>
      <c r="H359" s="507"/>
      <c r="I359" s="382"/>
      <c r="J359" s="418"/>
      <c r="K359" s="383"/>
      <c r="L359" s="507"/>
      <c r="M359" s="382"/>
      <c r="N359" s="418"/>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8"/>
      <c r="AM359" s="383"/>
      <c r="AN359" s="507"/>
      <c r="AO359" s="382"/>
      <c r="AP359" s="418"/>
      <c r="AQ359" s="383"/>
      <c r="AR359" s="507"/>
      <c r="AS359" s="514"/>
      <c r="AT359" s="514"/>
    </row>
    <row r="360">
      <c r="A360" s="382"/>
      <c r="B360" s="418"/>
      <c r="C360" s="383"/>
      <c r="D360" s="507"/>
      <c r="E360" s="382"/>
      <c r="F360" s="418"/>
      <c r="G360" s="383"/>
      <c r="H360" s="507"/>
      <c r="I360" s="382"/>
      <c r="J360" s="418"/>
      <c r="K360" s="383"/>
      <c r="L360" s="507"/>
      <c r="M360" s="382"/>
      <c r="N360" s="418"/>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8"/>
      <c r="AM360" s="383"/>
      <c r="AN360" s="507"/>
      <c r="AO360" s="382"/>
      <c r="AP360" s="418"/>
      <c r="AQ360" s="383"/>
      <c r="AR360" s="507"/>
      <c r="AS360" s="514"/>
      <c r="AT360" s="514"/>
    </row>
    <row r="361">
      <c r="A361" s="382"/>
      <c r="B361" s="418"/>
      <c r="C361" s="383"/>
      <c r="D361" s="507"/>
      <c r="E361" s="382"/>
      <c r="F361" s="418"/>
      <c r="G361" s="383"/>
      <c r="H361" s="507"/>
      <c r="I361" s="382"/>
      <c r="J361" s="418"/>
      <c r="K361" s="383"/>
      <c r="L361" s="507"/>
      <c r="M361" s="382"/>
      <c r="N361" s="418"/>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8"/>
      <c r="AM361" s="383"/>
      <c r="AN361" s="507"/>
      <c r="AO361" s="382"/>
      <c r="AP361" s="418"/>
      <c r="AQ361" s="383"/>
      <c r="AR361" s="507"/>
      <c r="AS361" s="514"/>
      <c r="AT361" s="514"/>
    </row>
    <row r="362">
      <c r="A362" s="382"/>
      <c r="B362" s="418"/>
      <c r="C362" s="383"/>
      <c r="D362" s="507"/>
      <c r="E362" s="382"/>
      <c r="F362" s="418"/>
      <c r="G362" s="383"/>
      <c r="H362" s="507"/>
      <c r="I362" s="382"/>
      <c r="J362" s="418"/>
      <c r="K362" s="383"/>
      <c r="L362" s="507"/>
      <c r="M362" s="382"/>
      <c r="N362" s="418"/>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8"/>
      <c r="AM362" s="383"/>
      <c r="AN362" s="507"/>
      <c r="AO362" s="382"/>
      <c r="AP362" s="418"/>
      <c r="AQ362" s="383"/>
      <c r="AR362" s="507"/>
      <c r="AS362" s="514"/>
      <c r="AT362" s="514"/>
    </row>
    <row r="363">
      <c r="A363" s="382"/>
      <c r="B363" s="418"/>
      <c r="C363" s="383"/>
      <c r="D363" s="507"/>
      <c r="E363" s="382"/>
      <c r="F363" s="418"/>
      <c r="G363" s="383"/>
      <c r="H363" s="507"/>
      <c r="I363" s="382"/>
      <c r="J363" s="418"/>
      <c r="K363" s="383"/>
      <c r="L363" s="507"/>
      <c r="M363" s="382"/>
      <c r="N363" s="418"/>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8"/>
      <c r="AM363" s="383"/>
      <c r="AN363" s="507"/>
      <c r="AO363" s="382"/>
      <c r="AP363" s="418"/>
      <c r="AQ363" s="383"/>
      <c r="AR363" s="507"/>
      <c r="AS363" s="514"/>
      <c r="AT363" s="514"/>
    </row>
    <row r="364">
      <c r="A364" s="382"/>
      <c r="B364" s="418"/>
      <c r="C364" s="383"/>
      <c r="D364" s="507"/>
      <c r="E364" s="382"/>
      <c r="F364" s="418"/>
      <c r="G364" s="383"/>
      <c r="H364" s="507"/>
      <c r="I364" s="382"/>
      <c r="J364" s="418"/>
      <c r="K364" s="383"/>
      <c r="L364" s="507"/>
      <c r="M364" s="382"/>
      <c r="N364" s="418"/>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8"/>
      <c r="AM364" s="383"/>
      <c r="AN364" s="507"/>
      <c r="AO364" s="382"/>
      <c r="AP364" s="418"/>
      <c r="AQ364" s="383"/>
      <c r="AR364" s="507"/>
      <c r="AS364" s="514"/>
      <c r="AT364" s="514"/>
    </row>
    <row r="365">
      <c r="A365" s="382"/>
      <c r="B365" s="418"/>
      <c r="C365" s="383"/>
      <c r="D365" s="507"/>
      <c r="E365" s="382"/>
      <c r="F365" s="418"/>
      <c r="G365" s="383"/>
      <c r="H365" s="507"/>
      <c r="I365" s="382"/>
      <c r="J365" s="418"/>
      <c r="K365" s="383"/>
      <c r="L365" s="507"/>
      <c r="M365" s="382"/>
      <c r="N365" s="418"/>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8"/>
      <c r="AM365" s="383"/>
      <c r="AN365" s="507"/>
      <c r="AO365" s="382"/>
      <c r="AP365" s="418"/>
      <c r="AQ365" s="383"/>
      <c r="AR365" s="507"/>
      <c r="AS365" s="514"/>
      <c r="AT365" s="514"/>
    </row>
    <row r="366">
      <c r="A366" s="382"/>
      <c r="B366" s="418"/>
      <c r="C366" s="383"/>
      <c r="D366" s="507"/>
      <c r="E366" s="382"/>
      <c r="F366" s="418"/>
      <c r="G366" s="383"/>
      <c r="H366" s="507"/>
      <c r="I366" s="382"/>
      <c r="J366" s="418"/>
      <c r="K366" s="383"/>
      <c r="L366" s="507"/>
      <c r="M366" s="382"/>
      <c r="N366" s="418"/>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8"/>
      <c r="AM366" s="383"/>
      <c r="AN366" s="507"/>
      <c r="AO366" s="382"/>
      <c r="AP366" s="418"/>
      <c r="AQ366" s="383"/>
      <c r="AR366" s="507"/>
      <c r="AS366" s="514"/>
      <c r="AT366" s="514"/>
    </row>
    <row r="367">
      <c r="A367" s="382"/>
      <c r="B367" s="418"/>
      <c r="C367" s="383"/>
      <c r="D367" s="507"/>
      <c r="E367" s="382"/>
      <c r="F367" s="418"/>
      <c r="G367" s="383"/>
      <c r="H367" s="507"/>
      <c r="I367" s="382"/>
      <c r="J367" s="418"/>
      <c r="K367" s="383"/>
      <c r="L367" s="507"/>
      <c r="M367" s="382"/>
      <c r="N367" s="418"/>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8"/>
      <c r="AM367" s="383"/>
      <c r="AN367" s="507"/>
      <c r="AO367" s="382"/>
      <c r="AP367" s="418"/>
      <c r="AQ367" s="383"/>
      <c r="AR367" s="507"/>
      <c r="AS367" s="514"/>
      <c r="AT367" s="514"/>
    </row>
    <row r="368">
      <c r="A368" s="382"/>
      <c r="B368" s="418"/>
      <c r="C368" s="383"/>
      <c r="D368" s="507"/>
      <c r="E368" s="382"/>
      <c r="F368" s="418"/>
      <c r="G368" s="383"/>
      <c r="H368" s="507"/>
      <c r="I368" s="382"/>
      <c r="J368" s="418"/>
      <c r="K368" s="383"/>
      <c r="L368" s="507"/>
      <c r="M368" s="382"/>
      <c r="N368" s="418"/>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8"/>
      <c r="AM368" s="383"/>
      <c r="AN368" s="507"/>
      <c r="AO368" s="382"/>
      <c r="AP368" s="418"/>
      <c r="AQ368" s="383"/>
      <c r="AR368" s="507"/>
      <c r="AS368" s="514"/>
      <c r="AT368" s="514"/>
    </row>
    <row r="369">
      <c r="A369" s="382"/>
      <c r="B369" s="418"/>
      <c r="C369" s="383"/>
      <c r="D369" s="507"/>
      <c r="E369" s="382"/>
      <c r="F369" s="418"/>
      <c r="G369" s="383"/>
      <c r="H369" s="507"/>
      <c r="I369" s="382"/>
      <c r="J369" s="418"/>
      <c r="K369" s="383"/>
      <c r="L369" s="507"/>
      <c r="M369" s="382"/>
      <c r="N369" s="418"/>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8"/>
      <c r="AM369" s="383"/>
      <c r="AN369" s="507"/>
      <c r="AO369" s="382"/>
      <c r="AP369" s="418"/>
      <c r="AQ369" s="383"/>
      <c r="AR369" s="507"/>
      <c r="AS369" s="514"/>
      <c r="AT369" s="514"/>
    </row>
    <row r="370">
      <c r="A370" s="382"/>
      <c r="B370" s="418"/>
      <c r="C370" s="383"/>
      <c r="D370" s="507"/>
      <c r="E370" s="382"/>
      <c r="F370" s="418"/>
      <c r="G370" s="383"/>
      <c r="H370" s="507"/>
      <c r="I370" s="382"/>
      <c r="J370" s="418"/>
      <c r="K370" s="383"/>
      <c r="L370" s="507"/>
      <c r="M370" s="382"/>
      <c r="N370" s="418"/>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8"/>
      <c r="AM370" s="383"/>
      <c r="AN370" s="507"/>
      <c r="AO370" s="382"/>
      <c r="AP370" s="418"/>
      <c r="AQ370" s="383"/>
      <c r="AR370" s="507"/>
      <c r="AS370" s="514"/>
      <c r="AT370" s="514"/>
    </row>
    <row r="371">
      <c r="A371" s="382"/>
      <c r="B371" s="418"/>
      <c r="C371" s="383"/>
      <c r="D371" s="507"/>
      <c r="E371" s="382"/>
      <c r="F371" s="418"/>
      <c r="G371" s="383"/>
      <c r="H371" s="507"/>
      <c r="I371" s="382"/>
      <c r="J371" s="418"/>
      <c r="K371" s="383"/>
      <c r="L371" s="507"/>
      <c r="M371" s="382"/>
      <c r="N371" s="418"/>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8"/>
      <c r="AM371" s="383"/>
      <c r="AN371" s="507"/>
      <c r="AO371" s="382"/>
      <c r="AP371" s="418"/>
      <c r="AQ371" s="383"/>
      <c r="AR371" s="507"/>
      <c r="AS371" s="514"/>
      <c r="AT371" s="514"/>
    </row>
    <row r="372">
      <c r="A372" s="382"/>
      <c r="B372" s="418"/>
      <c r="C372" s="383"/>
      <c r="D372" s="507"/>
      <c r="E372" s="382"/>
      <c r="F372" s="418"/>
      <c r="G372" s="383"/>
      <c r="H372" s="507"/>
      <c r="I372" s="382"/>
      <c r="J372" s="418"/>
      <c r="K372" s="383"/>
      <c r="L372" s="507"/>
      <c r="M372" s="382"/>
      <c r="N372" s="418"/>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8"/>
      <c r="AM372" s="383"/>
      <c r="AN372" s="507"/>
      <c r="AO372" s="382"/>
      <c r="AP372" s="418"/>
      <c r="AQ372" s="383"/>
      <c r="AR372" s="507"/>
      <c r="AS372" s="514"/>
      <c r="AT372" s="514"/>
    </row>
    <row r="373">
      <c r="A373" s="382"/>
      <c r="B373" s="418"/>
      <c r="C373" s="383"/>
      <c r="D373" s="507"/>
      <c r="E373" s="382"/>
      <c r="F373" s="418"/>
      <c r="G373" s="383"/>
      <c r="H373" s="507"/>
      <c r="I373" s="382"/>
      <c r="J373" s="418"/>
      <c r="K373" s="383"/>
      <c r="L373" s="507"/>
      <c r="M373" s="382"/>
      <c r="N373" s="418"/>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8"/>
      <c r="AM373" s="383"/>
      <c r="AN373" s="507"/>
      <c r="AO373" s="382"/>
      <c r="AP373" s="418"/>
      <c r="AQ373" s="383"/>
      <c r="AR373" s="507"/>
      <c r="AS373" s="514"/>
      <c r="AT373" s="514"/>
    </row>
    <row r="374">
      <c r="A374" s="382"/>
      <c r="B374" s="418"/>
      <c r="C374" s="383"/>
      <c r="D374" s="507"/>
      <c r="E374" s="382"/>
      <c r="F374" s="418"/>
      <c r="G374" s="383"/>
      <c r="H374" s="507"/>
      <c r="I374" s="382"/>
      <c r="J374" s="418"/>
      <c r="K374" s="383"/>
      <c r="L374" s="507"/>
      <c r="M374" s="382"/>
      <c r="N374" s="418"/>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8"/>
      <c r="AM374" s="383"/>
      <c r="AN374" s="507"/>
      <c r="AO374" s="382"/>
      <c r="AP374" s="418"/>
      <c r="AQ374" s="383"/>
      <c r="AR374" s="507"/>
      <c r="AS374" s="514"/>
      <c r="AT374" s="514"/>
    </row>
    <row r="375">
      <c r="A375" s="382"/>
      <c r="B375" s="418"/>
      <c r="C375" s="383"/>
      <c r="D375" s="507"/>
      <c r="E375" s="382"/>
      <c r="F375" s="418"/>
      <c r="G375" s="383"/>
      <c r="H375" s="507"/>
      <c r="I375" s="382"/>
      <c r="J375" s="418"/>
      <c r="K375" s="383"/>
      <c r="L375" s="507"/>
      <c r="M375" s="382"/>
      <c r="N375" s="418"/>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8"/>
      <c r="AM375" s="383"/>
      <c r="AN375" s="507"/>
      <c r="AO375" s="382"/>
      <c r="AP375" s="418"/>
      <c r="AQ375" s="383"/>
      <c r="AR375" s="507"/>
      <c r="AS375" s="514"/>
      <c r="AT375" s="514"/>
    </row>
    <row r="376">
      <c r="A376" s="382"/>
      <c r="B376" s="418"/>
      <c r="C376" s="383"/>
      <c r="D376" s="507"/>
      <c r="E376" s="382"/>
      <c r="F376" s="418"/>
      <c r="G376" s="383"/>
      <c r="H376" s="507"/>
      <c r="I376" s="382"/>
      <c r="J376" s="418"/>
      <c r="K376" s="383"/>
      <c r="L376" s="507"/>
      <c r="M376" s="382"/>
      <c r="N376" s="418"/>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8"/>
      <c r="AM376" s="383"/>
      <c r="AN376" s="507"/>
      <c r="AO376" s="382"/>
      <c r="AP376" s="418"/>
      <c r="AQ376" s="383"/>
      <c r="AR376" s="507"/>
      <c r="AS376" s="514"/>
      <c r="AT376" s="514"/>
    </row>
    <row r="377">
      <c r="A377" s="382"/>
      <c r="B377" s="418"/>
      <c r="C377" s="383"/>
      <c r="D377" s="507"/>
      <c r="E377" s="382"/>
      <c r="F377" s="418"/>
      <c r="G377" s="383"/>
      <c r="H377" s="507"/>
      <c r="I377" s="382"/>
      <c r="J377" s="418"/>
      <c r="K377" s="383"/>
      <c r="L377" s="507"/>
      <c r="M377" s="382"/>
      <c r="N377" s="418"/>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8"/>
      <c r="AM377" s="383"/>
      <c r="AN377" s="507"/>
      <c r="AO377" s="382"/>
      <c r="AP377" s="418"/>
      <c r="AQ377" s="383"/>
      <c r="AR377" s="507"/>
      <c r="AS377" s="514"/>
      <c r="AT377" s="514"/>
    </row>
    <row r="378">
      <c r="A378" s="382"/>
      <c r="B378" s="418"/>
      <c r="C378" s="383"/>
      <c r="D378" s="507"/>
      <c r="E378" s="382"/>
      <c r="F378" s="418"/>
      <c r="G378" s="383"/>
      <c r="H378" s="507"/>
      <c r="I378" s="382"/>
      <c r="J378" s="418"/>
      <c r="K378" s="383"/>
      <c r="L378" s="507"/>
      <c r="M378" s="382"/>
      <c r="N378" s="418"/>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8"/>
      <c r="AM378" s="383"/>
      <c r="AN378" s="507"/>
      <c r="AO378" s="382"/>
      <c r="AP378" s="418"/>
      <c r="AQ378" s="383"/>
      <c r="AR378" s="507"/>
      <c r="AS378" s="514"/>
      <c r="AT378" s="514"/>
    </row>
    <row r="379">
      <c r="A379" s="382"/>
      <c r="B379" s="418"/>
      <c r="C379" s="383"/>
      <c r="D379" s="507"/>
      <c r="E379" s="382"/>
      <c r="F379" s="418"/>
      <c r="G379" s="383"/>
      <c r="H379" s="507"/>
      <c r="I379" s="382"/>
      <c r="J379" s="418"/>
      <c r="K379" s="383"/>
      <c r="L379" s="507"/>
      <c r="M379" s="382"/>
      <c r="N379" s="418"/>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8"/>
      <c r="AM379" s="383"/>
      <c r="AN379" s="507"/>
      <c r="AO379" s="382"/>
      <c r="AP379" s="418"/>
      <c r="AQ379" s="383"/>
      <c r="AR379" s="507"/>
      <c r="AS379" s="514"/>
      <c r="AT379" s="514"/>
    </row>
    <row r="380">
      <c r="A380" s="382"/>
      <c r="B380" s="418"/>
      <c r="C380" s="383"/>
      <c r="D380" s="507"/>
      <c r="E380" s="382"/>
      <c r="F380" s="418"/>
      <c r="G380" s="383"/>
      <c r="H380" s="507"/>
      <c r="I380" s="382"/>
      <c r="J380" s="418"/>
      <c r="K380" s="383"/>
      <c r="L380" s="507"/>
      <c r="M380" s="382"/>
      <c r="N380" s="418"/>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8"/>
      <c r="AM380" s="383"/>
      <c r="AN380" s="507"/>
      <c r="AO380" s="382"/>
      <c r="AP380" s="418"/>
      <c r="AQ380" s="383"/>
      <c r="AR380" s="507"/>
      <c r="AS380" s="514"/>
      <c r="AT380" s="514"/>
    </row>
    <row r="381">
      <c r="A381" s="382"/>
      <c r="B381" s="418"/>
      <c r="C381" s="383"/>
      <c r="D381" s="507"/>
      <c r="E381" s="382"/>
      <c r="F381" s="418"/>
      <c r="G381" s="383"/>
      <c r="H381" s="507"/>
      <c r="I381" s="382"/>
      <c r="J381" s="418"/>
      <c r="K381" s="383"/>
      <c r="L381" s="507"/>
      <c r="M381" s="382"/>
      <c r="N381" s="418"/>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8"/>
      <c r="AM381" s="383"/>
      <c r="AN381" s="507"/>
      <c r="AO381" s="382"/>
      <c r="AP381" s="418"/>
      <c r="AQ381" s="383"/>
      <c r="AR381" s="507"/>
      <c r="AS381" s="514"/>
      <c r="AT381" s="514"/>
    </row>
    <row r="382">
      <c r="A382" s="382"/>
      <c r="B382" s="418"/>
      <c r="C382" s="383"/>
      <c r="D382" s="507"/>
      <c r="E382" s="382"/>
      <c r="F382" s="418"/>
      <c r="G382" s="383"/>
      <c r="H382" s="507"/>
      <c r="I382" s="382"/>
      <c r="J382" s="418"/>
      <c r="K382" s="383"/>
      <c r="L382" s="507"/>
      <c r="M382" s="382"/>
      <c r="N382" s="418"/>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8"/>
      <c r="AM382" s="383"/>
      <c r="AN382" s="507"/>
      <c r="AO382" s="382"/>
      <c r="AP382" s="418"/>
      <c r="AQ382" s="383"/>
      <c r="AR382" s="507"/>
      <c r="AS382" s="514"/>
      <c r="AT382" s="514"/>
    </row>
    <row r="383">
      <c r="A383" s="382"/>
      <c r="B383" s="418"/>
      <c r="C383" s="383"/>
      <c r="D383" s="507"/>
      <c r="E383" s="382"/>
      <c r="F383" s="418"/>
      <c r="G383" s="383"/>
      <c r="H383" s="507"/>
      <c r="I383" s="382"/>
      <c r="J383" s="418"/>
      <c r="K383" s="383"/>
      <c r="L383" s="507"/>
      <c r="M383" s="382"/>
      <c r="N383" s="418"/>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8"/>
      <c r="AM383" s="383"/>
      <c r="AN383" s="507"/>
      <c r="AO383" s="382"/>
      <c r="AP383" s="418"/>
      <c r="AQ383" s="383"/>
      <c r="AR383" s="507"/>
      <c r="AS383" s="514"/>
      <c r="AT383" s="514"/>
    </row>
    <row r="384">
      <c r="A384" s="382"/>
      <c r="B384" s="418"/>
      <c r="C384" s="383"/>
      <c r="D384" s="507"/>
      <c r="E384" s="382"/>
      <c r="F384" s="418"/>
      <c r="G384" s="383"/>
      <c r="H384" s="507"/>
      <c r="I384" s="382"/>
      <c r="J384" s="418"/>
      <c r="K384" s="383"/>
      <c r="L384" s="507"/>
      <c r="M384" s="382"/>
      <c r="N384" s="418"/>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8"/>
      <c r="AM384" s="383"/>
      <c r="AN384" s="507"/>
      <c r="AO384" s="382"/>
      <c r="AP384" s="418"/>
      <c r="AQ384" s="383"/>
      <c r="AR384" s="507"/>
      <c r="AS384" s="514"/>
      <c r="AT384" s="514"/>
    </row>
    <row r="385">
      <c r="A385" s="382"/>
      <c r="B385" s="418"/>
      <c r="C385" s="383"/>
      <c r="D385" s="507"/>
      <c r="E385" s="382"/>
      <c r="F385" s="418"/>
      <c r="G385" s="383"/>
      <c r="H385" s="507"/>
      <c r="I385" s="382"/>
      <c r="J385" s="418"/>
      <c r="K385" s="383"/>
      <c r="L385" s="507"/>
      <c r="M385" s="382"/>
      <c r="N385" s="418"/>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8"/>
      <c r="AM385" s="383"/>
      <c r="AN385" s="507"/>
      <c r="AO385" s="382"/>
      <c r="AP385" s="418"/>
      <c r="AQ385" s="383"/>
      <c r="AR385" s="507"/>
      <c r="AS385" s="514"/>
      <c r="AT385" s="514"/>
    </row>
    <row r="386">
      <c r="A386" s="382"/>
      <c r="B386" s="418"/>
      <c r="C386" s="383"/>
      <c r="D386" s="507"/>
      <c r="E386" s="382"/>
      <c r="F386" s="418"/>
      <c r="G386" s="383"/>
      <c r="H386" s="507"/>
      <c r="I386" s="382"/>
      <c r="J386" s="418"/>
      <c r="K386" s="383"/>
      <c r="L386" s="507"/>
      <c r="M386" s="382"/>
      <c r="N386" s="418"/>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8"/>
      <c r="AM386" s="383"/>
      <c r="AN386" s="507"/>
      <c r="AO386" s="382"/>
      <c r="AP386" s="418"/>
      <c r="AQ386" s="383"/>
      <c r="AR386" s="507"/>
      <c r="AS386" s="514"/>
      <c r="AT386" s="514"/>
    </row>
    <row r="387">
      <c r="A387" s="382"/>
      <c r="B387" s="418"/>
      <c r="C387" s="383"/>
      <c r="D387" s="507"/>
      <c r="E387" s="382"/>
      <c r="F387" s="418"/>
      <c r="G387" s="383"/>
      <c r="H387" s="507"/>
      <c r="I387" s="382"/>
      <c r="J387" s="418"/>
      <c r="K387" s="383"/>
      <c r="L387" s="507"/>
      <c r="M387" s="382"/>
      <c r="N387" s="418"/>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8"/>
      <c r="AM387" s="383"/>
      <c r="AN387" s="507"/>
      <c r="AO387" s="382"/>
      <c r="AP387" s="418"/>
      <c r="AQ387" s="383"/>
      <c r="AR387" s="507"/>
      <c r="AS387" s="514"/>
      <c r="AT387" s="514"/>
    </row>
    <row r="388">
      <c r="A388" s="382"/>
      <c r="B388" s="418"/>
      <c r="C388" s="383"/>
      <c r="D388" s="507"/>
      <c r="E388" s="382"/>
      <c r="F388" s="418"/>
      <c r="G388" s="383"/>
      <c r="H388" s="507"/>
      <c r="I388" s="382"/>
      <c r="J388" s="418"/>
      <c r="K388" s="383"/>
      <c r="L388" s="507"/>
      <c r="M388" s="382"/>
      <c r="N388" s="418"/>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8"/>
      <c r="AM388" s="383"/>
      <c r="AN388" s="507"/>
      <c r="AO388" s="382"/>
      <c r="AP388" s="418"/>
      <c r="AQ388" s="383"/>
      <c r="AR388" s="507"/>
      <c r="AS388" s="514"/>
      <c r="AT388" s="514"/>
    </row>
    <row r="389">
      <c r="A389" s="382"/>
      <c r="B389" s="418"/>
      <c r="C389" s="383"/>
      <c r="D389" s="507"/>
      <c r="E389" s="382"/>
      <c r="F389" s="418"/>
      <c r="G389" s="383"/>
      <c r="H389" s="507"/>
      <c r="I389" s="382"/>
      <c r="J389" s="418"/>
      <c r="K389" s="383"/>
      <c r="L389" s="507"/>
      <c r="M389" s="382"/>
      <c r="N389" s="418"/>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8"/>
      <c r="AM389" s="383"/>
      <c r="AN389" s="507"/>
      <c r="AO389" s="382"/>
      <c r="AP389" s="418"/>
      <c r="AQ389" s="383"/>
      <c r="AR389" s="507"/>
      <c r="AS389" s="514"/>
      <c r="AT389" s="514"/>
    </row>
    <row r="390">
      <c r="A390" s="382"/>
      <c r="B390" s="418"/>
      <c r="C390" s="383"/>
      <c r="D390" s="507"/>
      <c r="E390" s="382"/>
      <c r="F390" s="418"/>
      <c r="G390" s="383"/>
      <c r="H390" s="507"/>
      <c r="I390" s="382"/>
      <c r="J390" s="418"/>
      <c r="K390" s="383"/>
      <c r="L390" s="507"/>
      <c r="M390" s="382"/>
      <c r="N390" s="418"/>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8"/>
      <c r="AM390" s="383"/>
      <c r="AN390" s="507"/>
      <c r="AO390" s="382"/>
      <c r="AP390" s="418"/>
      <c r="AQ390" s="383"/>
      <c r="AR390" s="507"/>
      <c r="AS390" s="514"/>
      <c r="AT390" s="514"/>
    </row>
    <row r="391">
      <c r="A391" s="382"/>
      <c r="B391" s="418"/>
      <c r="C391" s="383"/>
      <c r="D391" s="507"/>
      <c r="E391" s="382"/>
      <c r="F391" s="418"/>
      <c r="G391" s="383"/>
      <c r="H391" s="507"/>
      <c r="I391" s="382"/>
      <c r="J391" s="418"/>
      <c r="K391" s="383"/>
      <c r="L391" s="507"/>
      <c r="M391" s="382"/>
      <c r="N391" s="418"/>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8"/>
      <c r="AM391" s="383"/>
      <c r="AN391" s="507"/>
      <c r="AO391" s="382"/>
      <c r="AP391" s="418"/>
      <c r="AQ391" s="383"/>
      <c r="AR391" s="507"/>
      <c r="AS391" s="514"/>
      <c r="AT391" s="514"/>
    </row>
    <row r="392">
      <c r="A392" s="382"/>
      <c r="B392" s="418"/>
      <c r="C392" s="383"/>
      <c r="D392" s="507"/>
      <c r="E392" s="382"/>
      <c r="F392" s="418"/>
      <c r="G392" s="383"/>
      <c r="H392" s="507"/>
      <c r="I392" s="382"/>
      <c r="J392" s="418"/>
      <c r="K392" s="383"/>
      <c r="L392" s="507"/>
      <c r="M392" s="382"/>
      <c r="N392" s="418"/>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8"/>
      <c r="AM392" s="383"/>
      <c r="AN392" s="507"/>
      <c r="AO392" s="382"/>
      <c r="AP392" s="418"/>
      <c r="AQ392" s="383"/>
      <c r="AR392" s="507"/>
      <c r="AS392" s="514"/>
      <c r="AT392" s="514"/>
    </row>
    <row r="393">
      <c r="A393" s="382"/>
      <c r="B393" s="418"/>
      <c r="C393" s="383"/>
      <c r="D393" s="507"/>
      <c r="E393" s="382"/>
      <c r="F393" s="418"/>
      <c r="G393" s="383"/>
      <c r="H393" s="507"/>
      <c r="I393" s="382"/>
      <c r="J393" s="418"/>
      <c r="K393" s="383"/>
      <c r="L393" s="507"/>
      <c r="M393" s="382"/>
      <c r="N393" s="418"/>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8"/>
      <c r="AM393" s="383"/>
      <c r="AN393" s="507"/>
      <c r="AO393" s="382"/>
      <c r="AP393" s="418"/>
      <c r="AQ393" s="383"/>
      <c r="AR393" s="507"/>
      <c r="AS393" s="514"/>
      <c r="AT393" s="514"/>
    </row>
    <row r="394">
      <c r="A394" s="382"/>
      <c r="B394" s="418"/>
      <c r="C394" s="383"/>
      <c r="D394" s="507"/>
      <c r="E394" s="382"/>
      <c r="F394" s="418"/>
      <c r="G394" s="383"/>
      <c r="H394" s="507"/>
      <c r="I394" s="382"/>
      <c r="J394" s="418"/>
      <c r="K394" s="383"/>
      <c r="L394" s="507"/>
      <c r="M394" s="382"/>
      <c r="N394" s="418"/>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8"/>
      <c r="AM394" s="383"/>
      <c r="AN394" s="507"/>
      <c r="AO394" s="382"/>
      <c r="AP394" s="418"/>
      <c r="AQ394" s="383"/>
      <c r="AR394" s="507"/>
      <c r="AS394" s="514"/>
      <c r="AT394" s="514"/>
    </row>
    <row r="395">
      <c r="A395" s="382"/>
      <c r="B395" s="418"/>
      <c r="C395" s="383"/>
      <c r="D395" s="507"/>
      <c r="E395" s="382"/>
      <c r="F395" s="418"/>
      <c r="G395" s="383"/>
      <c r="H395" s="507"/>
      <c r="I395" s="382"/>
      <c r="J395" s="418"/>
      <c r="K395" s="383"/>
      <c r="L395" s="507"/>
      <c r="M395" s="382"/>
      <c r="N395" s="418"/>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8"/>
      <c r="AM395" s="383"/>
      <c r="AN395" s="507"/>
      <c r="AO395" s="382"/>
      <c r="AP395" s="418"/>
      <c r="AQ395" s="383"/>
      <c r="AR395" s="507"/>
      <c r="AS395" s="514"/>
      <c r="AT395" s="514"/>
    </row>
    <row r="396">
      <c r="A396" s="382"/>
      <c r="B396" s="418"/>
      <c r="C396" s="383"/>
      <c r="D396" s="507"/>
      <c r="E396" s="382"/>
      <c r="F396" s="418"/>
      <c r="G396" s="383"/>
      <c r="H396" s="507"/>
      <c r="I396" s="382"/>
      <c r="J396" s="418"/>
      <c r="K396" s="383"/>
      <c r="L396" s="507"/>
      <c r="M396" s="382"/>
      <c r="N396" s="418"/>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8"/>
      <c r="AM396" s="383"/>
      <c r="AN396" s="507"/>
      <c r="AO396" s="382"/>
      <c r="AP396" s="418"/>
      <c r="AQ396" s="383"/>
      <c r="AR396" s="507"/>
      <c r="AS396" s="514"/>
      <c r="AT396" s="514"/>
    </row>
    <row r="397">
      <c r="A397" s="382"/>
      <c r="B397" s="418"/>
      <c r="C397" s="383"/>
      <c r="D397" s="507"/>
      <c r="E397" s="382"/>
      <c r="F397" s="418"/>
      <c r="G397" s="383"/>
      <c r="H397" s="507"/>
      <c r="I397" s="382"/>
      <c r="J397" s="418"/>
      <c r="K397" s="383"/>
      <c r="L397" s="507"/>
      <c r="M397" s="382"/>
      <c r="N397" s="418"/>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8"/>
      <c r="AM397" s="383"/>
      <c r="AN397" s="507"/>
      <c r="AO397" s="382"/>
      <c r="AP397" s="418"/>
      <c r="AQ397" s="383"/>
      <c r="AR397" s="507"/>
      <c r="AS397" s="514"/>
      <c r="AT397" s="514"/>
    </row>
    <row r="398">
      <c r="A398" s="382"/>
      <c r="B398" s="418"/>
      <c r="C398" s="383"/>
      <c r="D398" s="507"/>
      <c r="E398" s="382"/>
      <c r="F398" s="418"/>
      <c r="G398" s="383"/>
      <c r="H398" s="507"/>
      <c r="I398" s="382"/>
      <c r="J398" s="418"/>
      <c r="K398" s="383"/>
      <c r="L398" s="507"/>
      <c r="M398" s="382"/>
      <c r="N398" s="418"/>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8"/>
      <c r="AM398" s="383"/>
      <c r="AN398" s="507"/>
      <c r="AO398" s="382"/>
      <c r="AP398" s="418"/>
      <c r="AQ398" s="383"/>
      <c r="AR398" s="507"/>
      <c r="AS398" s="514"/>
      <c r="AT398" s="514"/>
    </row>
    <row r="399">
      <c r="A399" s="382"/>
      <c r="B399" s="418"/>
      <c r="C399" s="383"/>
      <c r="D399" s="507"/>
      <c r="E399" s="382"/>
      <c r="F399" s="418"/>
      <c r="G399" s="383"/>
      <c r="H399" s="507"/>
      <c r="I399" s="382"/>
      <c r="J399" s="418"/>
      <c r="K399" s="383"/>
      <c r="L399" s="507"/>
      <c r="M399" s="382"/>
      <c r="N399" s="418"/>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8"/>
      <c r="AM399" s="383"/>
      <c r="AN399" s="507"/>
      <c r="AO399" s="382"/>
      <c r="AP399" s="418"/>
      <c r="AQ399" s="383"/>
      <c r="AR399" s="507"/>
      <c r="AS399" s="514"/>
      <c r="AT399" s="514"/>
    </row>
    <row r="400">
      <c r="A400" s="382"/>
      <c r="B400" s="418"/>
      <c r="C400" s="383"/>
      <c r="D400" s="507"/>
      <c r="E400" s="382"/>
      <c r="F400" s="418"/>
      <c r="G400" s="383"/>
      <c r="H400" s="507"/>
      <c r="I400" s="382"/>
      <c r="J400" s="418"/>
      <c r="K400" s="383"/>
      <c r="L400" s="507"/>
      <c r="M400" s="382"/>
      <c r="N400" s="418"/>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8"/>
      <c r="AM400" s="383"/>
      <c r="AN400" s="507"/>
      <c r="AO400" s="382"/>
      <c r="AP400" s="418"/>
      <c r="AQ400" s="383"/>
      <c r="AR400" s="507"/>
      <c r="AS400" s="514"/>
      <c r="AT400" s="514"/>
    </row>
    <row r="401">
      <c r="A401" s="382"/>
      <c r="B401" s="418"/>
      <c r="C401" s="383"/>
      <c r="D401" s="507"/>
      <c r="E401" s="382"/>
      <c r="F401" s="418"/>
      <c r="G401" s="383"/>
      <c r="H401" s="507"/>
      <c r="I401" s="382"/>
      <c r="J401" s="418"/>
      <c r="K401" s="383"/>
      <c r="L401" s="507"/>
      <c r="M401" s="382"/>
      <c r="N401" s="418"/>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8"/>
      <c r="AM401" s="383"/>
      <c r="AN401" s="507"/>
      <c r="AO401" s="382"/>
      <c r="AP401" s="418"/>
      <c r="AQ401" s="383"/>
      <c r="AR401" s="507"/>
      <c r="AS401" s="514"/>
      <c r="AT401" s="514"/>
    </row>
    <row r="402">
      <c r="A402" s="382"/>
      <c r="B402" s="418"/>
      <c r="C402" s="383"/>
      <c r="D402" s="507"/>
      <c r="E402" s="382"/>
      <c r="F402" s="418"/>
      <c r="G402" s="383"/>
      <c r="H402" s="507"/>
      <c r="I402" s="382"/>
      <c r="J402" s="418"/>
      <c r="K402" s="383"/>
      <c r="L402" s="507"/>
      <c r="M402" s="382"/>
      <c r="N402" s="418"/>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8"/>
      <c r="AM402" s="383"/>
      <c r="AN402" s="507"/>
      <c r="AO402" s="382"/>
      <c r="AP402" s="418"/>
      <c r="AQ402" s="383"/>
      <c r="AR402" s="507"/>
      <c r="AS402" s="514"/>
      <c r="AT402" s="514"/>
    </row>
    <row r="403">
      <c r="A403" s="382"/>
      <c r="B403" s="418"/>
      <c r="C403" s="383"/>
      <c r="D403" s="507"/>
      <c r="E403" s="382"/>
      <c r="F403" s="418"/>
      <c r="G403" s="383"/>
      <c r="H403" s="507"/>
      <c r="I403" s="382"/>
      <c r="J403" s="418"/>
      <c r="K403" s="383"/>
      <c r="L403" s="507"/>
      <c r="M403" s="382"/>
      <c r="N403" s="418"/>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8"/>
      <c r="AM403" s="383"/>
      <c r="AN403" s="507"/>
      <c r="AO403" s="382"/>
      <c r="AP403" s="418"/>
      <c r="AQ403" s="383"/>
      <c r="AR403" s="507"/>
      <c r="AS403" s="514"/>
      <c r="AT403" s="514"/>
    </row>
    <row r="404">
      <c r="A404" s="382"/>
      <c r="B404" s="418"/>
      <c r="C404" s="383"/>
      <c r="D404" s="507"/>
      <c r="E404" s="382"/>
      <c r="F404" s="418"/>
      <c r="G404" s="383"/>
      <c r="H404" s="507"/>
      <c r="I404" s="382"/>
      <c r="J404" s="418"/>
      <c r="K404" s="383"/>
      <c r="L404" s="507"/>
      <c r="M404" s="382"/>
      <c r="N404" s="418"/>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8"/>
      <c r="AM404" s="383"/>
      <c r="AN404" s="507"/>
      <c r="AO404" s="382"/>
      <c r="AP404" s="418"/>
      <c r="AQ404" s="383"/>
      <c r="AR404" s="507"/>
      <c r="AS404" s="514"/>
      <c r="AT404" s="514"/>
    </row>
    <row r="405">
      <c r="A405" s="382"/>
      <c r="B405" s="418"/>
      <c r="C405" s="383"/>
      <c r="D405" s="507"/>
      <c r="E405" s="382"/>
      <c r="F405" s="418"/>
      <c r="G405" s="383"/>
      <c r="H405" s="507"/>
      <c r="I405" s="382"/>
      <c r="J405" s="418"/>
      <c r="K405" s="383"/>
      <c r="L405" s="507"/>
      <c r="M405" s="382"/>
      <c r="N405" s="418"/>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8"/>
      <c r="AM405" s="383"/>
      <c r="AN405" s="507"/>
      <c r="AO405" s="382"/>
      <c r="AP405" s="418"/>
      <c r="AQ405" s="383"/>
      <c r="AR405" s="507"/>
      <c r="AS405" s="514"/>
      <c r="AT405" s="514"/>
    </row>
    <row r="406">
      <c r="A406" s="382"/>
      <c r="B406" s="418"/>
      <c r="C406" s="383"/>
      <c r="D406" s="507"/>
      <c r="E406" s="382"/>
      <c r="F406" s="418"/>
      <c r="G406" s="383"/>
      <c r="H406" s="507"/>
      <c r="I406" s="382"/>
      <c r="J406" s="418"/>
      <c r="K406" s="383"/>
      <c r="L406" s="507"/>
      <c r="M406" s="382"/>
      <c r="N406" s="418"/>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8"/>
      <c r="AM406" s="383"/>
      <c r="AN406" s="507"/>
      <c r="AO406" s="382"/>
      <c r="AP406" s="418"/>
      <c r="AQ406" s="383"/>
      <c r="AR406" s="507"/>
      <c r="AS406" s="514"/>
      <c r="AT406" s="514"/>
    </row>
    <row r="407">
      <c r="A407" s="382"/>
      <c r="B407" s="418"/>
      <c r="C407" s="383"/>
      <c r="D407" s="507"/>
      <c r="E407" s="382"/>
      <c r="F407" s="418"/>
      <c r="G407" s="383"/>
      <c r="H407" s="507"/>
      <c r="I407" s="382"/>
      <c r="J407" s="418"/>
      <c r="K407" s="383"/>
      <c r="L407" s="507"/>
      <c r="M407" s="382"/>
      <c r="N407" s="418"/>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8"/>
      <c r="AM407" s="383"/>
      <c r="AN407" s="507"/>
      <c r="AO407" s="382"/>
      <c r="AP407" s="418"/>
      <c r="AQ407" s="383"/>
      <c r="AR407" s="507"/>
      <c r="AS407" s="514"/>
      <c r="AT407" s="514"/>
    </row>
    <row r="408">
      <c r="A408" s="382"/>
      <c r="B408" s="418"/>
      <c r="C408" s="383"/>
      <c r="D408" s="507"/>
      <c r="E408" s="382"/>
      <c r="F408" s="418"/>
      <c r="G408" s="383"/>
      <c r="H408" s="507"/>
      <c r="I408" s="382"/>
      <c r="J408" s="418"/>
      <c r="K408" s="383"/>
      <c r="L408" s="507"/>
      <c r="M408" s="382"/>
      <c r="N408" s="418"/>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8"/>
      <c r="AM408" s="383"/>
      <c r="AN408" s="507"/>
      <c r="AO408" s="382"/>
      <c r="AP408" s="418"/>
      <c r="AQ408" s="383"/>
      <c r="AR408" s="507"/>
      <c r="AS408" s="514"/>
      <c r="AT408" s="514"/>
    </row>
    <row r="409">
      <c r="A409" s="382"/>
      <c r="B409" s="418"/>
      <c r="C409" s="383"/>
      <c r="D409" s="507"/>
      <c r="E409" s="382"/>
      <c r="F409" s="418"/>
      <c r="G409" s="383"/>
      <c r="H409" s="507"/>
      <c r="I409" s="382"/>
      <c r="J409" s="418"/>
      <c r="K409" s="383"/>
      <c r="L409" s="507"/>
      <c r="M409" s="382"/>
      <c r="N409" s="418"/>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8"/>
      <c r="AM409" s="383"/>
      <c r="AN409" s="507"/>
      <c r="AO409" s="382"/>
      <c r="AP409" s="418"/>
      <c r="AQ409" s="383"/>
      <c r="AR409" s="507"/>
      <c r="AS409" s="514"/>
      <c r="AT409" s="514"/>
    </row>
    <row r="410">
      <c r="A410" s="382"/>
      <c r="B410" s="418"/>
      <c r="C410" s="383"/>
      <c r="D410" s="507"/>
      <c r="E410" s="382"/>
      <c r="F410" s="418"/>
      <c r="G410" s="383"/>
      <c r="H410" s="507"/>
      <c r="I410" s="382"/>
      <c r="J410" s="418"/>
      <c r="K410" s="383"/>
      <c r="L410" s="507"/>
      <c r="M410" s="382"/>
      <c r="N410" s="418"/>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8"/>
      <c r="AM410" s="383"/>
      <c r="AN410" s="507"/>
      <c r="AO410" s="382"/>
      <c r="AP410" s="418"/>
      <c r="AQ410" s="383"/>
      <c r="AR410" s="507"/>
      <c r="AS410" s="514"/>
      <c r="AT410" s="514"/>
    </row>
    <row r="411">
      <c r="A411" s="382"/>
      <c r="B411" s="418"/>
      <c r="C411" s="383"/>
      <c r="D411" s="507"/>
      <c r="E411" s="382"/>
      <c r="F411" s="418"/>
      <c r="G411" s="383"/>
      <c r="H411" s="507"/>
      <c r="I411" s="382"/>
      <c r="J411" s="418"/>
      <c r="K411" s="383"/>
      <c r="L411" s="507"/>
      <c r="M411" s="382"/>
      <c r="N411" s="418"/>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8"/>
      <c r="AM411" s="383"/>
      <c r="AN411" s="507"/>
      <c r="AO411" s="382"/>
      <c r="AP411" s="418"/>
      <c r="AQ411" s="383"/>
      <c r="AR411" s="507"/>
      <c r="AS411" s="514"/>
      <c r="AT411" s="514"/>
    </row>
    <row r="412">
      <c r="A412" s="382"/>
      <c r="B412" s="418"/>
      <c r="C412" s="383"/>
      <c r="D412" s="507"/>
      <c r="E412" s="382"/>
      <c r="F412" s="418"/>
      <c r="G412" s="383"/>
      <c r="H412" s="507"/>
      <c r="I412" s="382"/>
      <c r="J412" s="418"/>
      <c r="K412" s="383"/>
      <c r="L412" s="507"/>
      <c r="M412" s="382"/>
      <c r="N412" s="418"/>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8"/>
      <c r="AM412" s="383"/>
      <c r="AN412" s="507"/>
      <c r="AO412" s="382"/>
      <c r="AP412" s="418"/>
      <c r="AQ412" s="383"/>
      <c r="AR412" s="507"/>
      <c r="AS412" s="514"/>
      <c r="AT412" s="514"/>
    </row>
    <row r="413">
      <c r="A413" s="382"/>
      <c r="B413" s="418"/>
      <c r="C413" s="383"/>
      <c r="D413" s="507"/>
      <c r="E413" s="382"/>
      <c r="F413" s="418"/>
      <c r="G413" s="383"/>
      <c r="H413" s="507"/>
      <c r="I413" s="382"/>
      <c r="J413" s="418"/>
      <c r="K413" s="383"/>
      <c r="L413" s="507"/>
      <c r="M413" s="382"/>
      <c r="N413" s="418"/>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8"/>
      <c r="AM413" s="383"/>
      <c r="AN413" s="507"/>
      <c r="AO413" s="382"/>
      <c r="AP413" s="418"/>
      <c r="AQ413" s="383"/>
      <c r="AR413" s="507"/>
      <c r="AS413" s="514"/>
      <c r="AT413" s="514"/>
    </row>
    <row r="414">
      <c r="A414" s="382"/>
      <c r="B414" s="418"/>
      <c r="C414" s="383"/>
      <c r="D414" s="507"/>
      <c r="E414" s="382"/>
      <c r="F414" s="418"/>
      <c r="G414" s="383"/>
      <c r="H414" s="507"/>
      <c r="I414" s="382"/>
      <c r="J414" s="418"/>
      <c r="K414" s="383"/>
      <c r="L414" s="507"/>
      <c r="M414" s="382"/>
      <c r="N414" s="418"/>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8"/>
      <c r="AM414" s="383"/>
      <c r="AN414" s="507"/>
      <c r="AO414" s="382"/>
      <c r="AP414" s="418"/>
      <c r="AQ414" s="383"/>
      <c r="AR414" s="507"/>
      <c r="AS414" s="514"/>
      <c r="AT414" s="514"/>
    </row>
    <row r="415">
      <c r="A415" s="382"/>
      <c r="B415" s="418"/>
      <c r="C415" s="383"/>
      <c r="D415" s="507"/>
      <c r="E415" s="382"/>
      <c r="F415" s="418"/>
      <c r="G415" s="383"/>
      <c r="H415" s="507"/>
      <c r="I415" s="382"/>
      <c r="J415" s="418"/>
      <c r="K415" s="383"/>
      <c r="L415" s="507"/>
      <c r="M415" s="382"/>
      <c r="N415" s="418"/>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8"/>
      <c r="AM415" s="383"/>
      <c r="AN415" s="507"/>
      <c r="AO415" s="382"/>
      <c r="AP415" s="418"/>
      <c r="AQ415" s="383"/>
      <c r="AR415" s="507"/>
      <c r="AS415" s="514"/>
      <c r="AT415" s="514"/>
    </row>
    <row r="416">
      <c r="A416" s="382"/>
      <c r="B416" s="418"/>
      <c r="C416" s="383"/>
      <c r="D416" s="507"/>
      <c r="E416" s="382"/>
      <c r="F416" s="418"/>
      <c r="G416" s="383"/>
      <c r="H416" s="507"/>
      <c r="I416" s="382"/>
      <c r="J416" s="418"/>
      <c r="K416" s="383"/>
      <c r="L416" s="507"/>
      <c r="M416" s="382"/>
      <c r="N416" s="418"/>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8"/>
      <c r="AM416" s="383"/>
      <c r="AN416" s="507"/>
      <c r="AO416" s="382"/>
      <c r="AP416" s="418"/>
      <c r="AQ416" s="383"/>
      <c r="AR416" s="507"/>
      <c r="AS416" s="514"/>
      <c r="AT416" s="514"/>
    </row>
    <row r="417">
      <c r="A417" s="382"/>
      <c r="B417" s="418"/>
      <c r="C417" s="383"/>
      <c r="D417" s="507"/>
      <c r="E417" s="382"/>
      <c r="F417" s="418"/>
      <c r="G417" s="383"/>
      <c r="H417" s="507"/>
      <c r="I417" s="382"/>
      <c r="J417" s="418"/>
      <c r="K417" s="383"/>
      <c r="L417" s="507"/>
      <c r="M417" s="382"/>
      <c r="N417" s="418"/>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8"/>
      <c r="AM417" s="383"/>
      <c r="AN417" s="507"/>
      <c r="AO417" s="382"/>
      <c r="AP417" s="418"/>
      <c r="AQ417" s="383"/>
      <c r="AR417" s="507"/>
      <c r="AS417" s="514"/>
      <c r="AT417" s="514"/>
    </row>
    <row r="418">
      <c r="A418" s="382"/>
      <c r="B418" s="418"/>
      <c r="C418" s="383"/>
      <c r="D418" s="507"/>
      <c r="E418" s="382"/>
      <c r="F418" s="418"/>
      <c r="G418" s="383"/>
      <c r="H418" s="507"/>
      <c r="I418" s="382"/>
      <c r="J418" s="418"/>
      <c r="K418" s="383"/>
      <c r="L418" s="507"/>
      <c r="M418" s="382"/>
      <c r="N418" s="418"/>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8"/>
      <c r="AM418" s="383"/>
      <c r="AN418" s="507"/>
      <c r="AO418" s="382"/>
      <c r="AP418" s="418"/>
      <c r="AQ418" s="383"/>
      <c r="AR418" s="507"/>
      <c r="AS418" s="514"/>
      <c r="AT418" s="514"/>
    </row>
    <row r="419">
      <c r="A419" s="382"/>
      <c r="B419" s="418"/>
      <c r="C419" s="383"/>
      <c r="D419" s="507"/>
      <c r="E419" s="382"/>
      <c r="F419" s="418"/>
      <c r="G419" s="383"/>
      <c r="H419" s="507"/>
      <c r="I419" s="382"/>
      <c r="J419" s="418"/>
      <c r="K419" s="383"/>
      <c r="L419" s="507"/>
      <c r="M419" s="382"/>
      <c r="N419" s="418"/>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8"/>
      <c r="AM419" s="383"/>
      <c r="AN419" s="507"/>
      <c r="AO419" s="382"/>
      <c r="AP419" s="418"/>
      <c r="AQ419" s="383"/>
      <c r="AR419" s="507"/>
      <c r="AS419" s="514"/>
      <c r="AT419" s="514"/>
    </row>
    <row r="420">
      <c r="A420" s="382"/>
      <c r="B420" s="418"/>
      <c r="C420" s="383"/>
      <c r="D420" s="507"/>
      <c r="E420" s="382"/>
      <c r="F420" s="418"/>
      <c r="G420" s="383"/>
      <c r="H420" s="507"/>
      <c r="I420" s="382"/>
      <c r="J420" s="418"/>
      <c r="K420" s="383"/>
      <c r="L420" s="507"/>
      <c r="M420" s="382"/>
      <c r="N420" s="418"/>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8"/>
      <c r="AM420" s="383"/>
      <c r="AN420" s="507"/>
      <c r="AO420" s="382"/>
      <c r="AP420" s="418"/>
      <c r="AQ420" s="383"/>
      <c r="AR420" s="507"/>
      <c r="AS420" s="514"/>
      <c r="AT420" s="514"/>
    </row>
    <row r="421">
      <c r="A421" s="382"/>
      <c r="B421" s="418"/>
      <c r="C421" s="383"/>
      <c r="D421" s="507"/>
      <c r="E421" s="382"/>
      <c r="F421" s="418"/>
      <c r="G421" s="383"/>
      <c r="H421" s="507"/>
      <c r="I421" s="382"/>
      <c r="J421" s="418"/>
      <c r="K421" s="383"/>
      <c r="L421" s="507"/>
      <c r="M421" s="382"/>
      <c r="N421" s="418"/>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8"/>
      <c r="AM421" s="383"/>
      <c r="AN421" s="507"/>
      <c r="AO421" s="382"/>
      <c r="AP421" s="418"/>
      <c r="AQ421" s="383"/>
      <c r="AR421" s="507"/>
      <c r="AS421" s="514"/>
      <c r="AT421" s="514"/>
    </row>
    <row r="422">
      <c r="A422" s="382"/>
      <c r="B422" s="418"/>
      <c r="C422" s="383"/>
      <c r="D422" s="507"/>
      <c r="E422" s="382"/>
      <c r="F422" s="418"/>
      <c r="G422" s="383"/>
      <c r="H422" s="507"/>
      <c r="I422" s="382"/>
      <c r="J422" s="418"/>
      <c r="K422" s="383"/>
      <c r="L422" s="507"/>
      <c r="M422" s="382"/>
      <c r="N422" s="418"/>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8"/>
      <c r="AM422" s="383"/>
      <c r="AN422" s="507"/>
      <c r="AO422" s="382"/>
      <c r="AP422" s="418"/>
      <c r="AQ422" s="383"/>
      <c r="AR422" s="507"/>
      <c r="AS422" s="514"/>
      <c r="AT422" s="514"/>
    </row>
    <row r="423">
      <c r="A423" s="382"/>
      <c r="B423" s="418"/>
      <c r="C423" s="383"/>
      <c r="D423" s="507"/>
      <c r="E423" s="382"/>
      <c r="F423" s="418"/>
      <c r="G423" s="383"/>
      <c r="H423" s="507"/>
      <c r="I423" s="382"/>
      <c r="J423" s="418"/>
      <c r="K423" s="383"/>
      <c r="L423" s="507"/>
      <c r="M423" s="382"/>
      <c r="N423" s="418"/>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8"/>
      <c r="AM423" s="383"/>
      <c r="AN423" s="507"/>
      <c r="AO423" s="382"/>
      <c r="AP423" s="418"/>
      <c r="AQ423" s="383"/>
      <c r="AR423" s="507"/>
      <c r="AS423" s="514"/>
      <c r="AT423" s="514"/>
    </row>
    <row r="424">
      <c r="A424" s="382"/>
      <c r="B424" s="418"/>
      <c r="C424" s="383"/>
      <c r="D424" s="507"/>
      <c r="E424" s="382"/>
      <c r="F424" s="418"/>
      <c r="G424" s="383"/>
      <c r="H424" s="507"/>
      <c r="I424" s="382"/>
      <c r="J424" s="418"/>
      <c r="K424" s="383"/>
      <c r="L424" s="507"/>
      <c r="M424" s="382"/>
      <c r="N424" s="418"/>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8"/>
      <c r="AM424" s="383"/>
      <c r="AN424" s="507"/>
      <c r="AO424" s="382"/>
      <c r="AP424" s="418"/>
      <c r="AQ424" s="383"/>
      <c r="AR424" s="507"/>
      <c r="AS424" s="514"/>
      <c r="AT424" s="514"/>
    </row>
    <row r="425">
      <c r="A425" s="382"/>
      <c r="B425" s="418"/>
      <c r="C425" s="383"/>
      <c r="D425" s="507"/>
      <c r="E425" s="382"/>
      <c r="F425" s="418"/>
      <c r="G425" s="383"/>
      <c r="H425" s="507"/>
      <c r="I425" s="382"/>
      <c r="J425" s="418"/>
      <c r="K425" s="383"/>
      <c r="L425" s="507"/>
      <c r="M425" s="382"/>
      <c r="N425" s="418"/>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8"/>
      <c r="AM425" s="383"/>
      <c r="AN425" s="507"/>
      <c r="AO425" s="382"/>
      <c r="AP425" s="418"/>
      <c r="AQ425" s="383"/>
      <c r="AR425" s="507"/>
      <c r="AS425" s="514"/>
      <c r="AT425" s="514"/>
    </row>
    <row r="426">
      <c r="A426" s="382"/>
      <c r="B426" s="418"/>
      <c r="C426" s="383"/>
      <c r="D426" s="507"/>
      <c r="E426" s="382"/>
      <c r="F426" s="418"/>
      <c r="G426" s="383"/>
      <c r="H426" s="507"/>
      <c r="I426" s="382"/>
      <c r="J426" s="418"/>
      <c r="K426" s="383"/>
      <c r="L426" s="507"/>
      <c r="M426" s="382"/>
      <c r="N426" s="418"/>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8"/>
      <c r="AM426" s="383"/>
      <c r="AN426" s="507"/>
      <c r="AO426" s="382"/>
      <c r="AP426" s="418"/>
      <c r="AQ426" s="383"/>
      <c r="AR426" s="507"/>
      <c r="AS426" s="514"/>
      <c r="AT426" s="514"/>
    </row>
    <row r="427">
      <c r="A427" s="382"/>
      <c r="B427" s="418"/>
      <c r="C427" s="383"/>
      <c r="D427" s="507"/>
      <c r="E427" s="382"/>
      <c r="F427" s="418"/>
      <c r="G427" s="383"/>
      <c r="H427" s="507"/>
      <c r="I427" s="382"/>
      <c r="J427" s="418"/>
      <c r="K427" s="383"/>
      <c r="L427" s="507"/>
      <c r="M427" s="382"/>
      <c r="N427" s="418"/>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8"/>
      <c r="AM427" s="383"/>
      <c r="AN427" s="507"/>
      <c r="AO427" s="382"/>
      <c r="AP427" s="418"/>
      <c r="AQ427" s="383"/>
      <c r="AR427" s="507"/>
      <c r="AS427" s="514"/>
      <c r="AT427" s="514"/>
    </row>
    <row r="428">
      <c r="A428" s="382"/>
      <c r="B428" s="418"/>
      <c r="C428" s="383"/>
      <c r="D428" s="507"/>
      <c r="E428" s="382"/>
      <c r="F428" s="418"/>
      <c r="G428" s="383"/>
      <c r="H428" s="507"/>
      <c r="I428" s="382"/>
      <c r="J428" s="418"/>
      <c r="K428" s="383"/>
      <c r="L428" s="507"/>
      <c r="M428" s="382"/>
      <c r="N428" s="418"/>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8"/>
      <c r="AM428" s="383"/>
      <c r="AN428" s="507"/>
      <c r="AO428" s="382"/>
      <c r="AP428" s="418"/>
      <c r="AQ428" s="383"/>
      <c r="AR428" s="507"/>
      <c r="AS428" s="514"/>
      <c r="AT428" s="514"/>
    </row>
    <row r="429">
      <c r="A429" s="382"/>
      <c r="B429" s="418"/>
      <c r="C429" s="383"/>
      <c r="D429" s="507"/>
      <c r="E429" s="382"/>
      <c r="F429" s="418"/>
      <c r="G429" s="383"/>
      <c r="H429" s="507"/>
      <c r="I429" s="382"/>
      <c r="J429" s="418"/>
      <c r="K429" s="383"/>
      <c r="L429" s="507"/>
      <c r="M429" s="382"/>
      <c r="N429" s="418"/>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8"/>
      <c r="AM429" s="383"/>
      <c r="AN429" s="507"/>
      <c r="AO429" s="382"/>
      <c r="AP429" s="418"/>
      <c r="AQ429" s="383"/>
      <c r="AR429" s="507"/>
      <c r="AS429" s="514"/>
      <c r="AT429" s="514"/>
    </row>
    <row r="430">
      <c r="A430" s="382"/>
      <c r="B430" s="418"/>
      <c r="C430" s="383"/>
      <c r="D430" s="507"/>
      <c r="E430" s="382"/>
      <c r="F430" s="418"/>
      <c r="G430" s="383"/>
      <c r="H430" s="507"/>
      <c r="I430" s="382"/>
      <c r="J430" s="418"/>
      <c r="K430" s="383"/>
      <c r="L430" s="507"/>
      <c r="M430" s="382"/>
      <c r="N430" s="418"/>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8"/>
      <c r="AM430" s="383"/>
      <c r="AN430" s="507"/>
      <c r="AO430" s="382"/>
      <c r="AP430" s="418"/>
      <c r="AQ430" s="383"/>
      <c r="AR430" s="507"/>
      <c r="AS430" s="514"/>
      <c r="AT430" s="514"/>
    </row>
    <row r="431">
      <c r="A431" s="382"/>
      <c r="B431" s="418"/>
      <c r="C431" s="383"/>
      <c r="D431" s="507"/>
      <c r="E431" s="382"/>
      <c r="F431" s="418"/>
      <c r="G431" s="383"/>
      <c r="H431" s="507"/>
      <c r="I431" s="382"/>
      <c r="J431" s="418"/>
      <c r="K431" s="383"/>
      <c r="L431" s="507"/>
      <c r="M431" s="382"/>
      <c r="N431" s="418"/>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8"/>
      <c r="AM431" s="383"/>
      <c r="AN431" s="507"/>
      <c r="AO431" s="382"/>
      <c r="AP431" s="418"/>
      <c r="AQ431" s="383"/>
      <c r="AR431" s="507"/>
      <c r="AS431" s="514"/>
      <c r="AT431" s="514"/>
    </row>
    <row r="432">
      <c r="A432" s="382"/>
      <c r="B432" s="418"/>
      <c r="C432" s="383"/>
      <c r="D432" s="507"/>
      <c r="E432" s="382"/>
      <c r="F432" s="418"/>
      <c r="G432" s="383"/>
      <c r="H432" s="507"/>
      <c r="I432" s="382"/>
      <c r="J432" s="418"/>
      <c r="K432" s="383"/>
      <c r="L432" s="507"/>
      <c r="M432" s="382"/>
      <c r="N432" s="418"/>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8"/>
      <c r="AM432" s="383"/>
      <c r="AN432" s="507"/>
      <c r="AO432" s="382"/>
      <c r="AP432" s="418"/>
      <c r="AQ432" s="383"/>
      <c r="AR432" s="507"/>
      <c r="AS432" s="514"/>
      <c r="AT432" s="514"/>
    </row>
    <row r="433">
      <c r="A433" s="382"/>
      <c r="B433" s="418"/>
      <c r="C433" s="383"/>
      <c r="D433" s="507"/>
      <c r="E433" s="382"/>
      <c r="F433" s="418"/>
      <c r="G433" s="383"/>
      <c r="H433" s="507"/>
      <c r="I433" s="382"/>
      <c r="J433" s="418"/>
      <c r="K433" s="383"/>
      <c r="L433" s="507"/>
      <c r="M433" s="382"/>
      <c r="N433" s="418"/>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8"/>
      <c r="AM433" s="383"/>
      <c r="AN433" s="507"/>
      <c r="AO433" s="382"/>
      <c r="AP433" s="418"/>
      <c r="AQ433" s="383"/>
      <c r="AR433" s="507"/>
      <c r="AS433" s="514"/>
      <c r="AT433" s="514"/>
    </row>
    <row r="434">
      <c r="A434" s="382"/>
      <c r="B434" s="418"/>
      <c r="C434" s="383"/>
      <c r="D434" s="507"/>
      <c r="E434" s="382"/>
      <c r="F434" s="418"/>
      <c r="G434" s="383"/>
      <c r="H434" s="507"/>
      <c r="I434" s="382"/>
      <c r="J434" s="418"/>
      <c r="K434" s="383"/>
      <c r="L434" s="507"/>
      <c r="M434" s="382"/>
      <c r="N434" s="418"/>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8"/>
      <c r="AM434" s="383"/>
      <c r="AN434" s="507"/>
      <c r="AO434" s="382"/>
      <c r="AP434" s="418"/>
      <c r="AQ434" s="383"/>
      <c r="AR434" s="507"/>
      <c r="AS434" s="514"/>
      <c r="AT434" s="514"/>
    </row>
    <row r="435">
      <c r="A435" s="382"/>
      <c r="B435" s="418"/>
      <c r="C435" s="383"/>
      <c r="D435" s="507"/>
      <c r="E435" s="382"/>
      <c r="F435" s="418"/>
      <c r="G435" s="383"/>
      <c r="H435" s="507"/>
      <c r="I435" s="382"/>
      <c r="J435" s="418"/>
      <c r="K435" s="383"/>
      <c r="L435" s="507"/>
      <c r="M435" s="382"/>
      <c r="N435" s="418"/>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8"/>
      <c r="AM435" s="383"/>
      <c r="AN435" s="507"/>
      <c r="AO435" s="382"/>
      <c r="AP435" s="418"/>
      <c r="AQ435" s="383"/>
      <c r="AR435" s="507"/>
      <c r="AS435" s="514"/>
      <c r="AT435" s="514"/>
    </row>
    <row r="436">
      <c r="A436" s="382"/>
      <c r="B436" s="418"/>
      <c r="C436" s="383"/>
      <c r="D436" s="507"/>
      <c r="E436" s="382"/>
      <c r="F436" s="418"/>
      <c r="G436" s="383"/>
      <c r="H436" s="507"/>
      <c r="I436" s="382"/>
      <c r="J436" s="418"/>
      <c r="K436" s="383"/>
      <c r="L436" s="507"/>
      <c r="M436" s="382"/>
      <c r="N436" s="418"/>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8"/>
      <c r="AM436" s="383"/>
      <c r="AN436" s="507"/>
      <c r="AO436" s="382"/>
      <c r="AP436" s="418"/>
      <c r="AQ436" s="383"/>
      <c r="AR436" s="507"/>
      <c r="AS436" s="514"/>
      <c r="AT436" s="514"/>
    </row>
    <row r="437">
      <c r="A437" s="382"/>
      <c r="B437" s="418"/>
      <c r="C437" s="383"/>
      <c r="D437" s="507"/>
      <c r="E437" s="382"/>
      <c r="F437" s="418"/>
      <c r="G437" s="383"/>
      <c r="H437" s="507"/>
      <c r="I437" s="382"/>
      <c r="J437" s="418"/>
      <c r="K437" s="383"/>
      <c r="L437" s="507"/>
      <c r="M437" s="382"/>
      <c r="N437" s="418"/>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8"/>
      <c r="AM437" s="383"/>
      <c r="AN437" s="507"/>
      <c r="AO437" s="382"/>
      <c r="AP437" s="418"/>
      <c r="AQ437" s="383"/>
      <c r="AR437" s="507"/>
      <c r="AS437" s="514"/>
      <c r="AT437" s="514"/>
    </row>
    <row r="438">
      <c r="A438" s="382"/>
      <c r="B438" s="418"/>
      <c r="C438" s="383"/>
      <c r="D438" s="507"/>
      <c r="E438" s="382"/>
      <c r="F438" s="418"/>
      <c r="G438" s="383"/>
      <c r="H438" s="507"/>
      <c r="I438" s="382"/>
      <c r="J438" s="418"/>
      <c r="K438" s="383"/>
      <c r="L438" s="507"/>
      <c r="M438" s="382"/>
      <c r="N438" s="418"/>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8"/>
      <c r="AM438" s="383"/>
      <c r="AN438" s="507"/>
      <c r="AO438" s="382"/>
      <c r="AP438" s="418"/>
      <c r="AQ438" s="383"/>
      <c r="AR438" s="507"/>
      <c r="AS438" s="514"/>
      <c r="AT438" s="514"/>
    </row>
    <row r="439">
      <c r="A439" s="382"/>
      <c r="B439" s="418"/>
      <c r="C439" s="383"/>
      <c r="D439" s="507"/>
      <c r="E439" s="382"/>
      <c r="F439" s="418"/>
      <c r="G439" s="383"/>
      <c r="H439" s="507"/>
      <c r="I439" s="382"/>
      <c r="J439" s="418"/>
      <c r="K439" s="383"/>
      <c r="L439" s="507"/>
      <c r="M439" s="382"/>
      <c r="N439" s="418"/>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8"/>
      <c r="AM439" s="383"/>
      <c r="AN439" s="507"/>
      <c r="AO439" s="382"/>
      <c r="AP439" s="418"/>
      <c r="AQ439" s="383"/>
      <c r="AR439" s="507"/>
      <c r="AS439" s="514"/>
      <c r="AT439" s="514"/>
    </row>
    <row r="440">
      <c r="A440" s="382"/>
      <c r="B440" s="418"/>
      <c r="C440" s="383"/>
      <c r="D440" s="507"/>
      <c r="E440" s="382"/>
      <c r="F440" s="418"/>
      <c r="G440" s="383"/>
      <c r="H440" s="507"/>
      <c r="I440" s="382"/>
      <c r="J440" s="418"/>
      <c r="K440" s="383"/>
      <c r="L440" s="507"/>
      <c r="M440" s="382"/>
      <c r="N440" s="418"/>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8"/>
      <c r="AM440" s="383"/>
      <c r="AN440" s="507"/>
      <c r="AO440" s="382"/>
      <c r="AP440" s="418"/>
      <c r="AQ440" s="383"/>
      <c r="AR440" s="507"/>
      <c r="AS440" s="514"/>
      <c r="AT440" s="514"/>
    </row>
    <row r="441">
      <c r="A441" s="382"/>
      <c r="B441" s="418"/>
      <c r="C441" s="383"/>
      <c r="D441" s="507"/>
      <c r="E441" s="382"/>
      <c r="F441" s="418"/>
      <c r="G441" s="383"/>
      <c r="H441" s="507"/>
      <c r="I441" s="382"/>
      <c r="J441" s="418"/>
      <c r="K441" s="383"/>
      <c r="L441" s="507"/>
      <c r="M441" s="382"/>
      <c r="N441" s="418"/>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8"/>
      <c r="AM441" s="383"/>
      <c r="AN441" s="507"/>
      <c r="AO441" s="382"/>
      <c r="AP441" s="418"/>
      <c r="AQ441" s="383"/>
      <c r="AR441" s="507"/>
      <c r="AS441" s="514"/>
      <c r="AT441" s="514"/>
    </row>
    <row r="442">
      <c r="A442" s="382"/>
      <c r="B442" s="418"/>
      <c r="C442" s="383"/>
      <c r="D442" s="507"/>
      <c r="E442" s="382"/>
      <c r="F442" s="418"/>
      <c r="G442" s="383"/>
      <c r="H442" s="507"/>
      <c r="I442" s="382"/>
      <c r="J442" s="418"/>
      <c r="K442" s="383"/>
      <c r="L442" s="507"/>
      <c r="M442" s="382"/>
      <c r="N442" s="418"/>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8"/>
      <c r="AM442" s="383"/>
      <c r="AN442" s="507"/>
      <c r="AO442" s="382"/>
      <c r="AP442" s="418"/>
      <c r="AQ442" s="383"/>
      <c r="AR442" s="507"/>
      <c r="AS442" s="514"/>
      <c r="AT442" s="514"/>
    </row>
    <row r="443">
      <c r="A443" s="382"/>
      <c r="B443" s="418"/>
      <c r="C443" s="383"/>
      <c r="D443" s="507"/>
      <c r="E443" s="382"/>
      <c r="F443" s="418"/>
      <c r="G443" s="383"/>
      <c r="H443" s="507"/>
      <c r="I443" s="382"/>
      <c r="J443" s="418"/>
      <c r="K443" s="383"/>
      <c r="L443" s="507"/>
      <c r="M443" s="382"/>
      <c r="N443" s="418"/>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8"/>
      <c r="AM443" s="383"/>
      <c r="AN443" s="507"/>
      <c r="AO443" s="382"/>
      <c r="AP443" s="418"/>
      <c r="AQ443" s="383"/>
      <c r="AR443" s="507"/>
      <c r="AS443" s="514"/>
      <c r="AT443" s="514"/>
    </row>
    <row r="444">
      <c r="A444" s="382"/>
      <c r="B444" s="418"/>
      <c r="C444" s="383"/>
      <c r="D444" s="507"/>
      <c r="E444" s="382"/>
      <c r="F444" s="418"/>
      <c r="G444" s="383"/>
      <c r="H444" s="507"/>
      <c r="I444" s="382"/>
      <c r="J444" s="418"/>
      <c r="K444" s="383"/>
      <c r="L444" s="507"/>
      <c r="M444" s="382"/>
      <c r="N444" s="418"/>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8"/>
      <c r="AM444" s="383"/>
      <c r="AN444" s="507"/>
      <c r="AO444" s="382"/>
      <c r="AP444" s="418"/>
      <c r="AQ444" s="383"/>
      <c r="AR444" s="507"/>
      <c r="AS444" s="514"/>
      <c r="AT444" s="514"/>
    </row>
    <row r="445">
      <c r="A445" s="382"/>
      <c r="B445" s="418"/>
      <c r="C445" s="383"/>
      <c r="D445" s="507"/>
      <c r="E445" s="382"/>
      <c r="F445" s="418"/>
      <c r="G445" s="383"/>
      <c r="H445" s="507"/>
      <c r="I445" s="382"/>
      <c r="J445" s="418"/>
      <c r="K445" s="383"/>
      <c r="L445" s="507"/>
      <c r="M445" s="382"/>
      <c r="N445" s="418"/>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8"/>
      <c r="AM445" s="383"/>
      <c r="AN445" s="507"/>
      <c r="AO445" s="382"/>
      <c r="AP445" s="418"/>
      <c r="AQ445" s="383"/>
      <c r="AR445" s="507"/>
      <c r="AS445" s="514"/>
      <c r="AT445" s="514"/>
    </row>
    <row r="446">
      <c r="A446" s="382"/>
      <c r="B446" s="418"/>
      <c r="C446" s="383"/>
      <c r="D446" s="507"/>
      <c r="E446" s="382"/>
      <c r="F446" s="418"/>
      <c r="G446" s="383"/>
      <c r="H446" s="507"/>
      <c r="I446" s="382"/>
      <c r="J446" s="418"/>
      <c r="K446" s="383"/>
      <c r="L446" s="507"/>
      <c r="M446" s="382"/>
      <c r="N446" s="418"/>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8"/>
      <c r="AM446" s="383"/>
      <c r="AN446" s="507"/>
      <c r="AO446" s="382"/>
      <c r="AP446" s="418"/>
      <c r="AQ446" s="383"/>
      <c r="AR446" s="507"/>
      <c r="AS446" s="514"/>
      <c r="AT446" s="514"/>
    </row>
    <row r="447">
      <c r="A447" s="382"/>
      <c r="B447" s="418"/>
      <c r="C447" s="383"/>
      <c r="D447" s="507"/>
      <c r="E447" s="382"/>
      <c r="F447" s="418"/>
      <c r="G447" s="383"/>
      <c r="H447" s="507"/>
      <c r="I447" s="382"/>
      <c r="J447" s="418"/>
      <c r="K447" s="383"/>
      <c r="L447" s="507"/>
      <c r="M447" s="382"/>
      <c r="N447" s="418"/>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8"/>
      <c r="AM447" s="383"/>
      <c r="AN447" s="507"/>
      <c r="AO447" s="382"/>
      <c r="AP447" s="418"/>
      <c r="AQ447" s="383"/>
      <c r="AR447" s="507"/>
      <c r="AS447" s="514"/>
      <c r="AT447" s="514"/>
    </row>
    <row r="448">
      <c r="A448" s="382"/>
      <c r="B448" s="418"/>
      <c r="C448" s="383"/>
      <c r="D448" s="507"/>
      <c r="E448" s="382"/>
      <c r="F448" s="418"/>
      <c r="G448" s="383"/>
      <c r="H448" s="507"/>
      <c r="I448" s="382"/>
      <c r="J448" s="418"/>
      <c r="K448" s="383"/>
      <c r="L448" s="507"/>
      <c r="M448" s="382"/>
      <c r="N448" s="418"/>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8"/>
      <c r="AM448" s="383"/>
      <c r="AN448" s="507"/>
      <c r="AO448" s="382"/>
      <c r="AP448" s="418"/>
      <c r="AQ448" s="383"/>
      <c r="AR448" s="507"/>
      <c r="AS448" s="514"/>
      <c r="AT448" s="514"/>
    </row>
    <row r="449">
      <c r="A449" s="382"/>
      <c r="B449" s="418"/>
      <c r="C449" s="383"/>
      <c r="D449" s="507"/>
      <c r="E449" s="382"/>
      <c r="F449" s="418"/>
      <c r="G449" s="383"/>
      <c r="H449" s="507"/>
      <c r="I449" s="382"/>
      <c r="J449" s="418"/>
      <c r="K449" s="383"/>
      <c r="L449" s="507"/>
      <c r="M449" s="382"/>
      <c r="N449" s="418"/>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8"/>
      <c r="AM449" s="383"/>
      <c r="AN449" s="507"/>
      <c r="AO449" s="382"/>
      <c r="AP449" s="418"/>
      <c r="AQ449" s="383"/>
      <c r="AR449" s="507"/>
      <c r="AS449" s="514"/>
      <c r="AT449" s="514"/>
    </row>
    <row r="450">
      <c r="A450" s="382"/>
      <c r="B450" s="418"/>
      <c r="C450" s="383"/>
      <c r="D450" s="507"/>
      <c r="E450" s="382"/>
      <c r="F450" s="418"/>
      <c r="G450" s="383"/>
      <c r="H450" s="507"/>
      <c r="I450" s="382"/>
      <c r="J450" s="418"/>
      <c r="K450" s="383"/>
      <c r="L450" s="507"/>
      <c r="M450" s="382"/>
      <c r="N450" s="418"/>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8"/>
      <c r="AM450" s="383"/>
      <c r="AN450" s="507"/>
      <c r="AO450" s="382"/>
      <c r="AP450" s="418"/>
      <c r="AQ450" s="383"/>
      <c r="AR450" s="507"/>
      <c r="AS450" s="514"/>
      <c r="AT450" s="514"/>
    </row>
    <row r="451">
      <c r="A451" s="382"/>
      <c r="B451" s="418"/>
      <c r="C451" s="383"/>
      <c r="D451" s="507"/>
      <c r="E451" s="382"/>
      <c r="F451" s="418"/>
      <c r="G451" s="383"/>
      <c r="H451" s="507"/>
      <c r="I451" s="382"/>
      <c r="J451" s="418"/>
      <c r="K451" s="383"/>
      <c r="L451" s="507"/>
      <c r="M451" s="382"/>
      <c r="N451" s="418"/>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8"/>
      <c r="AM451" s="383"/>
      <c r="AN451" s="507"/>
      <c r="AO451" s="382"/>
      <c r="AP451" s="418"/>
      <c r="AQ451" s="383"/>
      <c r="AR451" s="507"/>
      <c r="AS451" s="514"/>
      <c r="AT451" s="514"/>
    </row>
    <row r="452">
      <c r="A452" s="382"/>
      <c r="B452" s="418"/>
      <c r="C452" s="383"/>
      <c r="D452" s="507"/>
      <c r="E452" s="382"/>
      <c r="F452" s="418"/>
      <c r="G452" s="383"/>
      <c r="H452" s="507"/>
      <c r="I452" s="382"/>
      <c r="J452" s="418"/>
      <c r="K452" s="383"/>
      <c r="L452" s="507"/>
      <c r="M452" s="382"/>
      <c r="N452" s="418"/>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8"/>
      <c r="AM452" s="383"/>
      <c r="AN452" s="507"/>
      <c r="AO452" s="382"/>
      <c r="AP452" s="418"/>
      <c r="AQ452" s="383"/>
      <c r="AR452" s="507"/>
      <c r="AS452" s="514"/>
      <c r="AT452" s="514"/>
    </row>
    <row r="453">
      <c r="A453" s="382"/>
      <c r="B453" s="418"/>
      <c r="C453" s="383"/>
      <c r="D453" s="507"/>
      <c r="E453" s="382"/>
      <c r="F453" s="418"/>
      <c r="G453" s="383"/>
      <c r="H453" s="507"/>
      <c r="I453" s="382"/>
      <c r="J453" s="418"/>
      <c r="K453" s="383"/>
      <c r="L453" s="507"/>
      <c r="M453" s="382"/>
      <c r="N453" s="418"/>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8"/>
      <c r="AM453" s="383"/>
      <c r="AN453" s="507"/>
      <c r="AO453" s="382"/>
      <c r="AP453" s="418"/>
      <c r="AQ453" s="383"/>
      <c r="AR453" s="507"/>
      <c r="AS453" s="514"/>
      <c r="AT453" s="514"/>
    </row>
    <row r="454">
      <c r="A454" s="382"/>
      <c r="B454" s="418"/>
      <c r="C454" s="383"/>
      <c r="D454" s="507"/>
      <c r="E454" s="382"/>
      <c r="F454" s="418"/>
      <c r="G454" s="383"/>
      <c r="H454" s="507"/>
      <c r="I454" s="382"/>
      <c r="J454" s="418"/>
      <c r="K454" s="383"/>
      <c r="L454" s="507"/>
      <c r="M454" s="382"/>
      <c r="N454" s="418"/>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8"/>
      <c r="AM454" s="383"/>
      <c r="AN454" s="507"/>
      <c r="AO454" s="382"/>
      <c r="AP454" s="418"/>
      <c r="AQ454" s="383"/>
      <c r="AR454" s="507"/>
      <c r="AS454" s="514"/>
      <c r="AT454" s="514"/>
    </row>
    <row r="455">
      <c r="A455" s="382"/>
      <c r="B455" s="418"/>
      <c r="C455" s="383"/>
      <c r="D455" s="507"/>
      <c r="E455" s="382"/>
      <c r="F455" s="418"/>
      <c r="G455" s="383"/>
      <c r="H455" s="507"/>
      <c r="I455" s="382"/>
      <c r="J455" s="418"/>
      <c r="K455" s="383"/>
      <c r="L455" s="507"/>
      <c r="M455" s="382"/>
      <c r="N455" s="418"/>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8"/>
      <c r="AM455" s="383"/>
      <c r="AN455" s="507"/>
      <c r="AO455" s="382"/>
      <c r="AP455" s="418"/>
      <c r="AQ455" s="383"/>
      <c r="AR455" s="507"/>
      <c r="AS455" s="514"/>
      <c r="AT455" s="514"/>
    </row>
    <row r="456">
      <c r="A456" s="382"/>
      <c r="B456" s="418"/>
      <c r="C456" s="383"/>
      <c r="D456" s="507"/>
      <c r="E456" s="382"/>
      <c r="F456" s="418"/>
      <c r="G456" s="383"/>
      <c r="H456" s="507"/>
      <c r="I456" s="382"/>
      <c r="J456" s="418"/>
      <c r="K456" s="383"/>
      <c r="L456" s="507"/>
      <c r="M456" s="382"/>
      <c r="N456" s="418"/>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8"/>
      <c r="AM456" s="383"/>
      <c r="AN456" s="507"/>
      <c r="AO456" s="382"/>
      <c r="AP456" s="418"/>
      <c r="AQ456" s="383"/>
      <c r="AR456" s="507"/>
      <c r="AS456" s="514"/>
      <c r="AT456" s="514"/>
    </row>
    <row r="457">
      <c r="A457" s="382"/>
      <c r="B457" s="418"/>
      <c r="C457" s="383"/>
      <c r="D457" s="507"/>
      <c r="E457" s="382"/>
      <c r="F457" s="418"/>
      <c r="G457" s="383"/>
      <c r="H457" s="507"/>
      <c r="I457" s="382"/>
      <c r="J457" s="418"/>
      <c r="K457" s="383"/>
      <c r="L457" s="507"/>
      <c r="M457" s="382"/>
      <c r="N457" s="418"/>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8"/>
      <c r="AM457" s="383"/>
      <c r="AN457" s="507"/>
      <c r="AO457" s="382"/>
      <c r="AP457" s="418"/>
      <c r="AQ457" s="383"/>
      <c r="AR457" s="507"/>
      <c r="AS457" s="514"/>
      <c r="AT457" s="514"/>
    </row>
    <row r="458">
      <c r="A458" s="382"/>
      <c r="B458" s="418"/>
      <c r="C458" s="383"/>
      <c r="D458" s="507"/>
      <c r="E458" s="382"/>
      <c r="F458" s="418"/>
      <c r="G458" s="383"/>
      <c r="H458" s="507"/>
      <c r="I458" s="382"/>
      <c r="J458" s="418"/>
      <c r="K458" s="383"/>
      <c r="L458" s="507"/>
      <c r="M458" s="382"/>
      <c r="N458" s="418"/>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8"/>
      <c r="AM458" s="383"/>
      <c r="AN458" s="507"/>
      <c r="AO458" s="382"/>
      <c r="AP458" s="418"/>
      <c r="AQ458" s="383"/>
      <c r="AR458" s="507"/>
      <c r="AS458" s="514"/>
      <c r="AT458" s="514"/>
    </row>
    <row r="459">
      <c r="A459" s="382"/>
      <c r="B459" s="418"/>
      <c r="C459" s="383"/>
      <c r="D459" s="507"/>
      <c r="E459" s="382"/>
      <c r="F459" s="418"/>
      <c r="G459" s="383"/>
      <c r="H459" s="507"/>
      <c r="I459" s="382"/>
      <c r="J459" s="418"/>
      <c r="K459" s="383"/>
      <c r="L459" s="507"/>
      <c r="M459" s="382"/>
      <c r="N459" s="418"/>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8"/>
      <c r="AM459" s="383"/>
      <c r="AN459" s="507"/>
      <c r="AO459" s="382"/>
      <c r="AP459" s="418"/>
      <c r="AQ459" s="383"/>
      <c r="AR459" s="507"/>
      <c r="AS459" s="514"/>
      <c r="AT459" s="514"/>
    </row>
    <row r="460">
      <c r="A460" s="382"/>
      <c r="B460" s="418"/>
      <c r="C460" s="383"/>
      <c r="D460" s="507"/>
      <c r="E460" s="382"/>
      <c r="F460" s="418"/>
      <c r="G460" s="383"/>
      <c r="H460" s="507"/>
      <c r="I460" s="382"/>
      <c r="J460" s="418"/>
      <c r="K460" s="383"/>
      <c r="L460" s="507"/>
      <c r="M460" s="382"/>
      <c r="N460" s="418"/>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8"/>
      <c r="AM460" s="383"/>
      <c r="AN460" s="507"/>
      <c r="AO460" s="382"/>
      <c r="AP460" s="418"/>
      <c r="AQ460" s="383"/>
      <c r="AR460" s="507"/>
      <c r="AS460" s="514"/>
      <c r="AT460" s="514"/>
    </row>
    <row r="461">
      <c r="A461" s="382"/>
      <c r="B461" s="418"/>
      <c r="C461" s="383"/>
      <c r="D461" s="507"/>
      <c r="E461" s="382"/>
      <c r="F461" s="418"/>
      <c r="G461" s="383"/>
      <c r="H461" s="507"/>
      <c r="I461" s="382"/>
      <c r="J461" s="418"/>
      <c r="K461" s="383"/>
      <c r="L461" s="507"/>
      <c r="M461" s="382"/>
      <c r="N461" s="418"/>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8"/>
      <c r="AM461" s="383"/>
      <c r="AN461" s="507"/>
      <c r="AO461" s="382"/>
      <c r="AP461" s="418"/>
      <c r="AQ461" s="383"/>
      <c r="AR461" s="507"/>
      <c r="AS461" s="514"/>
      <c r="AT461" s="514"/>
    </row>
    <row r="462">
      <c r="A462" s="382"/>
      <c r="B462" s="418"/>
      <c r="C462" s="383"/>
      <c r="D462" s="507"/>
      <c r="E462" s="382"/>
      <c r="F462" s="418"/>
      <c r="G462" s="383"/>
      <c r="H462" s="507"/>
      <c r="I462" s="382"/>
      <c r="J462" s="418"/>
      <c r="K462" s="383"/>
      <c r="L462" s="507"/>
      <c r="M462" s="382"/>
      <c r="N462" s="418"/>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8"/>
      <c r="AM462" s="383"/>
      <c r="AN462" s="507"/>
      <c r="AO462" s="382"/>
      <c r="AP462" s="418"/>
      <c r="AQ462" s="383"/>
      <c r="AR462" s="507"/>
      <c r="AS462" s="514"/>
      <c r="AT462" s="514"/>
    </row>
    <row r="463">
      <c r="A463" s="382"/>
      <c r="B463" s="418"/>
      <c r="C463" s="383"/>
      <c r="D463" s="507"/>
      <c r="E463" s="382"/>
      <c r="F463" s="418"/>
      <c r="G463" s="383"/>
      <c r="H463" s="507"/>
      <c r="I463" s="382"/>
      <c r="J463" s="418"/>
      <c r="K463" s="383"/>
      <c r="L463" s="507"/>
      <c r="M463" s="382"/>
      <c r="N463" s="418"/>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8"/>
      <c r="AM463" s="383"/>
      <c r="AN463" s="507"/>
      <c r="AO463" s="382"/>
      <c r="AP463" s="418"/>
      <c r="AQ463" s="383"/>
      <c r="AR463" s="507"/>
      <c r="AS463" s="514"/>
      <c r="AT463" s="514"/>
    </row>
    <row r="464">
      <c r="A464" s="382"/>
      <c r="B464" s="418"/>
      <c r="C464" s="383"/>
      <c r="D464" s="507"/>
      <c r="E464" s="382"/>
      <c r="F464" s="418"/>
      <c r="G464" s="383"/>
      <c r="H464" s="507"/>
      <c r="I464" s="382"/>
      <c r="J464" s="418"/>
      <c r="K464" s="383"/>
      <c r="L464" s="507"/>
      <c r="M464" s="382"/>
      <c r="N464" s="418"/>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8"/>
      <c r="AM464" s="383"/>
      <c r="AN464" s="507"/>
      <c r="AO464" s="382"/>
      <c r="AP464" s="418"/>
      <c r="AQ464" s="383"/>
      <c r="AR464" s="507"/>
      <c r="AS464" s="514"/>
      <c r="AT464" s="514"/>
    </row>
    <row r="465">
      <c r="A465" s="382"/>
      <c r="B465" s="418"/>
      <c r="C465" s="383"/>
      <c r="D465" s="507"/>
      <c r="E465" s="382"/>
      <c r="F465" s="418"/>
      <c r="G465" s="383"/>
      <c r="H465" s="507"/>
      <c r="I465" s="382"/>
      <c r="J465" s="418"/>
      <c r="K465" s="383"/>
      <c r="L465" s="507"/>
      <c r="M465" s="382"/>
      <c r="N465" s="418"/>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8"/>
      <c r="AM465" s="383"/>
      <c r="AN465" s="507"/>
      <c r="AO465" s="382"/>
      <c r="AP465" s="418"/>
      <c r="AQ465" s="383"/>
      <c r="AR465" s="507"/>
      <c r="AS465" s="514"/>
      <c r="AT465" s="514"/>
    </row>
    <row r="466">
      <c r="A466" s="382"/>
      <c r="B466" s="418"/>
      <c r="C466" s="383"/>
      <c r="D466" s="507"/>
      <c r="E466" s="382"/>
      <c r="F466" s="418"/>
      <c r="G466" s="383"/>
      <c r="H466" s="507"/>
      <c r="I466" s="382"/>
      <c r="J466" s="418"/>
      <c r="K466" s="383"/>
      <c r="L466" s="507"/>
      <c r="M466" s="382"/>
      <c r="N466" s="418"/>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8"/>
      <c r="AM466" s="383"/>
      <c r="AN466" s="507"/>
      <c r="AO466" s="382"/>
      <c r="AP466" s="418"/>
      <c r="AQ466" s="383"/>
      <c r="AR466" s="507"/>
      <c r="AS466" s="514"/>
      <c r="AT466" s="514"/>
    </row>
    <row r="467">
      <c r="A467" s="382"/>
      <c r="B467" s="418"/>
      <c r="C467" s="383"/>
      <c r="D467" s="507"/>
      <c r="E467" s="382"/>
      <c r="F467" s="418"/>
      <c r="G467" s="383"/>
      <c r="H467" s="507"/>
      <c r="I467" s="382"/>
      <c r="J467" s="418"/>
      <c r="K467" s="383"/>
      <c r="L467" s="507"/>
      <c r="M467" s="382"/>
      <c r="N467" s="418"/>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8"/>
      <c r="AM467" s="383"/>
      <c r="AN467" s="507"/>
      <c r="AO467" s="382"/>
      <c r="AP467" s="418"/>
      <c r="AQ467" s="383"/>
      <c r="AR467" s="507"/>
      <c r="AS467" s="514"/>
      <c r="AT467" s="514"/>
    </row>
    <row r="468">
      <c r="A468" s="382"/>
      <c r="B468" s="418"/>
      <c r="C468" s="383"/>
      <c r="D468" s="507"/>
      <c r="E468" s="382"/>
      <c r="F468" s="418"/>
      <c r="G468" s="383"/>
      <c r="H468" s="507"/>
      <c r="I468" s="382"/>
      <c r="J468" s="418"/>
      <c r="K468" s="383"/>
      <c r="L468" s="507"/>
      <c r="M468" s="382"/>
      <c r="N468" s="418"/>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8"/>
      <c r="AM468" s="383"/>
      <c r="AN468" s="507"/>
      <c r="AO468" s="382"/>
      <c r="AP468" s="418"/>
      <c r="AQ468" s="383"/>
      <c r="AR468" s="507"/>
      <c r="AS468" s="514"/>
      <c r="AT468" s="514"/>
    </row>
    <row r="469">
      <c r="A469" s="382"/>
      <c r="B469" s="418"/>
      <c r="C469" s="383"/>
      <c r="D469" s="507"/>
      <c r="E469" s="382"/>
      <c r="F469" s="418"/>
      <c r="G469" s="383"/>
      <c r="H469" s="507"/>
      <c r="I469" s="382"/>
      <c r="J469" s="418"/>
      <c r="K469" s="383"/>
      <c r="L469" s="507"/>
      <c r="M469" s="382"/>
      <c r="N469" s="418"/>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8"/>
      <c r="AM469" s="383"/>
      <c r="AN469" s="507"/>
      <c r="AO469" s="382"/>
      <c r="AP469" s="418"/>
      <c r="AQ469" s="383"/>
      <c r="AR469" s="507"/>
      <c r="AS469" s="514"/>
      <c r="AT469" s="514"/>
    </row>
    <row r="470">
      <c r="A470" s="382"/>
      <c r="B470" s="418"/>
      <c r="C470" s="383"/>
      <c r="D470" s="507"/>
      <c r="E470" s="382"/>
      <c r="F470" s="418"/>
      <c r="G470" s="383"/>
      <c r="H470" s="507"/>
      <c r="I470" s="382"/>
      <c r="J470" s="418"/>
      <c r="K470" s="383"/>
      <c r="L470" s="507"/>
      <c r="M470" s="382"/>
      <c r="N470" s="418"/>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8"/>
      <c r="AM470" s="383"/>
      <c r="AN470" s="507"/>
      <c r="AO470" s="382"/>
      <c r="AP470" s="418"/>
      <c r="AQ470" s="383"/>
      <c r="AR470" s="507"/>
      <c r="AS470" s="514"/>
      <c r="AT470" s="514"/>
    </row>
    <row r="471">
      <c r="A471" s="382"/>
      <c r="B471" s="418"/>
      <c r="C471" s="383"/>
      <c r="D471" s="507"/>
      <c r="E471" s="382"/>
      <c r="F471" s="418"/>
      <c r="G471" s="383"/>
      <c r="H471" s="507"/>
      <c r="I471" s="382"/>
      <c r="J471" s="418"/>
      <c r="K471" s="383"/>
      <c r="L471" s="507"/>
      <c r="M471" s="382"/>
      <c r="N471" s="418"/>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8"/>
      <c r="AM471" s="383"/>
      <c r="AN471" s="507"/>
      <c r="AO471" s="382"/>
      <c r="AP471" s="418"/>
      <c r="AQ471" s="383"/>
      <c r="AR471" s="507"/>
      <c r="AS471" s="514"/>
      <c r="AT471" s="514"/>
    </row>
    <row r="472">
      <c r="A472" s="382"/>
      <c r="B472" s="418"/>
      <c r="C472" s="383"/>
      <c r="D472" s="507"/>
      <c r="E472" s="382"/>
      <c r="F472" s="418"/>
      <c r="G472" s="383"/>
      <c r="H472" s="507"/>
      <c r="I472" s="382"/>
      <c r="J472" s="418"/>
      <c r="K472" s="383"/>
      <c r="L472" s="507"/>
      <c r="M472" s="382"/>
      <c r="N472" s="418"/>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8"/>
      <c r="AM472" s="383"/>
      <c r="AN472" s="507"/>
      <c r="AO472" s="382"/>
      <c r="AP472" s="418"/>
      <c r="AQ472" s="383"/>
      <c r="AR472" s="507"/>
      <c r="AS472" s="514"/>
      <c r="AT472" s="514"/>
    </row>
    <row r="473">
      <c r="A473" s="382"/>
      <c r="B473" s="418"/>
      <c r="C473" s="383"/>
      <c r="D473" s="507"/>
      <c r="E473" s="382"/>
      <c r="F473" s="418"/>
      <c r="G473" s="383"/>
      <c r="H473" s="507"/>
      <c r="I473" s="382"/>
      <c r="J473" s="418"/>
      <c r="K473" s="383"/>
      <c r="L473" s="507"/>
      <c r="M473" s="382"/>
      <c r="N473" s="418"/>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8"/>
      <c r="AM473" s="383"/>
      <c r="AN473" s="507"/>
      <c r="AO473" s="382"/>
      <c r="AP473" s="418"/>
      <c r="AQ473" s="383"/>
      <c r="AR473" s="507"/>
      <c r="AS473" s="514"/>
      <c r="AT473" s="514"/>
    </row>
    <row r="474">
      <c r="A474" s="382"/>
      <c r="B474" s="418"/>
      <c r="C474" s="383"/>
      <c r="D474" s="507"/>
      <c r="E474" s="382"/>
      <c r="F474" s="418"/>
      <c r="G474" s="383"/>
      <c r="H474" s="507"/>
      <c r="I474" s="382"/>
      <c r="J474" s="418"/>
      <c r="K474" s="383"/>
      <c r="L474" s="507"/>
      <c r="M474" s="382"/>
      <c r="N474" s="418"/>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8"/>
      <c r="AM474" s="383"/>
      <c r="AN474" s="507"/>
      <c r="AO474" s="382"/>
      <c r="AP474" s="418"/>
      <c r="AQ474" s="383"/>
      <c r="AR474" s="507"/>
      <c r="AS474" s="514"/>
      <c r="AT474" s="514"/>
    </row>
    <row r="475">
      <c r="A475" s="382"/>
      <c r="B475" s="418"/>
      <c r="C475" s="383"/>
      <c r="D475" s="507"/>
      <c r="E475" s="382"/>
      <c r="F475" s="418"/>
      <c r="G475" s="383"/>
      <c r="H475" s="507"/>
      <c r="I475" s="382"/>
      <c r="J475" s="418"/>
      <c r="K475" s="383"/>
      <c r="L475" s="507"/>
      <c r="M475" s="382"/>
      <c r="N475" s="418"/>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8"/>
      <c r="AM475" s="383"/>
      <c r="AN475" s="507"/>
      <c r="AO475" s="382"/>
      <c r="AP475" s="418"/>
      <c r="AQ475" s="383"/>
      <c r="AR475" s="507"/>
      <c r="AS475" s="514"/>
      <c r="AT475" s="514"/>
    </row>
    <row r="476">
      <c r="A476" s="382"/>
      <c r="B476" s="418"/>
      <c r="C476" s="383"/>
      <c r="D476" s="507"/>
      <c r="E476" s="382"/>
      <c r="F476" s="418"/>
      <c r="G476" s="383"/>
      <c r="H476" s="507"/>
      <c r="I476" s="382"/>
      <c r="J476" s="418"/>
      <c r="K476" s="383"/>
      <c r="L476" s="507"/>
      <c r="M476" s="382"/>
      <c r="N476" s="418"/>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8"/>
      <c r="AM476" s="383"/>
      <c r="AN476" s="507"/>
      <c r="AO476" s="382"/>
      <c r="AP476" s="418"/>
      <c r="AQ476" s="383"/>
      <c r="AR476" s="507"/>
      <c r="AS476" s="514"/>
      <c r="AT476" s="514"/>
    </row>
    <row r="477">
      <c r="A477" s="382"/>
      <c r="B477" s="418"/>
      <c r="C477" s="383"/>
      <c r="D477" s="507"/>
      <c r="E477" s="382"/>
      <c r="F477" s="418"/>
      <c r="G477" s="383"/>
      <c r="H477" s="507"/>
      <c r="I477" s="382"/>
      <c r="J477" s="418"/>
      <c r="K477" s="383"/>
      <c r="L477" s="507"/>
      <c r="M477" s="382"/>
      <c r="N477" s="418"/>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8"/>
      <c r="AM477" s="383"/>
      <c r="AN477" s="507"/>
      <c r="AO477" s="382"/>
      <c r="AP477" s="418"/>
      <c r="AQ477" s="383"/>
      <c r="AR477" s="507"/>
      <c r="AS477" s="514"/>
      <c r="AT477" s="514"/>
    </row>
    <row r="478">
      <c r="A478" s="382"/>
      <c r="B478" s="418"/>
      <c r="C478" s="383"/>
      <c r="D478" s="507"/>
      <c r="E478" s="382"/>
      <c r="F478" s="418"/>
      <c r="G478" s="383"/>
      <c r="H478" s="507"/>
      <c r="I478" s="382"/>
      <c r="J478" s="418"/>
      <c r="K478" s="383"/>
      <c r="L478" s="507"/>
      <c r="M478" s="382"/>
      <c r="N478" s="418"/>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8"/>
      <c r="AM478" s="383"/>
      <c r="AN478" s="507"/>
      <c r="AO478" s="382"/>
      <c r="AP478" s="418"/>
      <c r="AQ478" s="383"/>
      <c r="AR478" s="507"/>
      <c r="AS478" s="514"/>
      <c r="AT478" s="514"/>
    </row>
    <row r="479">
      <c r="A479" s="382"/>
      <c r="B479" s="418"/>
      <c r="C479" s="383"/>
      <c r="D479" s="507"/>
      <c r="E479" s="382"/>
      <c r="F479" s="418"/>
      <c r="G479" s="383"/>
      <c r="H479" s="507"/>
      <c r="I479" s="382"/>
      <c r="J479" s="418"/>
      <c r="K479" s="383"/>
      <c r="L479" s="507"/>
      <c r="M479" s="382"/>
      <c r="N479" s="418"/>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8"/>
      <c r="AM479" s="383"/>
      <c r="AN479" s="507"/>
      <c r="AO479" s="382"/>
      <c r="AP479" s="418"/>
      <c r="AQ479" s="383"/>
      <c r="AR479" s="507"/>
      <c r="AS479" s="514"/>
      <c r="AT479" s="514"/>
    </row>
    <row r="480">
      <c r="A480" s="382"/>
      <c r="B480" s="418"/>
      <c r="C480" s="383"/>
      <c r="D480" s="507"/>
      <c r="E480" s="382"/>
      <c r="F480" s="418"/>
      <c r="G480" s="383"/>
      <c r="H480" s="507"/>
      <c r="I480" s="382"/>
      <c r="J480" s="418"/>
      <c r="K480" s="383"/>
      <c r="L480" s="507"/>
      <c r="M480" s="382"/>
      <c r="N480" s="418"/>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8"/>
      <c r="AM480" s="383"/>
      <c r="AN480" s="507"/>
      <c r="AO480" s="382"/>
      <c r="AP480" s="418"/>
      <c r="AQ480" s="383"/>
      <c r="AR480" s="507"/>
      <c r="AS480" s="514"/>
      <c r="AT480" s="514"/>
    </row>
    <row r="481">
      <c r="A481" s="382"/>
      <c r="B481" s="418"/>
      <c r="C481" s="383"/>
      <c r="D481" s="507"/>
      <c r="E481" s="382"/>
      <c r="F481" s="418"/>
      <c r="G481" s="383"/>
      <c r="H481" s="507"/>
      <c r="I481" s="382"/>
      <c r="J481" s="418"/>
      <c r="K481" s="383"/>
      <c r="L481" s="507"/>
      <c r="M481" s="382"/>
      <c r="N481" s="418"/>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8"/>
      <c r="AM481" s="383"/>
      <c r="AN481" s="507"/>
      <c r="AO481" s="382"/>
      <c r="AP481" s="418"/>
      <c r="AQ481" s="383"/>
      <c r="AR481" s="507"/>
      <c r="AS481" s="514"/>
      <c r="AT481" s="514"/>
    </row>
    <row r="482">
      <c r="A482" s="382"/>
      <c r="B482" s="418"/>
      <c r="C482" s="383"/>
      <c r="D482" s="507"/>
      <c r="E482" s="382"/>
      <c r="F482" s="418"/>
      <c r="G482" s="383"/>
      <c r="H482" s="507"/>
      <c r="I482" s="382"/>
      <c r="J482" s="418"/>
      <c r="K482" s="383"/>
      <c r="L482" s="507"/>
      <c r="M482" s="382"/>
      <c r="N482" s="418"/>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8"/>
      <c r="AM482" s="383"/>
      <c r="AN482" s="507"/>
      <c r="AO482" s="382"/>
      <c r="AP482" s="418"/>
      <c r="AQ482" s="383"/>
      <c r="AR482" s="507"/>
      <c r="AS482" s="514"/>
      <c r="AT482" s="514"/>
    </row>
    <row r="483">
      <c r="A483" s="382"/>
      <c r="B483" s="418"/>
      <c r="C483" s="383"/>
      <c r="D483" s="507"/>
      <c r="E483" s="382"/>
      <c r="F483" s="418"/>
      <c r="G483" s="383"/>
      <c r="H483" s="507"/>
      <c r="I483" s="382"/>
      <c r="J483" s="418"/>
      <c r="K483" s="383"/>
      <c r="L483" s="507"/>
      <c r="M483" s="382"/>
      <c r="N483" s="418"/>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8"/>
      <c r="AM483" s="383"/>
      <c r="AN483" s="507"/>
      <c r="AO483" s="382"/>
      <c r="AP483" s="418"/>
      <c r="AQ483" s="383"/>
      <c r="AR483" s="507"/>
      <c r="AS483" s="514"/>
      <c r="AT483" s="514"/>
    </row>
    <row r="484">
      <c r="A484" s="382"/>
      <c r="B484" s="418"/>
      <c r="C484" s="383"/>
      <c r="D484" s="507"/>
      <c r="E484" s="382"/>
      <c r="F484" s="418"/>
      <c r="G484" s="383"/>
      <c r="H484" s="507"/>
      <c r="I484" s="382"/>
      <c r="J484" s="418"/>
      <c r="K484" s="383"/>
      <c r="L484" s="507"/>
      <c r="M484" s="382"/>
      <c r="N484" s="418"/>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8"/>
      <c r="AM484" s="383"/>
      <c r="AN484" s="507"/>
      <c r="AO484" s="382"/>
      <c r="AP484" s="418"/>
      <c r="AQ484" s="383"/>
      <c r="AR484" s="507"/>
      <c r="AS484" s="514"/>
      <c r="AT484" s="514"/>
    </row>
    <row r="485">
      <c r="A485" s="382"/>
      <c r="B485" s="418"/>
      <c r="C485" s="383"/>
      <c r="D485" s="507"/>
      <c r="E485" s="382"/>
      <c r="F485" s="418"/>
      <c r="G485" s="383"/>
      <c r="H485" s="507"/>
      <c r="I485" s="382"/>
      <c r="J485" s="418"/>
      <c r="K485" s="383"/>
      <c r="L485" s="507"/>
      <c r="M485" s="382"/>
      <c r="N485" s="418"/>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8"/>
      <c r="AM485" s="383"/>
      <c r="AN485" s="507"/>
      <c r="AO485" s="382"/>
      <c r="AP485" s="418"/>
      <c r="AQ485" s="383"/>
      <c r="AR485" s="507"/>
      <c r="AS485" s="514"/>
      <c r="AT485" s="514"/>
    </row>
    <row r="486">
      <c r="A486" s="382"/>
      <c r="B486" s="418"/>
      <c r="C486" s="383"/>
      <c r="D486" s="507"/>
      <c r="E486" s="382"/>
      <c r="F486" s="418"/>
      <c r="G486" s="383"/>
      <c r="H486" s="507"/>
      <c r="I486" s="382"/>
      <c r="J486" s="418"/>
      <c r="K486" s="383"/>
      <c r="L486" s="507"/>
      <c r="M486" s="382"/>
      <c r="N486" s="418"/>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8"/>
      <c r="AM486" s="383"/>
      <c r="AN486" s="507"/>
      <c r="AO486" s="382"/>
      <c r="AP486" s="418"/>
      <c r="AQ486" s="383"/>
      <c r="AR486" s="507"/>
      <c r="AS486" s="514"/>
      <c r="AT486" s="514"/>
    </row>
    <row r="487">
      <c r="A487" s="382"/>
      <c r="B487" s="418"/>
      <c r="C487" s="383"/>
      <c r="D487" s="507"/>
      <c r="E487" s="382"/>
      <c r="F487" s="418"/>
      <c r="G487" s="383"/>
      <c r="H487" s="507"/>
      <c r="I487" s="382"/>
      <c r="J487" s="418"/>
      <c r="K487" s="383"/>
      <c r="L487" s="507"/>
      <c r="M487" s="382"/>
      <c r="N487" s="418"/>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8"/>
      <c r="AM487" s="383"/>
      <c r="AN487" s="507"/>
      <c r="AO487" s="382"/>
      <c r="AP487" s="418"/>
      <c r="AQ487" s="383"/>
      <c r="AR487" s="507"/>
      <c r="AS487" s="514"/>
      <c r="AT487" s="514"/>
    </row>
    <row r="488">
      <c r="A488" s="382"/>
      <c r="B488" s="418"/>
      <c r="C488" s="383"/>
      <c r="D488" s="507"/>
      <c r="E488" s="382"/>
      <c r="F488" s="418"/>
      <c r="G488" s="383"/>
      <c r="H488" s="507"/>
      <c r="I488" s="382"/>
      <c r="J488" s="418"/>
      <c r="K488" s="383"/>
      <c r="L488" s="507"/>
      <c r="M488" s="382"/>
      <c r="N488" s="418"/>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8"/>
      <c r="AM488" s="383"/>
      <c r="AN488" s="507"/>
      <c r="AO488" s="382"/>
      <c r="AP488" s="418"/>
      <c r="AQ488" s="383"/>
      <c r="AR488" s="507"/>
      <c r="AS488" s="514"/>
      <c r="AT488" s="514"/>
    </row>
    <row r="489">
      <c r="A489" s="382"/>
      <c r="B489" s="418"/>
      <c r="C489" s="383"/>
      <c r="D489" s="507"/>
      <c r="E489" s="382"/>
      <c r="F489" s="418"/>
      <c r="G489" s="383"/>
      <c r="H489" s="507"/>
      <c r="I489" s="382"/>
      <c r="J489" s="418"/>
      <c r="K489" s="383"/>
      <c r="L489" s="507"/>
      <c r="M489" s="382"/>
      <c r="N489" s="418"/>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8"/>
      <c r="AM489" s="383"/>
      <c r="AN489" s="507"/>
      <c r="AO489" s="382"/>
      <c r="AP489" s="418"/>
      <c r="AQ489" s="383"/>
      <c r="AR489" s="507"/>
      <c r="AS489" s="514"/>
      <c r="AT489" s="514"/>
    </row>
    <row r="490">
      <c r="A490" s="382"/>
      <c r="B490" s="418"/>
      <c r="C490" s="383"/>
      <c r="D490" s="507"/>
      <c r="E490" s="382"/>
      <c r="F490" s="418"/>
      <c r="G490" s="383"/>
      <c r="H490" s="507"/>
      <c r="I490" s="382"/>
      <c r="J490" s="418"/>
      <c r="K490" s="383"/>
      <c r="L490" s="507"/>
      <c r="M490" s="382"/>
      <c r="N490" s="418"/>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8"/>
      <c r="AM490" s="383"/>
      <c r="AN490" s="507"/>
      <c r="AO490" s="382"/>
      <c r="AP490" s="418"/>
      <c r="AQ490" s="383"/>
      <c r="AR490" s="507"/>
      <c r="AS490" s="514"/>
      <c r="AT490" s="514"/>
    </row>
    <row r="491">
      <c r="A491" s="382"/>
      <c r="B491" s="418"/>
      <c r="C491" s="383"/>
      <c r="D491" s="507"/>
      <c r="E491" s="382"/>
      <c r="F491" s="418"/>
      <c r="G491" s="383"/>
      <c r="H491" s="507"/>
      <c r="I491" s="382"/>
      <c r="J491" s="418"/>
      <c r="K491" s="383"/>
      <c r="L491" s="507"/>
      <c r="M491" s="382"/>
      <c r="N491" s="418"/>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8"/>
      <c r="AM491" s="383"/>
      <c r="AN491" s="507"/>
      <c r="AO491" s="382"/>
      <c r="AP491" s="418"/>
      <c r="AQ491" s="383"/>
      <c r="AR491" s="507"/>
      <c r="AS491" s="514"/>
      <c r="AT491" s="514"/>
    </row>
    <row r="492">
      <c r="A492" s="382"/>
      <c r="B492" s="418"/>
      <c r="C492" s="383"/>
      <c r="D492" s="507"/>
      <c r="E492" s="382"/>
      <c r="F492" s="418"/>
      <c r="G492" s="383"/>
      <c r="H492" s="507"/>
      <c r="I492" s="382"/>
      <c r="J492" s="418"/>
      <c r="K492" s="383"/>
      <c r="L492" s="507"/>
      <c r="M492" s="382"/>
      <c r="N492" s="418"/>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8"/>
      <c r="AM492" s="383"/>
      <c r="AN492" s="507"/>
      <c r="AO492" s="382"/>
      <c r="AP492" s="418"/>
      <c r="AQ492" s="383"/>
      <c r="AR492" s="507"/>
      <c r="AS492" s="514"/>
      <c r="AT492" s="514"/>
    </row>
    <row r="493">
      <c r="A493" s="382"/>
      <c r="B493" s="418"/>
      <c r="C493" s="383"/>
      <c r="D493" s="507"/>
      <c r="E493" s="382"/>
      <c r="F493" s="418"/>
      <c r="G493" s="383"/>
      <c r="H493" s="507"/>
      <c r="I493" s="382"/>
      <c r="J493" s="418"/>
      <c r="K493" s="383"/>
      <c r="L493" s="507"/>
      <c r="M493" s="382"/>
      <c r="N493" s="418"/>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8"/>
      <c r="AM493" s="383"/>
      <c r="AN493" s="507"/>
      <c r="AO493" s="382"/>
      <c r="AP493" s="418"/>
      <c r="AQ493" s="383"/>
      <c r="AR493" s="507"/>
      <c r="AS493" s="514"/>
      <c r="AT493" s="514"/>
    </row>
    <row r="494">
      <c r="A494" s="382"/>
      <c r="B494" s="418"/>
      <c r="C494" s="383"/>
      <c r="D494" s="507"/>
      <c r="E494" s="382"/>
      <c r="F494" s="418"/>
      <c r="G494" s="383"/>
      <c r="H494" s="507"/>
      <c r="I494" s="382"/>
      <c r="J494" s="418"/>
      <c r="K494" s="383"/>
      <c r="L494" s="507"/>
      <c r="M494" s="382"/>
      <c r="N494" s="418"/>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8"/>
      <c r="AM494" s="383"/>
      <c r="AN494" s="507"/>
      <c r="AO494" s="382"/>
      <c r="AP494" s="418"/>
      <c r="AQ494" s="383"/>
      <c r="AR494" s="507"/>
      <c r="AS494" s="514"/>
      <c r="AT494" s="514"/>
    </row>
    <row r="495">
      <c r="A495" s="382"/>
      <c r="B495" s="418"/>
      <c r="C495" s="383"/>
      <c r="D495" s="507"/>
      <c r="E495" s="382"/>
      <c r="F495" s="418"/>
      <c r="G495" s="383"/>
      <c r="H495" s="507"/>
      <c r="I495" s="382"/>
      <c r="J495" s="418"/>
      <c r="K495" s="383"/>
      <c r="L495" s="507"/>
      <c r="M495" s="382"/>
      <c r="N495" s="418"/>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8"/>
      <c r="AM495" s="383"/>
      <c r="AN495" s="507"/>
      <c r="AO495" s="382"/>
      <c r="AP495" s="418"/>
      <c r="AQ495" s="383"/>
      <c r="AR495" s="507"/>
      <c r="AS495" s="514"/>
      <c r="AT495" s="514"/>
    </row>
    <row r="496">
      <c r="A496" s="382"/>
      <c r="B496" s="418"/>
      <c r="C496" s="383"/>
      <c r="D496" s="507"/>
      <c r="E496" s="382"/>
      <c r="F496" s="418"/>
      <c r="G496" s="383"/>
      <c r="H496" s="507"/>
      <c r="I496" s="382"/>
      <c r="J496" s="418"/>
      <c r="K496" s="383"/>
      <c r="L496" s="507"/>
      <c r="M496" s="382"/>
      <c r="N496" s="418"/>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8"/>
      <c r="AM496" s="383"/>
      <c r="AN496" s="507"/>
      <c r="AO496" s="382"/>
      <c r="AP496" s="418"/>
      <c r="AQ496" s="383"/>
      <c r="AR496" s="507"/>
      <c r="AS496" s="514"/>
      <c r="AT496" s="514"/>
    </row>
    <row r="497">
      <c r="A497" s="382"/>
      <c r="B497" s="418"/>
      <c r="C497" s="383"/>
      <c r="D497" s="507"/>
      <c r="E497" s="382"/>
      <c r="F497" s="418"/>
      <c r="G497" s="383"/>
      <c r="H497" s="507"/>
      <c r="I497" s="382"/>
      <c r="J497" s="418"/>
      <c r="K497" s="383"/>
      <c r="L497" s="507"/>
      <c r="M497" s="382"/>
      <c r="N497" s="418"/>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8"/>
      <c r="AM497" s="383"/>
      <c r="AN497" s="507"/>
      <c r="AO497" s="382"/>
      <c r="AP497" s="418"/>
      <c r="AQ497" s="383"/>
      <c r="AR497" s="507"/>
      <c r="AS497" s="514"/>
      <c r="AT497" s="514"/>
    </row>
    <row r="498">
      <c r="A498" s="382"/>
      <c r="B498" s="418"/>
      <c r="C498" s="383"/>
      <c r="D498" s="507"/>
      <c r="E498" s="382"/>
      <c r="F498" s="418"/>
      <c r="G498" s="383"/>
      <c r="H498" s="507"/>
      <c r="I498" s="382"/>
      <c r="J498" s="418"/>
      <c r="K498" s="383"/>
      <c r="L498" s="507"/>
      <c r="M498" s="382"/>
      <c r="N498" s="418"/>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8"/>
      <c r="AM498" s="383"/>
      <c r="AN498" s="507"/>
      <c r="AO498" s="382"/>
      <c r="AP498" s="418"/>
      <c r="AQ498" s="383"/>
      <c r="AR498" s="507"/>
      <c r="AS498" s="514"/>
      <c r="AT498" s="514"/>
    </row>
    <row r="499">
      <c r="A499" s="382"/>
      <c r="B499" s="418"/>
      <c r="C499" s="383"/>
      <c r="D499" s="507"/>
      <c r="E499" s="382"/>
      <c r="F499" s="418"/>
      <c r="G499" s="383"/>
      <c r="H499" s="507"/>
      <c r="I499" s="382"/>
      <c r="J499" s="418"/>
      <c r="K499" s="383"/>
      <c r="L499" s="507"/>
      <c r="M499" s="382"/>
      <c r="N499" s="418"/>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8"/>
      <c r="AM499" s="383"/>
      <c r="AN499" s="507"/>
      <c r="AO499" s="382"/>
      <c r="AP499" s="418"/>
      <c r="AQ499" s="383"/>
      <c r="AR499" s="507"/>
      <c r="AS499" s="514"/>
      <c r="AT499" s="514"/>
    </row>
    <row r="500">
      <c r="A500" s="382"/>
      <c r="B500" s="418"/>
      <c r="C500" s="383"/>
      <c r="D500" s="507"/>
      <c r="E500" s="382"/>
      <c r="F500" s="418"/>
      <c r="G500" s="383"/>
      <c r="H500" s="507"/>
      <c r="I500" s="382"/>
      <c r="J500" s="418"/>
      <c r="K500" s="383"/>
      <c r="L500" s="507"/>
      <c r="M500" s="382"/>
      <c r="N500" s="418"/>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8"/>
      <c r="AM500" s="383"/>
      <c r="AN500" s="507"/>
      <c r="AO500" s="382"/>
      <c r="AP500" s="418"/>
      <c r="AQ500" s="383"/>
      <c r="AR500" s="507"/>
      <c r="AS500" s="514"/>
      <c r="AT500" s="514"/>
    </row>
    <row r="501">
      <c r="A501" s="382"/>
      <c r="B501" s="418"/>
      <c r="C501" s="383"/>
      <c r="D501" s="507"/>
      <c r="E501" s="382"/>
      <c r="F501" s="418"/>
      <c r="G501" s="383"/>
      <c r="H501" s="507"/>
      <c r="I501" s="382"/>
      <c r="J501" s="418"/>
      <c r="K501" s="383"/>
      <c r="L501" s="507"/>
      <c r="M501" s="382"/>
      <c r="N501" s="418"/>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8"/>
      <c r="AM501" s="383"/>
      <c r="AN501" s="507"/>
      <c r="AO501" s="382"/>
      <c r="AP501" s="418"/>
      <c r="AQ501" s="383"/>
      <c r="AR501" s="507"/>
      <c r="AS501" s="514"/>
      <c r="AT501" s="514"/>
    </row>
    <row r="502">
      <c r="A502" s="382"/>
      <c r="B502" s="418"/>
      <c r="C502" s="383"/>
      <c r="D502" s="507"/>
      <c r="E502" s="382"/>
      <c r="F502" s="418"/>
      <c r="G502" s="383"/>
      <c r="H502" s="507"/>
      <c r="I502" s="382"/>
      <c r="J502" s="418"/>
      <c r="K502" s="383"/>
      <c r="L502" s="507"/>
      <c r="M502" s="382"/>
      <c r="N502" s="418"/>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8"/>
      <c r="AM502" s="383"/>
      <c r="AN502" s="507"/>
      <c r="AO502" s="382"/>
      <c r="AP502" s="418"/>
      <c r="AQ502" s="383"/>
      <c r="AR502" s="507"/>
      <c r="AS502" s="514"/>
      <c r="AT502" s="514"/>
    </row>
    <row r="503">
      <c r="A503" s="382"/>
      <c r="B503" s="418"/>
      <c r="C503" s="383"/>
      <c r="D503" s="507"/>
      <c r="E503" s="382"/>
      <c r="F503" s="418"/>
      <c r="G503" s="383"/>
      <c r="H503" s="507"/>
      <c r="I503" s="382"/>
      <c r="J503" s="418"/>
      <c r="K503" s="383"/>
      <c r="L503" s="507"/>
      <c r="M503" s="382"/>
      <c r="N503" s="418"/>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8"/>
      <c r="AM503" s="383"/>
      <c r="AN503" s="507"/>
      <c r="AO503" s="382"/>
      <c r="AP503" s="418"/>
      <c r="AQ503" s="383"/>
      <c r="AR503" s="507"/>
      <c r="AS503" s="514"/>
      <c r="AT503" s="514"/>
    </row>
    <row r="504">
      <c r="A504" s="382"/>
      <c r="B504" s="418"/>
      <c r="C504" s="383"/>
      <c r="D504" s="507"/>
      <c r="E504" s="382"/>
      <c r="F504" s="418"/>
      <c r="G504" s="383"/>
      <c r="H504" s="507"/>
      <c r="I504" s="382"/>
      <c r="J504" s="418"/>
      <c r="K504" s="383"/>
      <c r="L504" s="507"/>
      <c r="M504" s="382"/>
      <c r="N504" s="418"/>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8"/>
      <c r="AM504" s="383"/>
      <c r="AN504" s="507"/>
      <c r="AO504" s="382"/>
      <c r="AP504" s="418"/>
      <c r="AQ504" s="383"/>
      <c r="AR504" s="507"/>
      <c r="AS504" s="514"/>
      <c r="AT504" s="514"/>
    </row>
    <row r="505">
      <c r="A505" s="382"/>
      <c r="B505" s="418"/>
      <c r="C505" s="383"/>
      <c r="D505" s="507"/>
      <c r="E505" s="382"/>
      <c r="F505" s="418"/>
      <c r="G505" s="383"/>
      <c r="H505" s="507"/>
      <c r="I505" s="382"/>
      <c r="J505" s="418"/>
      <c r="K505" s="383"/>
      <c r="L505" s="507"/>
      <c r="M505" s="382"/>
      <c r="N505" s="418"/>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8"/>
      <c r="AM505" s="383"/>
      <c r="AN505" s="507"/>
      <c r="AO505" s="382"/>
      <c r="AP505" s="418"/>
      <c r="AQ505" s="383"/>
      <c r="AR505" s="507"/>
      <c r="AS505" s="514"/>
      <c r="AT505" s="514"/>
    </row>
    <row r="506">
      <c r="A506" s="382"/>
      <c r="B506" s="418"/>
      <c r="C506" s="383"/>
      <c r="D506" s="507"/>
      <c r="E506" s="382"/>
      <c r="F506" s="418"/>
      <c r="G506" s="383"/>
      <c r="H506" s="507"/>
      <c r="I506" s="382"/>
      <c r="J506" s="418"/>
      <c r="K506" s="383"/>
      <c r="L506" s="507"/>
      <c r="M506" s="382"/>
      <c r="N506" s="418"/>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8"/>
      <c r="AM506" s="383"/>
      <c r="AN506" s="507"/>
      <c r="AO506" s="382"/>
      <c r="AP506" s="418"/>
      <c r="AQ506" s="383"/>
      <c r="AR506" s="507"/>
      <c r="AS506" s="514"/>
      <c r="AT506" s="514"/>
    </row>
    <row r="507">
      <c r="A507" s="382"/>
      <c r="B507" s="418"/>
      <c r="C507" s="383"/>
      <c r="D507" s="507"/>
      <c r="E507" s="382"/>
      <c r="F507" s="418"/>
      <c r="G507" s="383"/>
      <c r="H507" s="507"/>
      <c r="I507" s="382"/>
      <c r="J507" s="418"/>
      <c r="K507" s="383"/>
      <c r="L507" s="507"/>
      <c r="M507" s="382"/>
      <c r="N507" s="418"/>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8"/>
      <c r="AM507" s="383"/>
      <c r="AN507" s="507"/>
      <c r="AO507" s="382"/>
      <c r="AP507" s="418"/>
      <c r="AQ507" s="383"/>
      <c r="AR507" s="507"/>
      <c r="AS507" s="514"/>
      <c r="AT507" s="514"/>
    </row>
    <row r="508">
      <c r="A508" s="382"/>
      <c r="B508" s="418"/>
      <c r="C508" s="383"/>
      <c r="D508" s="507"/>
      <c r="E508" s="382"/>
      <c r="F508" s="418"/>
      <c r="G508" s="383"/>
      <c r="H508" s="507"/>
      <c r="I508" s="382"/>
      <c r="J508" s="418"/>
      <c r="K508" s="383"/>
      <c r="L508" s="507"/>
      <c r="M508" s="382"/>
      <c r="N508" s="418"/>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8"/>
      <c r="AM508" s="383"/>
      <c r="AN508" s="507"/>
      <c r="AO508" s="382"/>
      <c r="AP508" s="418"/>
      <c r="AQ508" s="383"/>
      <c r="AR508" s="507"/>
      <c r="AS508" s="514"/>
      <c r="AT508" s="514"/>
    </row>
    <row r="509">
      <c r="A509" s="382"/>
      <c r="B509" s="418"/>
      <c r="C509" s="383"/>
      <c r="D509" s="507"/>
      <c r="E509" s="382"/>
      <c r="F509" s="418"/>
      <c r="G509" s="383"/>
      <c r="H509" s="507"/>
      <c r="I509" s="382"/>
      <c r="J509" s="418"/>
      <c r="K509" s="383"/>
      <c r="L509" s="507"/>
      <c r="M509" s="382"/>
      <c r="N509" s="418"/>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8"/>
      <c r="AM509" s="383"/>
      <c r="AN509" s="507"/>
      <c r="AO509" s="382"/>
      <c r="AP509" s="418"/>
      <c r="AQ509" s="383"/>
      <c r="AR509" s="507"/>
      <c r="AS509" s="514"/>
      <c r="AT509" s="514"/>
    </row>
    <row r="510">
      <c r="A510" s="382"/>
      <c r="B510" s="418"/>
      <c r="C510" s="383"/>
      <c r="D510" s="507"/>
      <c r="E510" s="382"/>
      <c r="F510" s="418"/>
      <c r="G510" s="383"/>
      <c r="H510" s="507"/>
      <c r="I510" s="382"/>
      <c r="J510" s="418"/>
      <c r="K510" s="383"/>
      <c r="L510" s="507"/>
      <c r="M510" s="382"/>
      <c r="N510" s="418"/>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8"/>
      <c r="AM510" s="383"/>
      <c r="AN510" s="507"/>
      <c r="AO510" s="382"/>
      <c r="AP510" s="418"/>
      <c r="AQ510" s="383"/>
      <c r="AR510" s="507"/>
      <c r="AS510" s="514"/>
      <c r="AT510" s="514"/>
    </row>
    <row r="511">
      <c r="A511" s="382"/>
      <c r="B511" s="418"/>
      <c r="C511" s="383"/>
      <c r="D511" s="507"/>
      <c r="E511" s="382"/>
      <c r="F511" s="418"/>
      <c r="G511" s="383"/>
      <c r="H511" s="507"/>
      <c r="I511" s="382"/>
      <c r="J511" s="418"/>
      <c r="K511" s="383"/>
      <c r="L511" s="507"/>
      <c r="M511" s="382"/>
      <c r="N511" s="418"/>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8"/>
      <c r="AM511" s="383"/>
      <c r="AN511" s="507"/>
      <c r="AO511" s="382"/>
      <c r="AP511" s="418"/>
      <c r="AQ511" s="383"/>
      <c r="AR511" s="507"/>
      <c r="AS511" s="514"/>
      <c r="AT511" s="514"/>
    </row>
    <row r="512">
      <c r="A512" s="382"/>
      <c r="B512" s="418"/>
      <c r="C512" s="383"/>
      <c r="D512" s="507"/>
      <c r="E512" s="382"/>
      <c r="F512" s="418"/>
      <c r="G512" s="383"/>
      <c r="H512" s="507"/>
      <c r="I512" s="382"/>
      <c r="J512" s="418"/>
      <c r="K512" s="383"/>
      <c r="L512" s="507"/>
      <c r="M512" s="382"/>
      <c r="N512" s="418"/>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8"/>
      <c r="AM512" s="383"/>
      <c r="AN512" s="507"/>
      <c r="AO512" s="382"/>
      <c r="AP512" s="418"/>
      <c r="AQ512" s="383"/>
      <c r="AR512" s="507"/>
      <c r="AS512" s="514"/>
      <c r="AT512" s="514"/>
    </row>
    <row r="513">
      <c r="A513" s="382"/>
      <c r="B513" s="418"/>
      <c r="C513" s="383"/>
      <c r="D513" s="507"/>
      <c r="E513" s="382"/>
      <c r="F513" s="418"/>
      <c r="G513" s="383"/>
      <c r="H513" s="507"/>
      <c r="I513" s="382"/>
      <c r="J513" s="418"/>
      <c r="K513" s="383"/>
      <c r="L513" s="507"/>
      <c r="M513" s="382"/>
      <c r="N513" s="418"/>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8"/>
      <c r="AM513" s="383"/>
      <c r="AN513" s="507"/>
      <c r="AO513" s="382"/>
      <c r="AP513" s="418"/>
      <c r="AQ513" s="383"/>
      <c r="AR513" s="507"/>
      <c r="AS513" s="514"/>
      <c r="AT513" s="514"/>
    </row>
    <row r="514">
      <c r="A514" s="382"/>
      <c r="B514" s="418"/>
      <c r="C514" s="383"/>
      <c r="D514" s="507"/>
      <c r="E514" s="382"/>
      <c r="F514" s="418"/>
      <c r="G514" s="383"/>
      <c r="H514" s="507"/>
      <c r="I514" s="382"/>
      <c r="J514" s="418"/>
      <c r="K514" s="383"/>
      <c r="L514" s="507"/>
      <c r="M514" s="382"/>
      <c r="N514" s="418"/>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8"/>
      <c r="AM514" s="383"/>
      <c r="AN514" s="507"/>
      <c r="AO514" s="382"/>
      <c r="AP514" s="418"/>
      <c r="AQ514" s="383"/>
      <c r="AR514" s="507"/>
      <c r="AS514" s="514"/>
      <c r="AT514" s="514"/>
    </row>
    <row r="515">
      <c r="A515" s="382"/>
      <c r="B515" s="418"/>
      <c r="C515" s="383"/>
      <c r="D515" s="507"/>
      <c r="E515" s="382"/>
      <c r="F515" s="418"/>
      <c r="G515" s="383"/>
      <c r="H515" s="507"/>
      <c r="I515" s="382"/>
      <c r="J515" s="418"/>
      <c r="K515" s="383"/>
      <c r="L515" s="507"/>
      <c r="M515" s="382"/>
      <c r="N515" s="418"/>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8"/>
      <c r="AM515" s="383"/>
      <c r="AN515" s="507"/>
      <c r="AO515" s="382"/>
      <c r="AP515" s="418"/>
      <c r="AQ515" s="383"/>
      <c r="AR515" s="507"/>
      <c r="AS515" s="514"/>
      <c r="AT515" s="514"/>
    </row>
    <row r="516">
      <c r="A516" s="382"/>
      <c r="B516" s="418"/>
      <c r="C516" s="383"/>
      <c r="D516" s="507"/>
      <c r="E516" s="382"/>
      <c r="F516" s="418"/>
      <c r="G516" s="383"/>
      <c r="H516" s="507"/>
      <c r="I516" s="382"/>
      <c r="J516" s="418"/>
      <c r="K516" s="383"/>
      <c r="L516" s="507"/>
      <c r="M516" s="382"/>
      <c r="N516" s="418"/>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8"/>
      <c r="AM516" s="383"/>
      <c r="AN516" s="507"/>
      <c r="AO516" s="382"/>
      <c r="AP516" s="418"/>
      <c r="AQ516" s="383"/>
      <c r="AR516" s="507"/>
      <c r="AS516" s="514"/>
      <c r="AT516" s="514"/>
    </row>
    <row r="517">
      <c r="A517" s="382"/>
      <c r="B517" s="418"/>
      <c r="C517" s="383"/>
      <c r="D517" s="507"/>
      <c r="E517" s="382"/>
      <c r="F517" s="418"/>
      <c r="G517" s="383"/>
      <c r="H517" s="507"/>
      <c r="I517" s="382"/>
      <c r="J517" s="418"/>
      <c r="K517" s="383"/>
      <c r="L517" s="507"/>
      <c r="M517" s="382"/>
      <c r="N517" s="418"/>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8"/>
      <c r="AM517" s="383"/>
      <c r="AN517" s="507"/>
      <c r="AO517" s="382"/>
      <c r="AP517" s="418"/>
      <c r="AQ517" s="383"/>
      <c r="AR517" s="507"/>
      <c r="AS517" s="514"/>
      <c r="AT517" s="514"/>
    </row>
    <row r="518">
      <c r="A518" s="382"/>
      <c r="B518" s="418"/>
      <c r="C518" s="383"/>
      <c r="D518" s="507"/>
      <c r="E518" s="382"/>
      <c r="F518" s="418"/>
      <c r="G518" s="383"/>
      <c r="H518" s="507"/>
      <c r="I518" s="382"/>
      <c r="J518" s="418"/>
      <c r="K518" s="383"/>
      <c r="L518" s="507"/>
      <c r="M518" s="382"/>
      <c r="N518" s="418"/>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8"/>
      <c r="AM518" s="383"/>
      <c r="AN518" s="507"/>
      <c r="AO518" s="382"/>
      <c r="AP518" s="418"/>
      <c r="AQ518" s="383"/>
      <c r="AR518" s="507"/>
      <c r="AS518" s="514"/>
      <c r="AT518" s="514"/>
    </row>
    <row r="519">
      <c r="A519" s="382"/>
      <c r="B519" s="418"/>
      <c r="C519" s="383"/>
      <c r="D519" s="507"/>
      <c r="E519" s="382"/>
      <c r="F519" s="418"/>
      <c r="G519" s="383"/>
      <c r="H519" s="507"/>
      <c r="I519" s="382"/>
      <c r="J519" s="418"/>
      <c r="K519" s="383"/>
      <c r="L519" s="507"/>
      <c r="M519" s="382"/>
      <c r="N519" s="418"/>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8"/>
      <c r="AM519" s="383"/>
      <c r="AN519" s="507"/>
      <c r="AO519" s="382"/>
      <c r="AP519" s="418"/>
      <c r="AQ519" s="383"/>
      <c r="AR519" s="507"/>
      <c r="AS519" s="514"/>
      <c r="AT519" s="514"/>
    </row>
    <row r="520">
      <c r="A520" s="382"/>
      <c r="B520" s="418"/>
      <c r="C520" s="383"/>
      <c r="D520" s="507"/>
      <c r="E520" s="382"/>
      <c r="F520" s="418"/>
      <c r="G520" s="383"/>
      <c r="H520" s="507"/>
      <c r="I520" s="382"/>
      <c r="J520" s="418"/>
      <c r="K520" s="383"/>
      <c r="L520" s="507"/>
      <c r="M520" s="382"/>
      <c r="N520" s="418"/>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8"/>
      <c r="AM520" s="383"/>
      <c r="AN520" s="507"/>
      <c r="AO520" s="382"/>
      <c r="AP520" s="418"/>
      <c r="AQ520" s="383"/>
      <c r="AR520" s="507"/>
      <c r="AS520" s="514"/>
      <c r="AT520" s="514"/>
    </row>
    <row r="521">
      <c r="A521" s="382"/>
      <c r="B521" s="418"/>
      <c r="C521" s="383"/>
      <c r="D521" s="507"/>
      <c r="E521" s="382"/>
      <c r="F521" s="418"/>
      <c r="G521" s="383"/>
      <c r="H521" s="507"/>
      <c r="I521" s="382"/>
      <c r="J521" s="418"/>
      <c r="K521" s="383"/>
      <c r="L521" s="507"/>
      <c r="M521" s="382"/>
      <c r="N521" s="418"/>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8"/>
      <c r="AM521" s="383"/>
      <c r="AN521" s="507"/>
      <c r="AO521" s="382"/>
      <c r="AP521" s="418"/>
      <c r="AQ521" s="383"/>
      <c r="AR521" s="507"/>
      <c r="AS521" s="514"/>
      <c r="AT521" s="514"/>
    </row>
    <row r="522">
      <c r="A522" s="382"/>
      <c r="B522" s="418"/>
      <c r="C522" s="383"/>
      <c r="D522" s="507"/>
      <c r="E522" s="382"/>
      <c r="F522" s="418"/>
      <c r="G522" s="383"/>
      <c r="H522" s="507"/>
      <c r="I522" s="382"/>
      <c r="J522" s="418"/>
      <c r="K522" s="383"/>
      <c r="L522" s="507"/>
      <c r="M522" s="382"/>
      <c r="N522" s="418"/>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8"/>
      <c r="AM522" s="383"/>
      <c r="AN522" s="507"/>
      <c r="AO522" s="382"/>
      <c r="AP522" s="418"/>
      <c r="AQ522" s="383"/>
      <c r="AR522" s="507"/>
      <c r="AS522" s="514"/>
      <c r="AT522" s="514"/>
    </row>
    <row r="523">
      <c r="A523" s="382"/>
      <c r="B523" s="418"/>
      <c r="C523" s="383"/>
      <c r="D523" s="507"/>
      <c r="E523" s="382"/>
      <c r="F523" s="418"/>
      <c r="G523" s="383"/>
      <c r="H523" s="507"/>
      <c r="I523" s="382"/>
      <c r="J523" s="418"/>
      <c r="K523" s="383"/>
      <c r="L523" s="507"/>
      <c r="M523" s="382"/>
      <c r="N523" s="418"/>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8"/>
      <c r="AM523" s="383"/>
      <c r="AN523" s="507"/>
      <c r="AO523" s="382"/>
      <c r="AP523" s="418"/>
      <c r="AQ523" s="383"/>
      <c r="AR523" s="507"/>
      <c r="AS523" s="514"/>
      <c r="AT523" s="514"/>
    </row>
    <row r="524">
      <c r="A524" s="382"/>
      <c r="B524" s="418"/>
      <c r="C524" s="383"/>
      <c r="D524" s="507"/>
      <c r="E524" s="382"/>
      <c r="F524" s="418"/>
      <c r="G524" s="383"/>
      <c r="H524" s="507"/>
      <c r="I524" s="382"/>
      <c r="J524" s="418"/>
      <c r="K524" s="383"/>
      <c r="L524" s="507"/>
      <c r="M524" s="382"/>
      <c r="N524" s="418"/>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8"/>
      <c r="AM524" s="383"/>
      <c r="AN524" s="507"/>
      <c r="AO524" s="382"/>
      <c r="AP524" s="418"/>
      <c r="AQ524" s="383"/>
      <c r="AR524" s="507"/>
      <c r="AS524" s="514"/>
      <c r="AT524" s="514"/>
    </row>
    <row r="525">
      <c r="A525" s="382"/>
      <c r="B525" s="418"/>
      <c r="C525" s="383"/>
      <c r="D525" s="507"/>
      <c r="E525" s="382"/>
      <c r="F525" s="418"/>
      <c r="G525" s="383"/>
      <c r="H525" s="507"/>
      <c r="I525" s="382"/>
      <c r="J525" s="418"/>
      <c r="K525" s="383"/>
      <c r="L525" s="507"/>
      <c r="M525" s="382"/>
      <c r="N525" s="418"/>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8"/>
      <c r="AM525" s="383"/>
      <c r="AN525" s="507"/>
      <c r="AO525" s="382"/>
      <c r="AP525" s="418"/>
      <c r="AQ525" s="383"/>
      <c r="AR525" s="507"/>
      <c r="AS525" s="514"/>
      <c r="AT525" s="514"/>
    </row>
    <row r="526">
      <c r="A526" s="382"/>
      <c r="B526" s="418"/>
      <c r="C526" s="383"/>
      <c r="D526" s="507"/>
      <c r="E526" s="382"/>
      <c r="F526" s="418"/>
      <c r="G526" s="383"/>
      <c r="H526" s="507"/>
      <c r="I526" s="382"/>
      <c r="J526" s="418"/>
      <c r="K526" s="383"/>
      <c r="L526" s="507"/>
      <c r="M526" s="382"/>
      <c r="N526" s="418"/>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8"/>
      <c r="AM526" s="383"/>
      <c r="AN526" s="507"/>
      <c r="AO526" s="382"/>
      <c r="AP526" s="418"/>
      <c r="AQ526" s="383"/>
      <c r="AR526" s="507"/>
      <c r="AS526" s="514"/>
      <c r="AT526" s="514"/>
    </row>
    <row r="527">
      <c r="A527" s="382"/>
      <c r="B527" s="418"/>
      <c r="C527" s="383"/>
      <c r="D527" s="507"/>
      <c r="E527" s="382"/>
      <c r="F527" s="418"/>
      <c r="G527" s="383"/>
      <c r="H527" s="507"/>
      <c r="I527" s="382"/>
      <c r="J527" s="418"/>
      <c r="K527" s="383"/>
      <c r="L527" s="507"/>
      <c r="M527" s="382"/>
      <c r="N527" s="418"/>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8"/>
      <c r="AM527" s="383"/>
      <c r="AN527" s="507"/>
      <c r="AO527" s="382"/>
      <c r="AP527" s="418"/>
      <c r="AQ527" s="383"/>
      <c r="AR527" s="507"/>
      <c r="AS527" s="514"/>
      <c r="AT527" s="514"/>
    </row>
    <row r="528">
      <c r="A528" s="382"/>
      <c r="B528" s="418"/>
      <c r="C528" s="383"/>
      <c r="D528" s="507"/>
      <c r="E528" s="382"/>
      <c r="F528" s="418"/>
      <c r="G528" s="383"/>
      <c r="H528" s="507"/>
      <c r="I528" s="382"/>
      <c r="J528" s="418"/>
      <c r="K528" s="383"/>
      <c r="L528" s="507"/>
      <c r="M528" s="382"/>
      <c r="N528" s="418"/>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8"/>
      <c r="AM528" s="383"/>
      <c r="AN528" s="507"/>
      <c r="AO528" s="382"/>
      <c r="AP528" s="418"/>
      <c r="AQ528" s="383"/>
      <c r="AR528" s="507"/>
      <c r="AS528" s="514"/>
      <c r="AT528" s="514"/>
    </row>
    <row r="529">
      <c r="A529" s="382"/>
      <c r="B529" s="418"/>
      <c r="C529" s="383"/>
      <c r="D529" s="507"/>
      <c r="E529" s="382"/>
      <c r="F529" s="418"/>
      <c r="G529" s="383"/>
      <c r="H529" s="507"/>
      <c r="I529" s="382"/>
      <c r="J529" s="418"/>
      <c r="K529" s="383"/>
      <c r="L529" s="507"/>
      <c r="M529" s="382"/>
      <c r="N529" s="418"/>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8"/>
      <c r="AM529" s="383"/>
      <c r="AN529" s="507"/>
      <c r="AO529" s="382"/>
      <c r="AP529" s="418"/>
      <c r="AQ529" s="383"/>
      <c r="AR529" s="507"/>
      <c r="AS529" s="514"/>
      <c r="AT529" s="514"/>
    </row>
    <row r="530">
      <c r="A530" s="382"/>
      <c r="B530" s="418"/>
      <c r="C530" s="383"/>
      <c r="D530" s="507"/>
      <c r="E530" s="382"/>
      <c r="F530" s="418"/>
      <c r="G530" s="383"/>
      <c r="H530" s="507"/>
      <c r="I530" s="382"/>
      <c r="J530" s="418"/>
      <c r="K530" s="383"/>
      <c r="L530" s="507"/>
      <c r="M530" s="382"/>
      <c r="N530" s="418"/>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8"/>
      <c r="AM530" s="383"/>
      <c r="AN530" s="507"/>
      <c r="AO530" s="382"/>
      <c r="AP530" s="418"/>
      <c r="AQ530" s="383"/>
      <c r="AR530" s="507"/>
      <c r="AS530" s="514"/>
      <c r="AT530" s="514"/>
    </row>
    <row r="531">
      <c r="A531" s="382"/>
      <c r="B531" s="418"/>
      <c r="C531" s="383"/>
      <c r="D531" s="507"/>
      <c r="E531" s="382"/>
      <c r="F531" s="418"/>
      <c r="G531" s="383"/>
      <c r="H531" s="507"/>
      <c r="I531" s="382"/>
      <c r="J531" s="418"/>
      <c r="K531" s="383"/>
      <c r="L531" s="507"/>
      <c r="M531" s="382"/>
      <c r="N531" s="418"/>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8"/>
      <c r="AM531" s="383"/>
      <c r="AN531" s="507"/>
      <c r="AO531" s="382"/>
      <c r="AP531" s="418"/>
      <c r="AQ531" s="383"/>
      <c r="AR531" s="507"/>
      <c r="AS531" s="514"/>
      <c r="AT531" s="514"/>
    </row>
    <row r="532">
      <c r="A532" s="382"/>
      <c r="B532" s="418"/>
      <c r="C532" s="383"/>
      <c r="D532" s="507"/>
      <c r="E532" s="382"/>
      <c r="F532" s="418"/>
      <c r="G532" s="383"/>
      <c r="H532" s="507"/>
      <c r="I532" s="382"/>
      <c r="J532" s="418"/>
      <c r="K532" s="383"/>
      <c r="L532" s="507"/>
      <c r="M532" s="382"/>
      <c r="N532" s="418"/>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8"/>
      <c r="AM532" s="383"/>
      <c r="AN532" s="507"/>
      <c r="AO532" s="382"/>
      <c r="AP532" s="418"/>
      <c r="AQ532" s="383"/>
      <c r="AR532" s="507"/>
      <c r="AS532" s="514"/>
      <c r="AT532" s="514"/>
    </row>
    <row r="533">
      <c r="A533" s="382"/>
      <c r="B533" s="418"/>
      <c r="C533" s="383"/>
      <c r="D533" s="507"/>
      <c r="E533" s="382"/>
      <c r="F533" s="418"/>
      <c r="G533" s="383"/>
      <c r="H533" s="507"/>
      <c r="I533" s="382"/>
      <c r="J533" s="418"/>
      <c r="K533" s="383"/>
      <c r="L533" s="507"/>
      <c r="M533" s="382"/>
      <c r="N533" s="418"/>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8"/>
      <c r="AM533" s="383"/>
      <c r="AN533" s="507"/>
      <c r="AO533" s="382"/>
      <c r="AP533" s="418"/>
      <c r="AQ533" s="383"/>
      <c r="AR533" s="507"/>
      <c r="AS533" s="514"/>
      <c r="AT533" s="514"/>
    </row>
    <row r="534">
      <c r="A534" s="382"/>
      <c r="B534" s="418"/>
      <c r="C534" s="383"/>
      <c r="D534" s="507"/>
      <c r="E534" s="382"/>
      <c r="F534" s="418"/>
      <c r="G534" s="383"/>
      <c r="H534" s="507"/>
      <c r="I534" s="382"/>
      <c r="J534" s="418"/>
      <c r="K534" s="383"/>
      <c r="L534" s="507"/>
      <c r="M534" s="382"/>
      <c r="N534" s="418"/>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8"/>
      <c r="AM534" s="383"/>
      <c r="AN534" s="507"/>
      <c r="AO534" s="382"/>
      <c r="AP534" s="418"/>
      <c r="AQ534" s="383"/>
      <c r="AR534" s="507"/>
      <c r="AS534" s="514"/>
      <c r="AT534" s="514"/>
    </row>
    <row r="535">
      <c r="A535" s="382"/>
      <c r="B535" s="418"/>
      <c r="C535" s="383"/>
      <c r="D535" s="507"/>
      <c r="E535" s="382"/>
      <c r="F535" s="418"/>
      <c r="G535" s="383"/>
      <c r="H535" s="507"/>
      <c r="I535" s="382"/>
      <c r="J535" s="418"/>
      <c r="K535" s="383"/>
      <c r="L535" s="507"/>
      <c r="M535" s="382"/>
      <c r="N535" s="418"/>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8"/>
      <c r="AM535" s="383"/>
      <c r="AN535" s="507"/>
      <c r="AO535" s="382"/>
      <c r="AP535" s="418"/>
      <c r="AQ535" s="383"/>
      <c r="AR535" s="507"/>
      <c r="AS535" s="514"/>
      <c r="AT535" s="514"/>
    </row>
    <row r="536">
      <c r="A536" s="382"/>
      <c r="B536" s="418"/>
      <c r="C536" s="383"/>
      <c r="D536" s="507"/>
      <c r="E536" s="382"/>
      <c r="F536" s="418"/>
      <c r="G536" s="383"/>
      <c r="H536" s="507"/>
      <c r="I536" s="382"/>
      <c r="J536" s="418"/>
      <c r="K536" s="383"/>
      <c r="L536" s="507"/>
      <c r="M536" s="382"/>
      <c r="N536" s="418"/>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8"/>
      <c r="AM536" s="383"/>
      <c r="AN536" s="507"/>
      <c r="AO536" s="382"/>
      <c r="AP536" s="418"/>
      <c r="AQ536" s="383"/>
      <c r="AR536" s="507"/>
      <c r="AS536" s="514"/>
      <c r="AT536" s="514"/>
    </row>
    <row r="537">
      <c r="A537" s="382"/>
      <c r="B537" s="418"/>
      <c r="C537" s="383"/>
      <c r="D537" s="507"/>
      <c r="E537" s="382"/>
      <c r="F537" s="418"/>
      <c r="G537" s="383"/>
      <c r="H537" s="507"/>
      <c r="I537" s="382"/>
      <c r="J537" s="418"/>
      <c r="K537" s="383"/>
      <c r="L537" s="507"/>
      <c r="M537" s="382"/>
      <c r="N537" s="418"/>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8"/>
      <c r="AM537" s="383"/>
      <c r="AN537" s="507"/>
      <c r="AO537" s="382"/>
      <c r="AP537" s="418"/>
      <c r="AQ537" s="383"/>
      <c r="AR537" s="507"/>
      <c r="AS537" s="514"/>
      <c r="AT537" s="514"/>
    </row>
    <row r="538">
      <c r="A538" s="382"/>
      <c r="B538" s="418"/>
      <c r="C538" s="383"/>
      <c r="D538" s="507"/>
      <c r="E538" s="382"/>
      <c r="F538" s="418"/>
      <c r="G538" s="383"/>
      <c r="H538" s="507"/>
      <c r="I538" s="382"/>
      <c r="J538" s="418"/>
      <c r="K538" s="383"/>
      <c r="L538" s="507"/>
      <c r="M538" s="382"/>
      <c r="N538" s="418"/>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8"/>
      <c r="AM538" s="383"/>
      <c r="AN538" s="507"/>
      <c r="AO538" s="382"/>
      <c r="AP538" s="418"/>
      <c r="AQ538" s="383"/>
      <c r="AR538" s="507"/>
      <c r="AS538" s="514"/>
      <c r="AT538" s="514"/>
    </row>
    <row r="539">
      <c r="A539" s="382"/>
      <c r="B539" s="418"/>
      <c r="C539" s="383"/>
      <c r="D539" s="507"/>
      <c r="E539" s="382"/>
      <c r="F539" s="418"/>
      <c r="G539" s="383"/>
      <c r="H539" s="507"/>
      <c r="I539" s="382"/>
      <c r="J539" s="418"/>
      <c r="K539" s="383"/>
      <c r="L539" s="507"/>
      <c r="M539" s="382"/>
      <c r="N539" s="418"/>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8"/>
      <c r="AM539" s="383"/>
      <c r="AN539" s="507"/>
      <c r="AO539" s="382"/>
      <c r="AP539" s="418"/>
      <c r="AQ539" s="383"/>
      <c r="AR539" s="507"/>
      <c r="AS539" s="514"/>
      <c r="AT539" s="514"/>
    </row>
    <row r="540">
      <c r="A540" s="382"/>
      <c r="B540" s="418"/>
      <c r="C540" s="383"/>
      <c r="D540" s="507"/>
      <c r="E540" s="382"/>
      <c r="F540" s="418"/>
      <c r="G540" s="383"/>
      <c r="H540" s="507"/>
      <c r="I540" s="382"/>
      <c r="J540" s="418"/>
      <c r="K540" s="383"/>
      <c r="L540" s="507"/>
      <c r="M540" s="382"/>
      <c r="N540" s="418"/>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8"/>
      <c r="AM540" s="383"/>
      <c r="AN540" s="507"/>
      <c r="AO540" s="382"/>
      <c r="AP540" s="418"/>
      <c r="AQ540" s="383"/>
      <c r="AR540" s="507"/>
      <c r="AS540" s="514"/>
      <c r="AT540" s="514"/>
    </row>
    <row r="541">
      <c r="A541" s="382"/>
      <c r="B541" s="418"/>
      <c r="C541" s="383"/>
      <c r="D541" s="507"/>
      <c r="E541" s="382"/>
      <c r="F541" s="418"/>
      <c r="G541" s="383"/>
      <c r="H541" s="507"/>
      <c r="I541" s="382"/>
      <c r="J541" s="418"/>
      <c r="K541" s="383"/>
      <c r="L541" s="507"/>
      <c r="M541" s="382"/>
      <c r="N541" s="418"/>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8"/>
      <c r="AM541" s="383"/>
      <c r="AN541" s="507"/>
      <c r="AO541" s="382"/>
      <c r="AP541" s="418"/>
      <c r="AQ541" s="383"/>
      <c r="AR541" s="507"/>
      <c r="AS541" s="514"/>
      <c r="AT541" s="514"/>
    </row>
    <row r="542">
      <c r="A542" s="382"/>
      <c r="B542" s="418"/>
      <c r="C542" s="383"/>
      <c r="D542" s="507"/>
      <c r="E542" s="382"/>
      <c r="F542" s="418"/>
      <c r="G542" s="383"/>
      <c r="H542" s="507"/>
      <c r="I542" s="382"/>
      <c r="J542" s="418"/>
      <c r="K542" s="383"/>
      <c r="L542" s="507"/>
      <c r="M542" s="382"/>
      <c r="N542" s="418"/>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8"/>
      <c r="AM542" s="383"/>
      <c r="AN542" s="507"/>
      <c r="AO542" s="382"/>
      <c r="AP542" s="418"/>
      <c r="AQ542" s="383"/>
      <c r="AR542" s="507"/>
      <c r="AS542" s="514"/>
      <c r="AT542" s="514"/>
    </row>
    <row r="543">
      <c r="A543" s="382"/>
      <c r="B543" s="418"/>
      <c r="C543" s="383"/>
      <c r="D543" s="507"/>
      <c r="E543" s="382"/>
      <c r="F543" s="418"/>
      <c r="G543" s="383"/>
      <c r="H543" s="507"/>
      <c r="I543" s="382"/>
      <c r="J543" s="418"/>
      <c r="K543" s="383"/>
      <c r="L543" s="507"/>
      <c r="M543" s="382"/>
      <c r="N543" s="418"/>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8"/>
      <c r="AM543" s="383"/>
      <c r="AN543" s="507"/>
      <c r="AO543" s="382"/>
      <c r="AP543" s="418"/>
      <c r="AQ543" s="383"/>
      <c r="AR543" s="507"/>
      <c r="AS543" s="514"/>
      <c r="AT543" s="514"/>
    </row>
    <row r="544">
      <c r="A544" s="382"/>
      <c r="B544" s="418"/>
      <c r="C544" s="383"/>
      <c r="D544" s="507"/>
      <c r="E544" s="382"/>
      <c r="F544" s="418"/>
      <c r="G544" s="383"/>
      <c r="H544" s="507"/>
      <c r="I544" s="382"/>
      <c r="J544" s="418"/>
      <c r="K544" s="383"/>
      <c r="L544" s="507"/>
      <c r="M544" s="382"/>
      <c r="N544" s="418"/>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8"/>
      <c r="AM544" s="383"/>
      <c r="AN544" s="507"/>
      <c r="AO544" s="382"/>
      <c r="AP544" s="418"/>
      <c r="AQ544" s="383"/>
      <c r="AR544" s="507"/>
      <c r="AS544" s="514"/>
      <c r="AT544" s="514"/>
    </row>
    <row r="545">
      <c r="A545" s="382"/>
      <c r="B545" s="418"/>
      <c r="C545" s="383"/>
      <c r="D545" s="507"/>
      <c r="E545" s="382"/>
      <c r="F545" s="418"/>
      <c r="G545" s="383"/>
      <c r="H545" s="507"/>
      <c r="I545" s="382"/>
      <c r="J545" s="418"/>
      <c r="K545" s="383"/>
      <c r="L545" s="507"/>
      <c r="M545" s="382"/>
      <c r="N545" s="418"/>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8"/>
      <c r="AM545" s="383"/>
      <c r="AN545" s="507"/>
      <c r="AO545" s="382"/>
      <c r="AP545" s="418"/>
      <c r="AQ545" s="383"/>
      <c r="AR545" s="507"/>
      <c r="AS545" s="514"/>
      <c r="AT545" s="514"/>
    </row>
    <row r="546">
      <c r="A546" s="382"/>
      <c r="B546" s="418"/>
      <c r="C546" s="383"/>
      <c r="D546" s="507"/>
      <c r="E546" s="382"/>
      <c r="F546" s="418"/>
      <c r="G546" s="383"/>
      <c r="H546" s="507"/>
      <c r="I546" s="382"/>
      <c r="J546" s="418"/>
      <c r="K546" s="383"/>
      <c r="L546" s="507"/>
      <c r="M546" s="382"/>
      <c r="N546" s="418"/>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8"/>
      <c r="AM546" s="383"/>
      <c r="AN546" s="507"/>
      <c r="AO546" s="382"/>
      <c r="AP546" s="418"/>
      <c r="AQ546" s="383"/>
      <c r="AR546" s="507"/>
      <c r="AS546" s="514"/>
      <c r="AT546" s="514"/>
    </row>
    <row r="547">
      <c r="A547" s="382"/>
      <c r="B547" s="418"/>
      <c r="C547" s="383"/>
      <c r="D547" s="507"/>
      <c r="E547" s="382"/>
      <c r="F547" s="418"/>
      <c r="G547" s="383"/>
      <c r="H547" s="507"/>
      <c r="I547" s="382"/>
      <c r="J547" s="418"/>
      <c r="K547" s="383"/>
      <c r="L547" s="507"/>
      <c r="M547" s="382"/>
      <c r="N547" s="418"/>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8"/>
      <c r="AM547" s="383"/>
      <c r="AN547" s="507"/>
      <c r="AO547" s="382"/>
      <c r="AP547" s="418"/>
      <c r="AQ547" s="383"/>
      <c r="AR547" s="507"/>
      <c r="AS547" s="514"/>
      <c r="AT547" s="514"/>
    </row>
    <row r="548">
      <c r="A548" s="382"/>
      <c r="B548" s="418"/>
      <c r="C548" s="383"/>
      <c r="D548" s="507"/>
      <c r="E548" s="382"/>
      <c r="F548" s="418"/>
      <c r="G548" s="383"/>
      <c r="H548" s="507"/>
      <c r="I548" s="382"/>
      <c r="J548" s="418"/>
      <c r="K548" s="383"/>
      <c r="L548" s="507"/>
      <c r="M548" s="382"/>
      <c r="N548" s="418"/>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8"/>
      <c r="AM548" s="383"/>
      <c r="AN548" s="507"/>
      <c r="AO548" s="382"/>
      <c r="AP548" s="418"/>
      <c r="AQ548" s="383"/>
      <c r="AR548" s="507"/>
      <c r="AS548" s="514"/>
      <c r="AT548" s="514"/>
    </row>
    <row r="549">
      <c r="A549" s="382"/>
      <c r="B549" s="418"/>
      <c r="C549" s="383"/>
      <c r="D549" s="507"/>
      <c r="E549" s="382"/>
      <c r="F549" s="418"/>
      <c r="G549" s="383"/>
      <c r="H549" s="507"/>
      <c r="I549" s="382"/>
      <c r="J549" s="418"/>
      <c r="K549" s="383"/>
      <c r="L549" s="507"/>
      <c r="M549" s="382"/>
      <c r="N549" s="418"/>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8"/>
      <c r="AM549" s="383"/>
      <c r="AN549" s="507"/>
      <c r="AO549" s="382"/>
      <c r="AP549" s="418"/>
      <c r="AQ549" s="383"/>
      <c r="AR549" s="507"/>
      <c r="AS549" s="514"/>
      <c r="AT549" s="514"/>
    </row>
    <row r="550">
      <c r="A550" s="382"/>
      <c r="B550" s="418"/>
      <c r="C550" s="383"/>
      <c r="D550" s="507"/>
      <c r="E550" s="382"/>
      <c r="F550" s="418"/>
      <c r="G550" s="383"/>
      <c r="H550" s="507"/>
      <c r="I550" s="382"/>
      <c r="J550" s="418"/>
      <c r="K550" s="383"/>
      <c r="L550" s="507"/>
      <c r="M550" s="382"/>
      <c r="N550" s="418"/>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8"/>
      <c r="AM550" s="383"/>
      <c r="AN550" s="507"/>
      <c r="AO550" s="382"/>
      <c r="AP550" s="418"/>
      <c r="AQ550" s="383"/>
      <c r="AR550" s="507"/>
      <c r="AS550" s="514"/>
      <c r="AT550" s="514"/>
    </row>
    <row r="551">
      <c r="A551" s="382"/>
      <c r="B551" s="418"/>
      <c r="C551" s="383"/>
      <c r="D551" s="507"/>
      <c r="E551" s="382"/>
      <c r="F551" s="418"/>
      <c r="G551" s="383"/>
      <c r="H551" s="507"/>
      <c r="I551" s="382"/>
      <c r="J551" s="418"/>
      <c r="K551" s="383"/>
      <c r="L551" s="507"/>
      <c r="M551" s="382"/>
      <c r="N551" s="418"/>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8"/>
      <c r="AM551" s="383"/>
      <c r="AN551" s="507"/>
      <c r="AO551" s="382"/>
      <c r="AP551" s="418"/>
      <c r="AQ551" s="383"/>
      <c r="AR551" s="507"/>
      <c r="AS551" s="514"/>
      <c r="AT551" s="514"/>
    </row>
    <row r="552">
      <c r="A552" s="382"/>
      <c r="B552" s="418"/>
      <c r="C552" s="383"/>
      <c r="D552" s="507"/>
      <c r="E552" s="382"/>
      <c r="F552" s="418"/>
      <c r="G552" s="383"/>
      <c r="H552" s="507"/>
      <c r="I552" s="382"/>
      <c r="J552" s="418"/>
      <c r="K552" s="383"/>
      <c r="L552" s="507"/>
      <c r="M552" s="382"/>
      <c r="N552" s="418"/>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8"/>
      <c r="AM552" s="383"/>
      <c r="AN552" s="507"/>
      <c r="AO552" s="382"/>
      <c r="AP552" s="418"/>
      <c r="AQ552" s="383"/>
      <c r="AR552" s="507"/>
      <c r="AS552" s="514"/>
      <c r="AT552" s="514"/>
    </row>
    <row r="553">
      <c r="A553" s="382"/>
      <c r="B553" s="418"/>
      <c r="C553" s="383"/>
      <c r="D553" s="507"/>
      <c r="E553" s="382"/>
      <c r="F553" s="418"/>
      <c r="G553" s="383"/>
      <c r="H553" s="507"/>
      <c r="I553" s="382"/>
      <c r="J553" s="418"/>
      <c r="K553" s="383"/>
      <c r="L553" s="507"/>
      <c r="M553" s="382"/>
      <c r="N553" s="418"/>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8"/>
      <c r="AM553" s="383"/>
      <c r="AN553" s="507"/>
      <c r="AO553" s="382"/>
      <c r="AP553" s="418"/>
      <c r="AQ553" s="383"/>
      <c r="AR553" s="507"/>
      <c r="AS553" s="514"/>
      <c r="AT553" s="514"/>
    </row>
    <row r="554">
      <c r="A554" s="382"/>
      <c r="B554" s="418"/>
      <c r="C554" s="383"/>
      <c r="D554" s="507"/>
      <c r="E554" s="382"/>
      <c r="F554" s="418"/>
      <c r="G554" s="383"/>
      <c r="H554" s="507"/>
      <c r="I554" s="382"/>
      <c r="J554" s="418"/>
      <c r="K554" s="383"/>
      <c r="L554" s="507"/>
      <c r="M554" s="382"/>
      <c r="N554" s="418"/>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8"/>
      <c r="AM554" s="383"/>
      <c r="AN554" s="507"/>
      <c r="AO554" s="382"/>
      <c r="AP554" s="418"/>
      <c r="AQ554" s="383"/>
      <c r="AR554" s="507"/>
      <c r="AS554" s="514"/>
      <c r="AT554" s="514"/>
    </row>
    <row r="555">
      <c r="A555" s="382"/>
      <c r="B555" s="418"/>
      <c r="C555" s="383"/>
      <c r="D555" s="507"/>
      <c r="E555" s="382"/>
      <c r="F555" s="418"/>
      <c r="G555" s="383"/>
      <c r="H555" s="507"/>
      <c r="I555" s="382"/>
      <c r="J555" s="418"/>
      <c r="K555" s="383"/>
      <c r="L555" s="507"/>
      <c r="M555" s="382"/>
      <c r="N555" s="418"/>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8"/>
      <c r="AM555" s="383"/>
      <c r="AN555" s="507"/>
      <c r="AO555" s="382"/>
      <c r="AP555" s="418"/>
      <c r="AQ555" s="383"/>
      <c r="AR555" s="507"/>
      <c r="AS555" s="514"/>
      <c r="AT555" s="514"/>
    </row>
    <row r="556">
      <c r="A556" s="382"/>
      <c r="B556" s="418"/>
      <c r="C556" s="383"/>
      <c r="D556" s="507"/>
      <c r="E556" s="382"/>
      <c r="F556" s="418"/>
      <c r="G556" s="383"/>
      <c r="H556" s="507"/>
      <c r="I556" s="382"/>
      <c r="J556" s="418"/>
      <c r="K556" s="383"/>
      <c r="L556" s="507"/>
      <c r="M556" s="382"/>
      <c r="N556" s="418"/>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8"/>
      <c r="AM556" s="383"/>
      <c r="AN556" s="507"/>
      <c r="AO556" s="382"/>
      <c r="AP556" s="418"/>
      <c r="AQ556" s="383"/>
      <c r="AR556" s="507"/>
      <c r="AS556" s="514"/>
      <c r="AT556" s="514"/>
    </row>
    <row r="557">
      <c r="A557" s="382"/>
      <c r="B557" s="418"/>
      <c r="C557" s="383"/>
      <c r="D557" s="507"/>
      <c r="E557" s="382"/>
      <c r="F557" s="418"/>
      <c r="G557" s="383"/>
      <c r="H557" s="507"/>
      <c r="I557" s="382"/>
      <c r="J557" s="418"/>
      <c r="K557" s="383"/>
      <c r="L557" s="507"/>
      <c r="M557" s="382"/>
      <c r="N557" s="418"/>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8"/>
      <c r="AM557" s="383"/>
      <c r="AN557" s="507"/>
      <c r="AO557" s="382"/>
      <c r="AP557" s="418"/>
      <c r="AQ557" s="383"/>
      <c r="AR557" s="507"/>
      <c r="AS557" s="514"/>
      <c r="AT557" s="514"/>
    </row>
    <row r="558">
      <c r="A558" s="382"/>
      <c r="B558" s="418"/>
      <c r="C558" s="383"/>
      <c r="D558" s="507"/>
      <c r="E558" s="382"/>
      <c r="F558" s="418"/>
      <c r="G558" s="383"/>
      <c r="H558" s="507"/>
      <c r="I558" s="382"/>
      <c r="J558" s="418"/>
      <c r="K558" s="383"/>
      <c r="L558" s="507"/>
      <c r="M558" s="382"/>
      <c r="N558" s="418"/>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8"/>
      <c r="AM558" s="383"/>
      <c r="AN558" s="507"/>
      <c r="AO558" s="382"/>
      <c r="AP558" s="418"/>
      <c r="AQ558" s="383"/>
      <c r="AR558" s="507"/>
      <c r="AS558" s="514"/>
      <c r="AT558" s="514"/>
    </row>
    <row r="559">
      <c r="A559" s="382"/>
      <c r="B559" s="418"/>
      <c r="C559" s="383"/>
      <c r="D559" s="507"/>
      <c r="E559" s="382"/>
      <c r="F559" s="418"/>
      <c r="G559" s="383"/>
      <c r="H559" s="507"/>
      <c r="I559" s="382"/>
      <c r="J559" s="418"/>
      <c r="K559" s="383"/>
      <c r="L559" s="507"/>
      <c r="M559" s="382"/>
      <c r="N559" s="418"/>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8"/>
      <c r="AM559" s="383"/>
      <c r="AN559" s="507"/>
      <c r="AO559" s="382"/>
      <c r="AP559" s="418"/>
      <c r="AQ559" s="383"/>
      <c r="AR559" s="507"/>
      <c r="AS559" s="514"/>
      <c r="AT559" s="514"/>
    </row>
    <row r="560">
      <c r="A560" s="382"/>
      <c r="B560" s="418"/>
      <c r="C560" s="383"/>
      <c r="D560" s="507"/>
      <c r="E560" s="382"/>
      <c r="F560" s="418"/>
      <c r="G560" s="383"/>
      <c r="H560" s="507"/>
      <c r="I560" s="382"/>
      <c r="J560" s="418"/>
      <c r="K560" s="383"/>
      <c r="L560" s="507"/>
      <c r="M560" s="382"/>
      <c r="N560" s="418"/>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8"/>
      <c r="AM560" s="383"/>
      <c r="AN560" s="507"/>
      <c r="AO560" s="382"/>
      <c r="AP560" s="418"/>
      <c r="AQ560" s="383"/>
      <c r="AR560" s="507"/>
      <c r="AS560" s="514"/>
      <c r="AT560" s="514"/>
    </row>
    <row r="561">
      <c r="A561" s="382"/>
      <c r="B561" s="418"/>
      <c r="C561" s="383"/>
      <c r="D561" s="507"/>
      <c r="E561" s="382"/>
      <c r="F561" s="418"/>
      <c r="G561" s="383"/>
      <c r="H561" s="507"/>
      <c r="I561" s="382"/>
      <c r="J561" s="418"/>
      <c r="K561" s="383"/>
      <c r="L561" s="507"/>
      <c r="M561" s="382"/>
      <c r="N561" s="418"/>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8"/>
      <c r="AM561" s="383"/>
      <c r="AN561" s="507"/>
      <c r="AO561" s="382"/>
      <c r="AP561" s="418"/>
      <c r="AQ561" s="383"/>
      <c r="AR561" s="507"/>
      <c r="AS561" s="514"/>
      <c r="AT561" s="514"/>
    </row>
    <row r="562">
      <c r="A562" s="382"/>
      <c r="B562" s="418"/>
      <c r="C562" s="383"/>
      <c r="D562" s="507"/>
      <c r="E562" s="382"/>
      <c r="F562" s="418"/>
      <c r="G562" s="383"/>
      <c r="H562" s="507"/>
      <c r="I562" s="382"/>
      <c r="J562" s="418"/>
      <c r="K562" s="383"/>
      <c r="L562" s="507"/>
      <c r="M562" s="382"/>
      <c r="N562" s="418"/>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8"/>
      <c r="AM562" s="383"/>
      <c r="AN562" s="507"/>
      <c r="AO562" s="382"/>
      <c r="AP562" s="418"/>
      <c r="AQ562" s="383"/>
      <c r="AR562" s="507"/>
      <c r="AS562" s="514"/>
      <c r="AT562" s="514"/>
    </row>
    <row r="563">
      <c r="A563" s="382"/>
      <c r="B563" s="418"/>
      <c r="C563" s="383"/>
      <c r="D563" s="507"/>
      <c r="E563" s="382"/>
      <c r="F563" s="418"/>
      <c r="G563" s="383"/>
      <c r="H563" s="507"/>
      <c r="I563" s="382"/>
      <c r="J563" s="418"/>
      <c r="K563" s="383"/>
      <c r="L563" s="507"/>
      <c r="M563" s="382"/>
      <c r="N563" s="418"/>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8"/>
      <c r="AM563" s="383"/>
      <c r="AN563" s="507"/>
      <c r="AO563" s="382"/>
      <c r="AP563" s="418"/>
      <c r="AQ563" s="383"/>
      <c r="AR563" s="507"/>
      <c r="AS563" s="514"/>
      <c r="AT563" s="514"/>
    </row>
    <row r="564">
      <c r="A564" s="382"/>
      <c r="B564" s="418"/>
      <c r="C564" s="383"/>
      <c r="D564" s="507"/>
      <c r="E564" s="382"/>
      <c r="F564" s="418"/>
      <c r="G564" s="383"/>
      <c r="H564" s="507"/>
      <c r="I564" s="382"/>
      <c r="J564" s="418"/>
      <c r="K564" s="383"/>
      <c r="L564" s="507"/>
      <c r="M564" s="382"/>
      <c r="N564" s="418"/>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8"/>
      <c r="AM564" s="383"/>
      <c r="AN564" s="507"/>
      <c r="AO564" s="382"/>
      <c r="AP564" s="418"/>
      <c r="AQ564" s="383"/>
      <c r="AR564" s="507"/>
      <c r="AS564" s="514"/>
      <c r="AT564" s="514"/>
    </row>
    <row r="565">
      <c r="A565" s="382"/>
      <c r="B565" s="418"/>
      <c r="C565" s="383"/>
      <c r="D565" s="507"/>
      <c r="E565" s="382"/>
      <c r="F565" s="418"/>
      <c r="G565" s="383"/>
      <c r="H565" s="507"/>
      <c r="I565" s="382"/>
      <c r="J565" s="418"/>
      <c r="K565" s="383"/>
      <c r="L565" s="507"/>
      <c r="M565" s="382"/>
      <c r="N565" s="418"/>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8"/>
      <c r="AM565" s="383"/>
      <c r="AN565" s="507"/>
      <c r="AO565" s="382"/>
      <c r="AP565" s="418"/>
      <c r="AQ565" s="383"/>
      <c r="AR565" s="507"/>
      <c r="AS565" s="514"/>
      <c r="AT565" s="514"/>
    </row>
    <row r="566">
      <c r="A566" s="382"/>
      <c r="B566" s="418"/>
      <c r="C566" s="383"/>
      <c r="D566" s="507"/>
      <c r="E566" s="382"/>
      <c r="F566" s="418"/>
      <c r="G566" s="383"/>
      <c r="H566" s="507"/>
      <c r="I566" s="382"/>
      <c r="J566" s="418"/>
      <c r="K566" s="383"/>
      <c r="L566" s="507"/>
      <c r="M566" s="382"/>
      <c r="N566" s="418"/>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8"/>
      <c r="AM566" s="383"/>
      <c r="AN566" s="507"/>
      <c r="AO566" s="382"/>
      <c r="AP566" s="418"/>
      <c r="AQ566" s="383"/>
      <c r="AR566" s="507"/>
      <c r="AS566" s="514"/>
      <c r="AT566" s="514"/>
    </row>
    <row r="567">
      <c r="A567" s="382"/>
      <c r="B567" s="418"/>
      <c r="C567" s="383"/>
      <c r="D567" s="507"/>
      <c r="E567" s="382"/>
      <c r="F567" s="418"/>
      <c r="G567" s="383"/>
      <c r="H567" s="507"/>
      <c r="I567" s="382"/>
      <c r="J567" s="418"/>
      <c r="K567" s="383"/>
      <c r="L567" s="507"/>
      <c r="M567" s="382"/>
      <c r="N567" s="418"/>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8"/>
      <c r="AM567" s="383"/>
      <c r="AN567" s="507"/>
      <c r="AO567" s="382"/>
      <c r="AP567" s="418"/>
      <c r="AQ567" s="383"/>
      <c r="AR567" s="507"/>
      <c r="AS567" s="514"/>
      <c r="AT567" s="514"/>
    </row>
    <row r="568">
      <c r="A568" s="382"/>
      <c r="B568" s="418"/>
      <c r="C568" s="383"/>
      <c r="D568" s="507"/>
      <c r="E568" s="382"/>
      <c r="F568" s="418"/>
      <c r="G568" s="383"/>
      <c r="H568" s="507"/>
      <c r="I568" s="382"/>
      <c r="J568" s="418"/>
      <c r="K568" s="383"/>
      <c r="L568" s="507"/>
      <c r="M568" s="382"/>
      <c r="N568" s="418"/>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8"/>
      <c r="AM568" s="383"/>
      <c r="AN568" s="507"/>
      <c r="AO568" s="382"/>
      <c r="AP568" s="418"/>
      <c r="AQ568" s="383"/>
      <c r="AR568" s="507"/>
      <c r="AS568" s="514"/>
      <c r="AT568" s="514"/>
    </row>
    <row r="569">
      <c r="A569" s="382"/>
      <c r="B569" s="418"/>
      <c r="C569" s="383"/>
      <c r="D569" s="507"/>
      <c r="E569" s="382"/>
      <c r="F569" s="418"/>
      <c r="G569" s="383"/>
      <c r="H569" s="507"/>
      <c r="I569" s="382"/>
      <c r="J569" s="418"/>
      <c r="K569" s="383"/>
      <c r="L569" s="507"/>
      <c r="M569" s="382"/>
      <c r="N569" s="418"/>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8"/>
      <c r="AM569" s="383"/>
      <c r="AN569" s="507"/>
      <c r="AO569" s="382"/>
      <c r="AP569" s="418"/>
      <c r="AQ569" s="383"/>
      <c r="AR569" s="507"/>
      <c r="AS569" s="514"/>
      <c r="AT569" s="514"/>
    </row>
    <row r="570">
      <c r="A570" s="382"/>
      <c r="B570" s="418"/>
      <c r="C570" s="383"/>
      <c r="D570" s="507"/>
      <c r="E570" s="382"/>
      <c r="F570" s="418"/>
      <c r="G570" s="383"/>
      <c r="H570" s="507"/>
      <c r="I570" s="382"/>
      <c r="J570" s="418"/>
      <c r="K570" s="383"/>
      <c r="L570" s="507"/>
      <c r="M570" s="382"/>
      <c r="N570" s="418"/>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8"/>
      <c r="AM570" s="383"/>
      <c r="AN570" s="507"/>
      <c r="AO570" s="382"/>
      <c r="AP570" s="418"/>
      <c r="AQ570" s="383"/>
      <c r="AR570" s="507"/>
      <c r="AS570" s="514"/>
      <c r="AT570" s="514"/>
    </row>
    <row r="571">
      <c r="A571" s="382"/>
      <c r="B571" s="418"/>
      <c r="C571" s="383"/>
      <c r="D571" s="507"/>
      <c r="E571" s="382"/>
      <c r="F571" s="418"/>
      <c r="G571" s="383"/>
      <c r="H571" s="507"/>
      <c r="I571" s="382"/>
      <c r="J571" s="418"/>
      <c r="K571" s="383"/>
      <c r="L571" s="507"/>
      <c r="M571" s="382"/>
      <c r="N571" s="418"/>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8"/>
      <c r="AM571" s="383"/>
      <c r="AN571" s="507"/>
      <c r="AO571" s="382"/>
      <c r="AP571" s="418"/>
      <c r="AQ571" s="383"/>
      <c r="AR571" s="507"/>
      <c r="AS571" s="514"/>
      <c r="AT571" s="514"/>
    </row>
    <row r="572">
      <c r="A572" s="382"/>
      <c r="B572" s="418"/>
      <c r="C572" s="383"/>
      <c r="D572" s="507"/>
      <c r="E572" s="382"/>
      <c r="F572" s="418"/>
      <c r="G572" s="383"/>
      <c r="H572" s="507"/>
      <c r="I572" s="382"/>
      <c r="J572" s="418"/>
      <c r="K572" s="383"/>
      <c r="L572" s="507"/>
      <c r="M572" s="382"/>
      <c r="N572" s="418"/>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8"/>
      <c r="AM572" s="383"/>
      <c r="AN572" s="507"/>
      <c r="AO572" s="382"/>
      <c r="AP572" s="418"/>
      <c r="AQ572" s="383"/>
      <c r="AR572" s="507"/>
      <c r="AS572" s="514"/>
      <c r="AT572" s="514"/>
    </row>
    <row r="573">
      <c r="A573" s="382"/>
      <c r="B573" s="418"/>
      <c r="C573" s="383"/>
      <c r="D573" s="507"/>
      <c r="E573" s="382"/>
      <c r="F573" s="418"/>
      <c r="G573" s="383"/>
      <c r="H573" s="507"/>
      <c r="I573" s="382"/>
      <c r="J573" s="418"/>
      <c r="K573" s="383"/>
      <c r="L573" s="507"/>
      <c r="M573" s="382"/>
      <c r="N573" s="418"/>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8"/>
      <c r="AM573" s="383"/>
      <c r="AN573" s="507"/>
      <c r="AO573" s="382"/>
      <c r="AP573" s="418"/>
      <c r="AQ573" s="383"/>
      <c r="AR573" s="507"/>
      <c r="AS573" s="514"/>
      <c r="AT573" s="514"/>
    </row>
    <row r="574">
      <c r="A574" s="382"/>
      <c r="B574" s="418"/>
      <c r="C574" s="383"/>
      <c r="D574" s="507"/>
      <c r="E574" s="382"/>
      <c r="F574" s="418"/>
      <c r="G574" s="383"/>
      <c r="H574" s="507"/>
      <c r="I574" s="382"/>
      <c r="J574" s="418"/>
      <c r="K574" s="383"/>
      <c r="L574" s="507"/>
      <c r="M574" s="382"/>
      <c r="N574" s="418"/>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8"/>
      <c r="AM574" s="383"/>
      <c r="AN574" s="507"/>
      <c r="AO574" s="382"/>
      <c r="AP574" s="418"/>
      <c r="AQ574" s="383"/>
      <c r="AR574" s="507"/>
      <c r="AS574" s="514"/>
      <c r="AT574" s="514"/>
    </row>
    <row r="575">
      <c r="A575" s="382"/>
      <c r="B575" s="418"/>
      <c r="C575" s="383"/>
      <c r="D575" s="507"/>
      <c r="E575" s="382"/>
      <c r="F575" s="418"/>
      <c r="G575" s="383"/>
      <c r="H575" s="507"/>
      <c r="I575" s="382"/>
      <c r="J575" s="418"/>
      <c r="K575" s="383"/>
      <c r="L575" s="507"/>
      <c r="M575" s="382"/>
      <c r="N575" s="418"/>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8"/>
      <c r="AM575" s="383"/>
      <c r="AN575" s="507"/>
      <c r="AO575" s="382"/>
      <c r="AP575" s="418"/>
      <c r="AQ575" s="383"/>
      <c r="AR575" s="507"/>
      <c r="AS575" s="514"/>
      <c r="AT575" s="514"/>
    </row>
    <row r="576">
      <c r="A576" s="382"/>
      <c r="B576" s="418"/>
      <c r="C576" s="383"/>
      <c r="D576" s="507"/>
      <c r="E576" s="382"/>
      <c r="F576" s="418"/>
      <c r="G576" s="383"/>
      <c r="H576" s="507"/>
      <c r="I576" s="382"/>
      <c r="J576" s="418"/>
      <c r="K576" s="383"/>
      <c r="L576" s="507"/>
      <c r="M576" s="382"/>
      <c r="N576" s="418"/>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8"/>
      <c r="AM576" s="383"/>
      <c r="AN576" s="507"/>
      <c r="AO576" s="382"/>
      <c r="AP576" s="418"/>
      <c r="AQ576" s="383"/>
      <c r="AR576" s="507"/>
      <c r="AS576" s="514"/>
      <c r="AT576" s="514"/>
    </row>
    <row r="577">
      <c r="A577" s="382"/>
      <c r="B577" s="418"/>
      <c r="C577" s="383"/>
      <c r="D577" s="507"/>
      <c r="E577" s="382"/>
      <c r="F577" s="418"/>
      <c r="G577" s="383"/>
      <c r="H577" s="507"/>
      <c r="I577" s="382"/>
      <c r="J577" s="418"/>
      <c r="K577" s="383"/>
      <c r="L577" s="507"/>
      <c r="M577" s="382"/>
      <c r="N577" s="418"/>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8"/>
      <c r="AM577" s="383"/>
      <c r="AN577" s="507"/>
      <c r="AO577" s="382"/>
      <c r="AP577" s="418"/>
      <c r="AQ577" s="383"/>
      <c r="AR577" s="507"/>
      <c r="AS577" s="514"/>
      <c r="AT577" s="514"/>
    </row>
    <row r="578">
      <c r="A578" s="382"/>
      <c r="B578" s="418"/>
      <c r="C578" s="383"/>
      <c r="D578" s="507"/>
      <c r="E578" s="382"/>
      <c r="F578" s="418"/>
      <c r="G578" s="383"/>
      <c r="H578" s="507"/>
      <c r="I578" s="382"/>
      <c r="J578" s="418"/>
      <c r="K578" s="383"/>
      <c r="L578" s="507"/>
      <c r="M578" s="382"/>
      <c r="N578" s="418"/>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8"/>
      <c r="AM578" s="383"/>
      <c r="AN578" s="507"/>
      <c r="AO578" s="382"/>
      <c r="AP578" s="418"/>
      <c r="AQ578" s="383"/>
      <c r="AR578" s="507"/>
      <c r="AS578" s="514"/>
      <c r="AT578" s="514"/>
    </row>
    <row r="579">
      <c r="A579" s="382"/>
      <c r="B579" s="418"/>
      <c r="C579" s="383"/>
      <c r="D579" s="507"/>
      <c r="E579" s="382"/>
      <c r="F579" s="418"/>
      <c r="G579" s="383"/>
      <c r="H579" s="507"/>
      <c r="I579" s="382"/>
      <c r="J579" s="418"/>
      <c r="K579" s="383"/>
      <c r="L579" s="507"/>
      <c r="M579" s="382"/>
      <c r="N579" s="418"/>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8"/>
      <c r="AM579" s="383"/>
      <c r="AN579" s="507"/>
      <c r="AO579" s="382"/>
      <c r="AP579" s="418"/>
      <c r="AQ579" s="383"/>
      <c r="AR579" s="507"/>
      <c r="AS579" s="514"/>
      <c r="AT579" s="514"/>
    </row>
    <row r="580">
      <c r="A580" s="382"/>
      <c r="B580" s="418"/>
      <c r="C580" s="383"/>
      <c r="D580" s="507"/>
      <c r="E580" s="382"/>
      <c r="F580" s="418"/>
      <c r="G580" s="383"/>
      <c r="H580" s="507"/>
      <c r="I580" s="382"/>
      <c r="J580" s="418"/>
      <c r="K580" s="383"/>
      <c r="L580" s="507"/>
      <c r="M580" s="382"/>
      <c r="N580" s="418"/>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8"/>
      <c r="AM580" s="383"/>
      <c r="AN580" s="507"/>
      <c r="AO580" s="382"/>
      <c r="AP580" s="418"/>
      <c r="AQ580" s="383"/>
      <c r="AR580" s="507"/>
      <c r="AS580" s="514"/>
      <c r="AT580" s="514"/>
    </row>
    <row r="581">
      <c r="A581" s="382"/>
      <c r="B581" s="418"/>
      <c r="C581" s="383"/>
      <c r="D581" s="507"/>
      <c r="E581" s="382"/>
      <c r="F581" s="418"/>
      <c r="G581" s="383"/>
      <c r="H581" s="507"/>
      <c r="I581" s="382"/>
      <c r="J581" s="418"/>
      <c r="K581" s="383"/>
      <c r="L581" s="507"/>
      <c r="M581" s="382"/>
      <c r="N581" s="418"/>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8"/>
      <c r="AM581" s="383"/>
      <c r="AN581" s="507"/>
      <c r="AO581" s="382"/>
      <c r="AP581" s="418"/>
      <c r="AQ581" s="383"/>
      <c r="AR581" s="507"/>
      <c r="AS581" s="514"/>
      <c r="AT581" s="514"/>
    </row>
    <row r="582">
      <c r="A582" s="382"/>
      <c r="B582" s="418"/>
      <c r="C582" s="383"/>
      <c r="D582" s="507"/>
      <c r="E582" s="382"/>
      <c r="F582" s="418"/>
      <c r="G582" s="383"/>
      <c r="H582" s="507"/>
      <c r="I582" s="382"/>
      <c r="J582" s="418"/>
      <c r="K582" s="383"/>
      <c r="L582" s="507"/>
      <c r="M582" s="382"/>
      <c r="N582" s="418"/>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8"/>
      <c r="AM582" s="383"/>
      <c r="AN582" s="507"/>
      <c r="AO582" s="382"/>
      <c r="AP582" s="418"/>
      <c r="AQ582" s="383"/>
      <c r="AR582" s="507"/>
      <c r="AS582" s="514"/>
      <c r="AT582" s="514"/>
    </row>
    <row r="583">
      <c r="A583" s="382"/>
      <c r="B583" s="418"/>
      <c r="C583" s="383"/>
      <c r="D583" s="507"/>
      <c r="E583" s="382"/>
      <c r="F583" s="418"/>
      <c r="G583" s="383"/>
      <c r="H583" s="507"/>
      <c r="I583" s="382"/>
      <c r="J583" s="418"/>
      <c r="K583" s="383"/>
      <c r="L583" s="507"/>
      <c r="M583" s="382"/>
      <c r="N583" s="418"/>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8"/>
      <c r="AM583" s="383"/>
      <c r="AN583" s="507"/>
      <c r="AO583" s="382"/>
      <c r="AP583" s="418"/>
      <c r="AQ583" s="383"/>
      <c r="AR583" s="507"/>
      <c r="AS583" s="514"/>
      <c r="AT583" s="514"/>
    </row>
    <row r="584">
      <c r="A584" s="382"/>
      <c r="B584" s="418"/>
      <c r="C584" s="383"/>
      <c r="D584" s="507"/>
      <c r="E584" s="382"/>
      <c r="F584" s="418"/>
      <c r="G584" s="383"/>
      <c r="H584" s="507"/>
      <c r="I584" s="382"/>
      <c r="J584" s="418"/>
      <c r="K584" s="383"/>
      <c r="L584" s="507"/>
      <c r="M584" s="382"/>
      <c r="N584" s="418"/>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8"/>
      <c r="AM584" s="383"/>
      <c r="AN584" s="507"/>
      <c r="AO584" s="382"/>
      <c r="AP584" s="418"/>
      <c r="AQ584" s="383"/>
      <c r="AR584" s="507"/>
      <c r="AS584" s="514"/>
      <c r="AT584" s="514"/>
    </row>
    <row r="585">
      <c r="A585" s="382"/>
      <c r="B585" s="418"/>
      <c r="C585" s="383"/>
      <c r="D585" s="507"/>
      <c r="E585" s="382"/>
      <c r="F585" s="418"/>
      <c r="G585" s="383"/>
      <c r="H585" s="507"/>
      <c r="I585" s="382"/>
      <c r="J585" s="418"/>
      <c r="K585" s="383"/>
      <c r="L585" s="507"/>
      <c r="M585" s="382"/>
      <c r="N585" s="418"/>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8"/>
      <c r="AM585" s="383"/>
      <c r="AN585" s="507"/>
      <c r="AO585" s="382"/>
      <c r="AP585" s="418"/>
      <c r="AQ585" s="383"/>
      <c r="AR585" s="507"/>
      <c r="AS585" s="514"/>
      <c r="AT585" s="514"/>
    </row>
    <row r="586">
      <c r="A586" s="382"/>
      <c r="B586" s="418"/>
      <c r="C586" s="383"/>
      <c r="D586" s="507"/>
      <c r="E586" s="382"/>
      <c r="F586" s="418"/>
      <c r="G586" s="383"/>
      <c r="H586" s="507"/>
      <c r="I586" s="382"/>
      <c r="J586" s="418"/>
      <c r="K586" s="383"/>
      <c r="L586" s="507"/>
      <c r="M586" s="382"/>
      <c r="N586" s="418"/>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8"/>
      <c r="AM586" s="383"/>
      <c r="AN586" s="507"/>
      <c r="AO586" s="382"/>
      <c r="AP586" s="418"/>
      <c r="AQ586" s="383"/>
      <c r="AR586" s="507"/>
      <c r="AS586" s="514"/>
      <c r="AT586" s="514"/>
    </row>
    <row r="587">
      <c r="A587" s="382"/>
      <c r="B587" s="418"/>
      <c r="C587" s="383"/>
      <c r="D587" s="507"/>
      <c r="E587" s="382"/>
      <c r="F587" s="418"/>
      <c r="G587" s="383"/>
      <c r="H587" s="507"/>
      <c r="I587" s="382"/>
      <c r="J587" s="418"/>
      <c r="K587" s="383"/>
      <c r="L587" s="507"/>
      <c r="M587" s="382"/>
      <c r="N587" s="418"/>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8"/>
      <c r="AM587" s="383"/>
      <c r="AN587" s="507"/>
      <c r="AO587" s="382"/>
      <c r="AP587" s="418"/>
      <c r="AQ587" s="383"/>
      <c r="AR587" s="507"/>
      <c r="AS587" s="514"/>
      <c r="AT587" s="514"/>
    </row>
    <row r="588">
      <c r="A588" s="382"/>
      <c r="B588" s="418"/>
      <c r="C588" s="383"/>
      <c r="D588" s="507"/>
      <c r="E588" s="382"/>
      <c r="F588" s="418"/>
      <c r="G588" s="383"/>
      <c r="H588" s="507"/>
      <c r="I588" s="382"/>
      <c r="J588" s="418"/>
      <c r="K588" s="383"/>
      <c r="L588" s="507"/>
      <c r="M588" s="382"/>
      <c r="N588" s="418"/>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8"/>
      <c r="AM588" s="383"/>
      <c r="AN588" s="507"/>
      <c r="AO588" s="382"/>
      <c r="AP588" s="418"/>
      <c r="AQ588" s="383"/>
      <c r="AR588" s="507"/>
      <c r="AS588" s="514"/>
      <c r="AT588" s="514"/>
    </row>
    <row r="589">
      <c r="A589" s="382"/>
      <c r="B589" s="418"/>
      <c r="C589" s="383"/>
      <c r="D589" s="507"/>
      <c r="E589" s="382"/>
      <c r="F589" s="418"/>
      <c r="G589" s="383"/>
      <c r="H589" s="507"/>
      <c r="I589" s="382"/>
      <c r="J589" s="418"/>
      <c r="K589" s="383"/>
      <c r="L589" s="507"/>
      <c r="M589" s="382"/>
      <c r="N589" s="418"/>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8"/>
      <c r="AM589" s="383"/>
      <c r="AN589" s="507"/>
      <c r="AO589" s="382"/>
      <c r="AP589" s="418"/>
      <c r="AQ589" s="383"/>
      <c r="AR589" s="507"/>
      <c r="AS589" s="514"/>
      <c r="AT589" s="514"/>
    </row>
    <row r="590">
      <c r="A590" s="382"/>
      <c r="B590" s="418"/>
      <c r="C590" s="383"/>
      <c r="D590" s="507"/>
      <c r="E590" s="382"/>
      <c r="F590" s="418"/>
      <c r="G590" s="383"/>
      <c r="H590" s="507"/>
      <c r="I590" s="382"/>
      <c r="J590" s="418"/>
      <c r="K590" s="383"/>
      <c r="L590" s="507"/>
      <c r="M590" s="382"/>
      <c r="N590" s="418"/>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8"/>
      <c r="AM590" s="383"/>
      <c r="AN590" s="507"/>
      <c r="AO590" s="382"/>
      <c r="AP590" s="418"/>
      <c r="AQ590" s="383"/>
      <c r="AR590" s="507"/>
      <c r="AS590" s="514"/>
      <c r="AT590" s="514"/>
    </row>
    <row r="591">
      <c r="A591" s="382"/>
      <c r="B591" s="418"/>
      <c r="C591" s="383"/>
      <c r="D591" s="507"/>
      <c r="E591" s="382"/>
      <c r="F591" s="418"/>
      <c r="G591" s="383"/>
      <c r="H591" s="507"/>
      <c r="I591" s="382"/>
      <c r="J591" s="418"/>
      <c r="K591" s="383"/>
      <c r="L591" s="507"/>
      <c r="M591" s="382"/>
      <c r="N591" s="418"/>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8"/>
      <c r="AM591" s="383"/>
      <c r="AN591" s="507"/>
      <c r="AO591" s="382"/>
      <c r="AP591" s="418"/>
      <c r="AQ591" s="383"/>
      <c r="AR591" s="507"/>
      <c r="AS591" s="514"/>
      <c r="AT591" s="514"/>
    </row>
    <row r="592">
      <c r="A592" s="382"/>
      <c r="B592" s="418"/>
      <c r="C592" s="383"/>
      <c r="D592" s="507"/>
      <c r="E592" s="382"/>
      <c r="F592" s="418"/>
      <c r="G592" s="383"/>
      <c r="H592" s="507"/>
      <c r="I592" s="382"/>
      <c r="J592" s="418"/>
      <c r="K592" s="383"/>
      <c r="L592" s="507"/>
      <c r="M592" s="382"/>
      <c r="N592" s="418"/>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8"/>
      <c r="AM592" s="383"/>
      <c r="AN592" s="507"/>
      <c r="AO592" s="382"/>
      <c r="AP592" s="418"/>
      <c r="AQ592" s="383"/>
      <c r="AR592" s="507"/>
      <c r="AS592" s="514"/>
      <c r="AT592" s="514"/>
    </row>
    <row r="593">
      <c r="A593" s="382"/>
      <c r="B593" s="418"/>
      <c r="C593" s="383"/>
      <c r="D593" s="507"/>
      <c r="E593" s="382"/>
      <c r="F593" s="418"/>
      <c r="G593" s="383"/>
      <c r="H593" s="507"/>
      <c r="I593" s="382"/>
      <c r="J593" s="418"/>
      <c r="K593" s="383"/>
      <c r="L593" s="507"/>
      <c r="M593" s="382"/>
      <c r="N593" s="418"/>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8"/>
      <c r="AM593" s="383"/>
      <c r="AN593" s="507"/>
      <c r="AO593" s="382"/>
      <c r="AP593" s="418"/>
      <c r="AQ593" s="383"/>
      <c r="AR593" s="507"/>
      <c r="AS593" s="514"/>
      <c r="AT593" s="514"/>
    </row>
    <row r="594">
      <c r="A594" s="382"/>
      <c r="B594" s="418"/>
      <c r="C594" s="383"/>
      <c r="D594" s="507"/>
      <c r="E594" s="382"/>
      <c r="F594" s="418"/>
      <c r="G594" s="383"/>
      <c r="H594" s="507"/>
      <c r="I594" s="382"/>
      <c r="J594" s="418"/>
      <c r="K594" s="383"/>
      <c r="L594" s="507"/>
      <c r="M594" s="382"/>
      <c r="N594" s="418"/>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8"/>
      <c r="AM594" s="383"/>
      <c r="AN594" s="507"/>
      <c r="AO594" s="382"/>
      <c r="AP594" s="418"/>
      <c r="AQ594" s="383"/>
      <c r="AR594" s="507"/>
      <c r="AS594" s="514"/>
      <c r="AT594" s="514"/>
    </row>
    <row r="595">
      <c r="A595" s="382"/>
      <c r="B595" s="418"/>
      <c r="C595" s="383"/>
      <c r="D595" s="507"/>
      <c r="E595" s="382"/>
      <c r="F595" s="418"/>
      <c r="G595" s="383"/>
      <c r="H595" s="507"/>
      <c r="I595" s="382"/>
      <c r="J595" s="418"/>
      <c r="K595" s="383"/>
      <c r="L595" s="507"/>
      <c r="M595" s="382"/>
      <c r="N595" s="418"/>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8"/>
      <c r="AM595" s="383"/>
      <c r="AN595" s="507"/>
      <c r="AO595" s="382"/>
      <c r="AP595" s="418"/>
      <c r="AQ595" s="383"/>
      <c r="AR595" s="507"/>
      <c r="AS595" s="514"/>
      <c r="AT595" s="514"/>
    </row>
    <row r="596">
      <c r="A596" s="382"/>
      <c r="B596" s="418"/>
      <c r="C596" s="383"/>
      <c r="D596" s="507"/>
      <c r="E596" s="382"/>
      <c r="F596" s="418"/>
      <c r="G596" s="383"/>
      <c r="H596" s="507"/>
      <c r="I596" s="382"/>
      <c r="J596" s="418"/>
      <c r="K596" s="383"/>
      <c r="L596" s="507"/>
      <c r="M596" s="382"/>
      <c r="N596" s="418"/>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8"/>
      <c r="AM596" s="383"/>
      <c r="AN596" s="507"/>
      <c r="AO596" s="382"/>
      <c r="AP596" s="418"/>
      <c r="AQ596" s="383"/>
      <c r="AR596" s="507"/>
      <c r="AS596" s="514"/>
      <c r="AT596" s="514"/>
    </row>
    <row r="597">
      <c r="A597" s="382"/>
      <c r="B597" s="418"/>
      <c r="C597" s="383"/>
      <c r="D597" s="507"/>
      <c r="E597" s="382"/>
      <c r="F597" s="418"/>
      <c r="G597" s="383"/>
      <c r="H597" s="507"/>
      <c r="I597" s="382"/>
      <c r="J597" s="418"/>
      <c r="K597" s="383"/>
      <c r="L597" s="507"/>
      <c r="M597" s="382"/>
      <c r="N597" s="418"/>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8"/>
      <c r="AM597" s="383"/>
      <c r="AN597" s="507"/>
      <c r="AO597" s="382"/>
      <c r="AP597" s="418"/>
      <c r="AQ597" s="383"/>
      <c r="AR597" s="507"/>
      <c r="AS597" s="514"/>
      <c r="AT597" s="514"/>
    </row>
    <row r="598">
      <c r="A598" s="382"/>
      <c r="B598" s="418"/>
      <c r="C598" s="383"/>
      <c r="D598" s="507"/>
      <c r="E598" s="382"/>
      <c r="F598" s="418"/>
      <c r="G598" s="383"/>
      <c r="H598" s="507"/>
      <c r="I598" s="382"/>
      <c r="J598" s="418"/>
      <c r="K598" s="383"/>
      <c r="L598" s="507"/>
      <c r="M598" s="382"/>
      <c r="N598" s="418"/>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8"/>
      <c r="AM598" s="383"/>
      <c r="AN598" s="507"/>
      <c r="AO598" s="382"/>
      <c r="AP598" s="418"/>
      <c r="AQ598" s="383"/>
      <c r="AR598" s="507"/>
      <c r="AS598" s="514"/>
      <c r="AT598" s="514"/>
    </row>
    <row r="599">
      <c r="A599" s="382"/>
      <c r="B599" s="418"/>
      <c r="C599" s="383"/>
      <c r="D599" s="507"/>
      <c r="E599" s="382"/>
      <c r="F599" s="418"/>
      <c r="G599" s="383"/>
      <c r="H599" s="507"/>
      <c r="I599" s="382"/>
      <c r="J599" s="418"/>
      <c r="K599" s="383"/>
      <c r="L599" s="507"/>
      <c r="M599" s="382"/>
      <c r="N599" s="418"/>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8"/>
      <c r="AM599" s="383"/>
      <c r="AN599" s="507"/>
      <c r="AO599" s="382"/>
      <c r="AP599" s="418"/>
      <c r="AQ599" s="383"/>
      <c r="AR599" s="507"/>
      <c r="AS599" s="514"/>
      <c r="AT599" s="514"/>
    </row>
    <row r="600">
      <c r="A600" s="382"/>
      <c r="B600" s="418"/>
      <c r="C600" s="383"/>
      <c r="D600" s="507"/>
      <c r="E600" s="382"/>
      <c r="F600" s="418"/>
      <c r="G600" s="383"/>
      <c r="H600" s="507"/>
      <c r="I600" s="382"/>
      <c r="J600" s="418"/>
      <c r="K600" s="383"/>
      <c r="L600" s="507"/>
      <c r="M600" s="382"/>
      <c r="N600" s="418"/>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8"/>
      <c r="AM600" s="383"/>
      <c r="AN600" s="507"/>
      <c r="AO600" s="382"/>
      <c r="AP600" s="418"/>
      <c r="AQ600" s="383"/>
      <c r="AR600" s="507"/>
      <c r="AS600" s="514"/>
      <c r="AT600" s="514"/>
    </row>
    <row r="601">
      <c r="A601" s="382"/>
      <c r="B601" s="418"/>
      <c r="C601" s="383"/>
      <c r="D601" s="507"/>
      <c r="E601" s="382"/>
      <c r="F601" s="418"/>
      <c r="G601" s="383"/>
      <c r="H601" s="507"/>
      <c r="I601" s="382"/>
      <c r="J601" s="418"/>
      <c r="K601" s="383"/>
      <c r="L601" s="507"/>
      <c r="M601" s="382"/>
      <c r="N601" s="418"/>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8"/>
      <c r="AM601" s="383"/>
      <c r="AN601" s="507"/>
      <c r="AO601" s="382"/>
      <c r="AP601" s="418"/>
      <c r="AQ601" s="383"/>
      <c r="AR601" s="507"/>
      <c r="AS601" s="514"/>
      <c r="AT601" s="514"/>
    </row>
    <row r="602">
      <c r="A602" s="382"/>
      <c r="B602" s="418"/>
      <c r="C602" s="383"/>
      <c r="D602" s="507"/>
      <c r="E602" s="382"/>
      <c r="F602" s="418"/>
      <c r="G602" s="383"/>
      <c r="H602" s="507"/>
      <c r="I602" s="382"/>
      <c r="J602" s="418"/>
      <c r="K602" s="383"/>
      <c r="L602" s="507"/>
      <c r="M602" s="382"/>
      <c r="N602" s="418"/>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8"/>
      <c r="AM602" s="383"/>
      <c r="AN602" s="507"/>
      <c r="AO602" s="382"/>
      <c r="AP602" s="418"/>
      <c r="AQ602" s="383"/>
      <c r="AR602" s="507"/>
      <c r="AS602" s="514"/>
      <c r="AT602" s="514"/>
    </row>
    <row r="603">
      <c r="A603" s="382"/>
      <c r="B603" s="418"/>
      <c r="C603" s="383"/>
      <c r="D603" s="507"/>
      <c r="E603" s="382"/>
      <c r="F603" s="418"/>
      <c r="G603" s="383"/>
      <c r="H603" s="507"/>
      <c r="I603" s="382"/>
      <c r="J603" s="418"/>
      <c r="K603" s="383"/>
      <c r="L603" s="507"/>
      <c r="M603" s="382"/>
      <c r="N603" s="418"/>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8"/>
      <c r="AM603" s="383"/>
      <c r="AN603" s="507"/>
      <c r="AO603" s="382"/>
      <c r="AP603" s="418"/>
      <c r="AQ603" s="383"/>
      <c r="AR603" s="507"/>
      <c r="AS603" s="514"/>
      <c r="AT603" s="514"/>
    </row>
    <row r="604">
      <c r="A604" s="382"/>
      <c r="B604" s="418"/>
      <c r="C604" s="383"/>
      <c r="D604" s="507"/>
      <c r="E604" s="382"/>
      <c r="F604" s="418"/>
      <c r="G604" s="383"/>
      <c r="H604" s="507"/>
      <c r="I604" s="382"/>
      <c r="J604" s="418"/>
      <c r="K604" s="383"/>
      <c r="L604" s="507"/>
      <c r="M604" s="382"/>
      <c r="N604" s="418"/>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8"/>
      <c r="AM604" s="383"/>
      <c r="AN604" s="507"/>
      <c r="AO604" s="382"/>
      <c r="AP604" s="418"/>
      <c r="AQ604" s="383"/>
      <c r="AR604" s="507"/>
      <c r="AS604" s="514"/>
      <c r="AT604" s="514"/>
    </row>
    <row r="605">
      <c r="A605" s="382"/>
      <c r="B605" s="418"/>
      <c r="C605" s="383"/>
      <c r="D605" s="507"/>
      <c r="E605" s="382"/>
      <c r="F605" s="418"/>
      <c r="G605" s="383"/>
      <c r="H605" s="507"/>
      <c r="I605" s="382"/>
      <c r="J605" s="418"/>
      <c r="K605" s="383"/>
      <c r="L605" s="507"/>
      <c r="M605" s="382"/>
      <c r="N605" s="418"/>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8"/>
      <c r="AM605" s="383"/>
      <c r="AN605" s="507"/>
      <c r="AO605" s="382"/>
      <c r="AP605" s="418"/>
      <c r="AQ605" s="383"/>
      <c r="AR605" s="507"/>
      <c r="AS605" s="514"/>
      <c r="AT605" s="514"/>
    </row>
    <row r="606">
      <c r="A606" s="382"/>
      <c r="B606" s="418"/>
      <c r="C606" s="383"/>
      <c r="D606" s="507"/>
      <c r="E606" s="382"/>
      <c r="F606" s="418"/>
      <c r="G606" s="383"/>
      <c r="H606" s="507"/>
      <c r="I606" s="382"/>
      <c r="J606" s="418"/>
      <c r="K606" s="383"/>
      <c r="L606" s="507"/>
      <c r="M606" s="382"/>
      <c r="N606" s="418"/>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8"/>
      <c r="AM606" s="383"/>
      <c r="AN606" s="507"/>
      <c r="AO606" s="382"/>
      <c r="AP606" s="418"/>
      <c r="AQ606" s="383"/>
      <c r="AR606" s="507"/>
      <c r="AS606" s="514"/>
      <c r="AT606" s="514"/>
    </row>
    <row r="607">
      <c r="A607" s="382"/>
      <c r="B607" s="418"/>
      <c r="C607" s="383"/>
      <c r="D607" s="507"/>
      <c r="E607" s="382"/>
      <c r="F607" s="418"/>
      <c r="G607" s="383"/>
      <c r="H607" s="507"/>
      <c r="I607" s="382"/>
      <c r="J607" s="418"/>
      <c r="K607" s="383"/>
      <c r="L607" s="507"/>
      <c r="M607" s="382"/>
      <c r="N607" s="418"/>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8"/>
      <c r="AM607" s="383"/>
      <c r="AN607" s="507"/>
      <c r="AO607" s="382"/>
      <c r="AP607" s="418"/>
      <c r="AQ607" s="383"/>
      <c r="AR607" s="507"/>
      <c r="AS607" s="514"/>
      <c r="AT607" s="514"/>
    </row>
    <row r="608">
      <c r="A608" s="382"/>
      <c r="B608" s="418"/>
      <c r="C608" s="383"/>
      <c r="D608" s="507"/>
      <c r="E608" s="382"/>
      <c r="F608" s="418"/>
      <c r="G608" s="383"/>
      <c r="H608" s="507"/>
      <c r="I608" s="382"/>
      <c r="J608" s="418"/>
      <c r="K608" s="383"/>
      <c r="L608" s="507"/>
      <c r="M608" s="382"/>
      <c r="N608" s="418"/>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8"/>
      <c r="AM608" s="383"/>
      <c r="AN608" s="507"/>
      <c r="AO608" s="382"/>
      <c r="AP608" s="418"/>
      <c r="AQ608" s="383"/>
      <c r="AR608" s="507"/>
      <c r="AS608" s="514"/>
      <c r="AT608" s="514"/>
    </row>
    <row r="609">
      <c r="A609" s="382"/>
      <c r="B609" s="418"/>
      <c r="C609" s="383"/>
      <c r="D609" s="507"/>
      <c r="E609" s="382"/>
      <c r="F609" s="418"/>
      <c r="G609" s="383"/>
      <c r="H609" s="507"/>
      <c r="I609" s="382"/>
      <c r="J609" s="418"/>
      <c r="K609" s="383"/>
      <c r="L609" s="507"/>
      <c r="M609" s="382"/>
      <c r="N609" s="418"/>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8"/>
      <c r="AM609" s="383"/>
      <c r="AN609" s="507"/>
      <c r="AO609" s="382"/>
      <c r="AP609" s="418"/>
      <c r="AQ609" s="383"/>
      <c r="AR609" s="507"/>
      <c r="AS609" s="514"/>
      <c r="AT609" s="514"/>
    </row>
    <row r="610">
      <c r="A610" s="382"/>
      <c r="B610" s="418"/>
      <c r="C610" s="383"/>
      <c r="D610" s="507"/>
      <c r="E610" s="382"/>
      <c r="F610" s="418"/>
      <c r="G610" s="383"/>
      <c r="H610" s="507"/>
      <c r="I610" s="382"/>
      <c r="J610" s="418"/>
      <c r="K610" s="383"/>
      <c r="L610" s="507"/>
      <c r="M610" s="382"/>
      <c r="N610" s="418"/>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8"/>
      <c r="AM610" s="383"/>
      <c r="AN610" s="507"/>
      <c r="AO610" s="382"/>
      <c r="AP610" s="418"/>
      <c r="AQ610" s="383"/>
      <c r="AR610" s="507"/>
      <c r="AS610" s="514"/>
      <c r="AT610" s="514"/>
    </row>
    <row r="611">
      <c r="A611" s="382"/>
      <c r="B611" s="418"/>
      <c r="C611" s="383"/>
      <c r="D611" s="507"/>
      <c r="E611" s="382"/>
      <c r="F611" s="418"/>
      <c r="G611" s="383"/>
      <c r="H611" s="507"/>
      <c r="I611" s="382"/>
      <c r="J611" s="418"/>
      <c r="K611" s="383"/>
      <c r="L611" s="507"/>
      <c r="M611" s="382"/>
      <c r="N611" s="418"/>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8"/>
      <c r="AM611" s="383"/>
      <c r="AN611" s="507"/>
      <c r="AO611" s="382"/>
      <c r="AP611" s="418"/>
      <c r="AQ611" s="383"/>
      <c r="AR611" s="507"/>
      <c r="AS611" s="514"/>
      <c r="AT611" s="514"/>
    </row>
    <row r="612">
      <c r="A612" s="382"/>
      <c r="B612" s="418"/>
      <c r="C612" s="383"/>
      <c r="D612" s="507"/>
      <c r="E612" s="382"/>
      <c r="F612" s="418"/>
      <c r="G612" s="383"/>
      <c r="H612" s="507"/>
      <c r="I612" s="382"/>
      <c r="J612" s="418"/>
      <c r="K612" s="383"/>
      <c r="L612" s="507"/>
      <c r="M612" s="382"/>
      <c r="N612" s="418"/>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8"/>
      <c r="AM612" s="383"/>
      <c r="AN612" s="507"/>
      <c r="AO612" s="382"/>
      <c r="AP612" s="418"/>
      <c r="AQ612" s="383"/>
      <c r="AR612" s="507"/>
      <c r="AS612" s="514"/>
      <c r="AT612" s="514"/>
    </row>
    <row r="613">
      <c r="A613" s="382"/>
      <c r="B613" s="418"/>
      <c r="C613" s="383"/>
      <c r="D613" s="507"/>
      <c r="E613" s="382"/>
      <c r="F613" s="418"/>
      <c r="G613" s="383"/>
      <c r="H613" s="507"/>
      <c r="I613" s="382"/>
      <c r="J613" s="418"/>
      <c r="K613" s="383"/>
      <c r="L613" s="507"/>
      <c r="M613" s="382"/>
      <c r="N613" s="418"/>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8"/>
      <c r="AM613" s="383"/>
      <c r="AN613" s="507"/>
      <c r="AO613" s="382"/>
      <c r="AP613" s="418"/>
      <c r="AQ613" s="383"/>
      <c r="AR613" s="507"/>
      <c r="AS613" s="514"/>
      <c r="AT613" s="514"/>
    </row>
    <row r="614">
      <c r="A614" s="382"/>
      <c r="B614" s="418"/>
      <c r="C614" s="383"/>
      <c r="D614" s="507"/>
      <c r="E614" s="382"/>
      <c r="F614" s="418"/>
      <c r="G614" s="383"/>
      <c r="H614" s="507"/>
      <c r="I614" s="382"/>
      <c r="J614" s="418"/>
      <c r="K614" s="383"/>
      <c r="L614" s="507"/>
      <c r="M614" s="382"/>
      <c r="N614" s="418"/>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8"/>
      <c r="AM614" s="383"/>
      <c r="AN614" s="507"/>
      <c r="AO614" s="382"/>
      <c r="AP614" s="418"/>
      <c r="AQ614" s="383"/>
      <c r="AR614" s="507"/>
      <c r="AS614" s="514"/>
      <c r="AT614" s="514"/>
    </row>
    <row r="615">
      <c r="A615" s="382"/>
      <c r="B615" s="418"/>
      <c r="C615" s="383"/>
      <c r="D615" s="507"/>
      <c r="E615" s="382"/>
      <c r="F615" s="418"/>
      <c r="G615" s="383"/>
      <c r="H615" s="507"/>
      <c r="I615" s="382"/>
      <c r="J615" s="418"/>
      <c r="K615" s="383"/>
      <c r="L615" s="507"/>
      <c r="M615" s="382"/>
      <c r="N615" s="418"/>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8"/>
      <c r="AM615" s="383"/>
      <c r="AN615" s="507"/>
      <c r="AO615" s="382"/>
      <c r="AP615" s="418"/>
      <c r="AQ615" s="383"/>
      <c r="AR615" s="507"/>
      <c r="AS615" s="514"/>
      <c r="AT615" s="514"/>
    </row>
    <row r="616">
      <c r="A616" s="382"/>
      <c r="B616" s="418"/>
      <c r="C616" s="383"/>
      <c r="D616" s="507"/>
      <c r="E616" s="382"/>
      <c r="F616" s="418"/>
      <c r="G616" s="383"/>
      <c r="H616" s="507"/>
      <c r="I616" s="382"/>
      <c r="J616" s="418"/>
      <c r="K616" s="383"/>
      <c r="L616" s="507"/>
      <c r="M616" s="382"/>
      <c r="N616" s="418"/>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8"/>
      <c r="AM616" s="383"/>
      <c r="AN616" s="507"/>
      <c r="AO616" s="382"/>
      <c r="AP616" s="418"/>
      <c r="AQ616" s="383"/>
      <c r="AR616" s="507"/>
      <c r="AS616" s="514"/>
      <c r="AT616" s="514"/>
    </row>
    <row r="617">
      <c r="A617" s="382"/>
      <c r="B617" s="418"/>
      <c r="C617" s="383"/>
      <c r="D617" s="507"/>
      <c r="E617" s="382"/>
      <c r="F617" s="418"/>
      <c r="G617" s="383"/>
      <c r="H617" s="507"/>
      <c r="I617" s="382"/>
      <c r="J617" s="418"/>
      <c r="K617" s="383"/>
      <c r="L617" s="507"/>
      <c r="M617" s="382"/>
      <c r="N617" s="418"/>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8"/>
      <c r="AM617" s="383"/>
      <c r="AN617" s="507"/>
      <c r="AO617" s="382"/>
      <c r="AP617" s="418"/>
      <c r="AQ617" s="383"/>
      <c r="AR617" s="507"/>
      <c r="AS617" s="514"/>
      <c r="AT617" s="514"/>
    </row>
    <row r="618">
      <c r="A618" s="382"/>
      <c r="B618" s="418"/>
      <c r="C618" s="383"/>
      <c r="D618" s="507"/>
      <c r="E618" s="382"/>
      <c r="F618" s="418"/>
      <c r="G618" s="383"/>
      <c r="H618" s="507"/>
      <c r="I618" s="382"/>
      <c r="J618" s="418"/>
      <c r="K618" s="383"/>
      <c r="L618" s="507"/>
      <c r="M618" s="382"/>
      <c r="N618" s="418"/>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8"/>
      <c r="AM618" s="383"/>
      <c r="AN618" s="507"/>
      <c r="AO618" s="382"/>
      <c r="AP618" s="418"/>
      <c r="AQ618" s="383"/>
      <c r="AR618" s="507"/>
      <c r="AS618" s="514"/>
      <c r="AT618" s="514"/>
    </row>
    <row r="619">
      <c r="A619" s="382"/>
      <c r="B619" s="418"/>
      <c r="C619" s="383"/>
      <c r="D619" s="507"/>
      <c r="E619" s="382"/>
      <c r="F619" s="418"/>
      <c r="G619" s="383"/>
      <c r="H619" s="507"/>
      <c r="I619" s="382"/>
      <c r="J619" s="418"/>
      <c r="K619" s="383"/>
      <c r="L619" s="507"/>
      <c r="M619" s="382"/>
      <c r="N619" s="418"/>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8"/>
      <c r="AM619" s="383"/>
      <c r="AN619" s="507"/>
      <c r="AO619" s="382"/>
      <c r="AP619" s="418"/>
      <c r="AQ619" s="383"/>
      <c r="AR619" s="507"/>
      <c r="AS619" s="514"/>
      <c r="AT619" s="514"/>
    </row>
    <row r="620">
      <c r="A620" s="382"/>
      <c r="B620" s="418"/>
      <c r="C620" s="383"/>
      <c r="D620" s="507"/>
      <c r="E620" s="382"/>
      <c r="F620" s="418"/>
      <c r="G620" s="383"/>
      <c r="H620" s="507"/>
      <c r="I620" s="382"/>
      <c r="J620" s="418"/>
      <c r="K620" s="383"/>
      <c r="L620" s="507"/>
      <c r="M620" s="382"/>
      <c r="N620" s="418"/>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8"/>
      <c r="AM620" s="383"/>
      <c r="AN620" s="507"/>
      <c r="AO620" s="382"/>
      <c r="AP620" s="418"/>
      <c r="AQ620" s="383"/>
      <c r="AR620" s="507"/>
      <c r="AS620" s="514"/>
      <c r="AT620" s="514"/>
    </row>
    <row r="621">
      <c r="A621" s="382"/>
      <c r="B621" s="418"/>
      <c r="C621" s="383"/>
      <c r="D621" s="507"/>
      <c r="E621" s="382"/>
      <c r="F621" s="418"/>
      <c r="G621" s="383"/>
      <c r="H621" s="507"/>
      <c r="I621" s="382"/>
      <c r="J621" s="418"/>
      <c r="K621" s="383"/>
      <c r="L621" s="507"/>
      <c r="M621" s="382"/>
      <c r="N621" s="418"/>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8"/>
      <c r="AM621" s="383"/>
      <c r="AN621" s="507"/>
      <c r="AO621" s="382"/>
      <c r="AP621" s="418"/>
      <c r="AQ621" s="383"/>
      <c r="AR621" s="507"/>
      <c r="AS621" s="514"/>
      <c r="AT621" s="514"/>
    </row>
    <row r="622">
      <c r="A622" s="382"/>
      <c r="B622" s="418"/>
      <c r="C622" s="383"/>
      <c r="D622" s="507"/>
      <c r="E622" s="382"/>
      <c r="F622" s="418"/>
      <c r="G622" s="383"/>
      <c r="H622" s="507"/>
      <c r="I622" s="382"/>
      <c r="J622" s="418"/>
      <c r="K622" s="383"/>
      <c r="L622" s="507"/>
      <c r="M622" s="382"/>
      <c r="N622" s="418"/>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8"/>
      <c r="AM622" s="383"/>
      <c r="AN622" s="507"/>
      <c r="AO622" s="382"/>
      <c r="AP622" s="418"/>
      <c r="AQ622" s="383"/>
      <c r="AR622" s="507"/>
      <c r="AS622" s="514"/>
      <c r="AT622" s="514"/>
    </row>
    <row r="623">
      <c r="A623" s="382"/>
      <c r="B623" s="418"/>
      <c r="C623" s="383"/>
      <c r="D623" s="507"/>
      <c r="E623" s="382"/>
      <c r="F623" s="418"/>
      <c r="G623" s="383"/>
      <c r="H623" s="507"/>
      <c r="I623" s="382"/>
      <c r="J623" s="418"/>
      <c r="K623" s="383"/>
      <c r="L623" s="507"/>
      <c r="M623" s="382"/>
      <c r="N623" s="418"/>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8"/>
      <c r="AM623" s="383"/>
      <c r="AN623" s="507"/>
      <c r="AO623" s="382"/>
      <c r="AP623" s="418"/>
      <c r="AQ623" s="383"/>
      <c r="AR623" s="507"/>
      <c r="AS623" s="514"/>
      <c r="AT623" s="514"/>
    </row>
    <row r="624">
      <c r="A624" s="382"/>
      <c r="B624" s="418"/>
      <c r="C624" s="383"/>
      <c r="D624" s="507"/>
      <c r="E624" s="382"/>
      <c r="F624" s="418"/>
      <c r="G624" s="383"/>
      <c r="H624" s="507"/>
      <c r="I624" s="382"/>
      <c r="J624" s="418"/>
      <c r="K624" s="383"/>
      <c r="L624" s="507"/>
      <c r="M624" s="382"/>
      <c r="N624" s="418"/>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8"/>
      <c r="AM624" s="383"/>
      <c r="AN624" s="507"/>
      <c r="AO624" s="382"/>
      <c r="AP624" s="418"/>
      <c r="AQ624" s="383"/>
      <c r="AR624" s="507"/>
      <c r="AS624" s="514"/>
      <c r="AT624" s="514"/>
    </row>
    <row r="625">
      <c r="A625" s="382"/>
      <c r="B625" s="418"/>
      <c r="C625" s="383"/>
      <c r="D625" s="507"/>
      <c r="E625" s="382"/>
      <c r="F625" s="418"/>
      <c r="G625" s="383"/>
      <c r="H625" s="507"/>
      <c r="I625" s="382"/>
      <c r="J625" s="418"/>
      <c r="K625" s="383"/>
      <c r="L625" s="507"/>
      <c r="M625" s="382"/>
      <c r="N625" s="418"/>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8"/>
      <c r="AM625" s="383"/>
      <c r="AN625" s="507"/>
      <c r="AO625" s="382"/>
      <c r="AP625" s="418"/>
      <c r="AQ625" s="383"/>
      <c r="AR625" s="507"/>
      <c r="AS625" s="514"/>
      <c r="AT625" s="514"/>
    </row>
    <row r="626">
      <c r="A626" s="382"/>
      <c r="B626" s="418"/>
      <c r="C626" s="383"/>
      <c r="D626" s="507"/>
      <c r="E626" s="382"/>
      <c r="F626" s="418"/>
      <c r="G626" s="383"/>
      <c r="H626" s="507"/>
      <c r="I626" s="382"/>
      <c r="J626" s="418"/>
      <c r="K626" s="383"/>
      <c r="L626" s="507"/>
      <c r="M626" s="382"/>
      <c r="N626" s="418"/>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8"/>
      <c r="AM626" s="383"/>
      <c r="AN626" s="507"/>
      <c r="AO626" s="382"/>
      <c r="AP626" s="418"/>
      <c r="AQ626" s="383"/>
      <c r="AR626" s="507"/>
      <c r="AS626" s="514"/>
      <c r="AT626" s="514"/>
    </row>
    <row r="627">
      <c r="A627" s="382"/>
      <c r="B627" s="418"/>
      <c r="C627" s="383"/>
      <c r="D627" s="507"/>
      <c r="E627" s="382"/>
      <c r="F627" s="418"/>
      <c r="G627" s="383"/>
      <c r="H627" s="507"/>
      <c r="I627" s="382"/>
      <c r="J627" s="418"/>
      <c r="K627" s="383"/>
      <c r="L627" s="507"/>
      <c r="M627" s="382"/>
      <c r="N627" s="418"/>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8"/>
      <c r="AM627" s="383"/>
      <c r="AN627" s="507"/>
      <c r="AO627" s="382"/>
      <c r="AP627" s="418"/>
      <c r="AQ627" s="383"/>
      <c r="AR627" s="507"/>
      <c r="AS627" s="514"/>
      <c r="AT627" s="514"/>
    </row>
    <row r="628">
      <c r="A628" s="382"/>
      <c r="B628" s="418"/>
      <c r="C628" s="383"/>
      <c r="D628" s="507"/>
      <c r="E628" s="382"/>
      <c r="F628" s="418"/>
      <c r="G628" s="383"/>
      <c r="H628" s="507"/>
      <c r="I628" s="382"/>
      <c r="J628" s="418"/>
      <c r="K628" s="383"/>
      <c r="L628" s="507"/>
      <c r="M628" s="382"/>
      <c r="N628" s="418"/>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8"/>
      <c r="AM628" s="383"/>
      <c r="AN628" s="507"/>
      <c r="AO628" s="382"/>
      <c r="AP628" s="418"/>
      <c r="AQ628" s="383"/>
      <c r="AR628" s="507"/>
      <c r="AS628" s="514"/>
      <c r="AT628" s="514"/>
    </row>
    <row r="629">
      <c r="A629" s="382"/>
      <c r="B629" s="418"/>
      <c r="C629" s="383"/>
      <c r="D629" s="507"/>
      <c r="E629" s="382"/>
      <c r="F629" s="418"/>
      <c r="G629" s="383"/>
      <c r="H629" s="507"/>
      <c r="I629" s="382"/>
      <c r="J629" s="418"/>
      <c r="K629" s="383"/>
      <c r="L629" s="507"/>
      <c r="M629" s="382"/>
      <c r="N629" s="418"/>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8"/>
      <c r="AM629" s="383"/>
      <c r="AN629" s="507"/>
      <c r="AO629" s="382"/>
      <c r="AP629" s="418"/>
      <c r="AQ629" s="383"/>
      <c r="AR629" s="507"/>
      <c r="AS629" s="514"/>
      <c r="AT629" s="514"/>
    </row>
    <row r="630">
      <c r="A630" s="382"/>
      <c r="B630" s="418"/>
      <c r="C630" s="383"/>
      <c r="D630" s="507"/>
      <c r="E630" s="382"/>
      <c r="F630" s="418"/>
      <c r="G630" s="383"/>
      <c r="H630" s="507"/>
      <c r="I630" s="382"/>
      <c r="J630" s="418"/>
      <c r="K630" s="383"/>
      <c r="L630" s="507"/>
      <c r="M630" s="382"/>
      <c r="N630" s="418"/>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8"/>
      <c r="AM630" s="383"/>
      <c r="AN630" s="507"/>
      <c r="AO630" s="382"/>
      <c r="AP630" s="418"/>
      <c r="AQ630" s="383"/>
      <c r="AR630" s="507"/>
      <c r="AS630" s="514"/>
      <c r="AT630" s="514"/>
    </row>
    <row r="631">
      <c r="A631" s="382"/>
      <c r="B631" s="418"/>
      <c r="C631" s="383"/>
      <c r="D631" s="507"/>
      <c r="E631" s="382"/>
      <c r="F631" s="418"/>
      <c r="G631" s="383"/>
      <c r="H631" s="507"/>
      <c r="I631" s="382"/>
      <c r="J631" s="418"/>
      <c r="K631" s="383"/>
      <c r="L631" s="507"/>
      <c r="M631" s="382"/>
      <c r="N631" s="418"/>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8"/>
      <c r="AM631" s="383"/>
      <c r="AN631" s="507"/>
      <c r="AO631" s="382"/>
      <c r="AP631" s="418"/>
      <c r="AQ631" s="383"/>
      <c r="AR631" s="507"/>
      <c r="AS631" s="514"/>
      <c r="AT631" s="514"/>
    </row>
    <row r="632">
      <c r="A632" s="382"/>
      <c r="B632" s="418"/>
      <c r="C632" s="383"/>
      <c r="D632" s="507"/>
      <c r="E632" s="382"/>
      <c r="F632" s="418"/>
      <c r="G632" s="383"/>
      <c r="H632" s="507"/>
      <c r="I632" s="382"/>
      <c r="J632" s="418"/>
      <c r="K632" s="383"/>
      <c r="L632" s="507"/>
      <c r="M632" s="382"/>
      <c r="N632" s="418"/>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8"/>
      <c r="AM632" s="383"/>
      <c r="AN632" s="507"/>
      <c r="AO632" s="382"/>
      <c r="AP632" s="418"/>
      <c r="AQ632" s="383"/>
      <c r="AR632" s="507"/>
      <c r="AS632" s="514"/>
      <c r="AT632" s="514"/>
    </row>
    <row r="633">
      <c r="A633" s="382"/>
      <c r="B633" s="418"/>
      <c r="C633" s="383"/>
      <c r="D633" s="507"/>
      <c r="E633" s="382"/>
      <c r="F633" s="418"/>
      <c r="G633" s="383"/>
      <c r="H633" s="507"/>
      <c r="I633" s="382"/>
      <c r="J633" s="418"/>
      <c r="K633" s="383"/>
      <c r="L633" s="507"/>
      <c r="M633" s="382"/>
      <c r="N633" s="418"/>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8"/>
      <c r="AM633" s="383"/>
      <c r="AN633" s="507"/>
      <c r="AO633" s="382"/>
      <c r="AP633" s="418"/>
      <c r="AQ633" s="383"/>
      <c r="AR633" s="507"/>
      <c r="AS633" s="514"/>
      <c r="AT633" s="514"/>
    </row>
    <row r="634">
      <c r="A634" s="382"/>
      <c r="B634" s="418"/>
      <c r="C634" s="383"/>
      <c r="D634" s="507"/>
      <c r="E634" s="382"/>
      <c r="F634" s="418"/>
      <c r="G634" s="383"/>
      <c r="H634" s="507"/>
      <c r="I634" s="382"/>
      <c r="J634" s="418"/>
      <c r="K634" s="383"/>
      <c r="L634" s="507"/>
      <c r="M634" s="382"/>
      <c r="N634" s="418"/>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8"/>
      <c r="AM634" s="383"/>
      <c r="AN634" s="507"/>
      <c r="AO634" s="382"/>
      <c r="AP634" s="418"/>
      <c r="AQ634" s="383"/>
      <c r="AR634" s="507"/>
      <c r="AS634" s="514"/>
      <c r="AT634" s="514"/>
    </row>
    <row r="635">
      <c r="A635" s="382"/>
      <c r="B635" s="418"/>
      <c r="C635" s="383"/>
      <c r="D635" s="507"/>
      <c r="E635" s="382"/>
      <c r="F635" s="418"/>
      <c r="G635" s="383"/>
      <c r="H635" s="507"/>
      <c r="I635" s="382"/>
      <c r="J635" s="418"/>
      <c r="K635" s="383"/>
      <c r="L635" s="507"/>
      <c r="M635" s="382"/>
      <c r="N635" s="418"/>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8"/>
      <c r="AM635" s="383"/>
      <c r="AN635" s="507"/>
      <c r="AO635" s="382"/>
      <c r="AP635" s="418"/>
      <c r="AQ635" s="383"/>
      <c r="AR635" s="507"/>
      <c r="AS635" s="514"/>
      <c r="AT635" s="514"/>
    </row>
    <row r="636">
      <c r="A636" s="382"/>
      <c r="B636" s="418"/>
      <c r="C636" s="383"/>
      <c r="D636" s="507"/>
      <c r="E636" s="382"/>
      <c r="F636" s="418"/>
      <c r="G636" s="383"/>
      <c r="H636" s="507"/>
      <c r="I636" s="382"/>
      <c r="J636" s="418"/>
      <c r="K636" s="383"/>
      <c r="L636" s="507"/>
      <c r="M636" s="382"/>
      <c r="N636" s="418"/>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8"/>
      <c r="AM636" s="383"/>
      <c r="AN636" s="507"/>
      <c r="AO636" s="382"/>
      <c r="AP636" s="418"/>
      <c r="AQ636" s="383"/>
      <c r="AR636" s="507"/>
      <c r="AS636" s="514"/>
      <c r="AT636" s="514"/>
    </row>
    <row r="637">
      <c r="A637" s="382"/>
      <c r="B637" s="418"/>
      <c r="C637" s="383"/>
      <c r="D637" s="507"/>
      <c r="E637" s="382"/>
      <c r="F637" s="418"/>
      <c r="G637" s="383"/>
      <c r="H637" s="507"/>
      <c r="I637" s="382"/>
      <c r="J637" s="418"/>
      <c r="K637" s="383"/>
      <c r="L637" s="507"/>
      <c r="M637" s="382"/>
      <c r="N637" s="418"/>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8"/>
      <c r="AM637" s="383"/>
      <c r="AN637" s="507"/>
      <c r="AO637" s="382"/>
      <c r="AP637" s="418"/>
      <c r="AQ637" s="383"/>
      <c r="AR637" s="507"/>
      <c r="AS637" s="514"/>
      <c r="AT637" s="514"/>
    </row>
    <row r="638">
      <c r="A638" s="382"/>
      <c r="B638" s="418"/>
      <c r="C638" s="383"/>
      <c r="D638" s="507"/>
      <c r="E638" s="382"/>
      <c r="F638" s="418"/>
      <c r="G638" s="383"/>
      <c r="H638" s="507"/>
      <c r="I638" s="382"/>
      <c r="J638" s="418"/>
      <c r="K638" s="383"/>
      <c r="L638" s="507"/>
      <c r="M638" s="382"/>
      <c r="N638" s="418"/>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8"/>
      <c r="AM638" s="383"/>
      <c r="AN638" s="507"/>
      <c r="AO638" s="382"/>
      <c r="AP638" s="418"/>
      <c r="AQ638" s="383"/>
      <c r="AR638" s="507"/>
      <c r="AS638" s="514"/>
      <c r="AT638" s="514"/>
    </row>
    <row r="639">
      <c r="A639" s="382"/>
      <c r="B639" s="418"/>
      <c r="C639" s="383"/>
      <c r="D639" s="507"/>
      <c r="E639" s="382"/>
      <c r="F639" s="418"/>
      <c r="G639" s="383"/>
      <c r="H639" s="507"/>
      <c r="I639" s="382"/>
      <c r="J639" s="418"/>
      <c r="K639" s="383"/>
      <c r="L639" s="507"/>
      <c r="M639" s="382"/>
      <c r="N639" s="418"/>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8"/>
      <c r="AM639" s="383"/>
      <c r="AN639" s="507"/>
      <c r="AO639" s="382"/>
      <c r="AP639" s="418"/>
      <c r="AQ639" s="383"/>
      <c r="AR639" s="507"/>
      <c r="AS639" s="514"/>
      <c r="AT639" s="514"/>
    </row>
    <row r="640">
      <c r="A640" s="382"/>
      <c r="B640" s="418"/>
      <c r="C640" s="383"/>
      <c r="D640" s="507"/>
      <c r="E640" s="382"/>
      <c r="F640" s="418"/>
      <c r="G640" s="383"/>
      <c r="H640" s="507"/>
      <c r="I640" s="382"/>
      <c r="J640" s="418"/>
      <c r="K640" s="383"/>
      <c r="L640" s="507"/>
      <c r="M640" s="382"/>
      <c r="N640" s="418"/>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8"/>
      <c r="AM640" s="383"/>
      <c r="AN640" s="507"/>
      <c r="AO640" s="382"/>
      <c r="AP640" s="418"/>
      <c r="AQ640" s="383"/>
      <c r="AR640" s="507"/>
      <c r="AS640" s="514"/>
      <c r="AT640" s="514"/>
    </row>
    <row r="641">
      <c r="A641" s="382"/>
      <c r="B641" s="418"/>
      <c r="C641" s="383"/>
      <c r="D641" s="507"/>
      <c r="E641" s="382"/>
      <c r="F641" s="418"/>
      <c r="G641" s="383"/>
      <c r="H641" s="507"/>
      <c r="I641" s="382"/>
      <c r="J641" s="418"/>
      <c r="K641" s="383"/>
      <c r="L641" s="507"/>
      <c r="M641" s="382"/>
      <c r="N641" s="418"/>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8"/>
      <c r="AM641" s="383"/>
      <c r="AN641" s="507"/>
      <c r="AO641" s="382"/>
      <c r="AP641" s="418"/>
      <c r="AQ641" s="383"/>
      <c r="AR641" s="507"/>
      <c r="AS641" s="514"/>
      <c r="AT641" s="514"/>
    </row>
    <row r="642">
      <c r="A642" s="382"/>
      <c r="B642" s="418"/>
      <c r="C642" s="383"/>
      <c r="D642" s="507"/>
      <c r="E642" s="382"/>
      <c r="F642" s="418"/>
      <c r="G642" s="383"/>
      <c r="H642" s="507"/>
      <c r="I642" s="382"/>
      <c r="J642" s="418"/>
      <c r="K642" s="383"/>
      <c r="L642" s="507"/>
      <c r="M642" s="382"/>
      <c r="N642" s="418"/>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8"/>
      <c r="AM642" s="383"/>
      <c r="AN642" s="507"/>
      <c r="AO642" s="382"/>
      <c r="AP642" s="418"/>
      <c r="AQ642" s="383"/>
      <c r="AR642" s="507"/>
      <c r="AS642" s="514"/>
      <c r="AT642" s="514"/>
    </row>
    <row r="643">
      <c r="A643" s="382"/>
      <c r="B643" s="418"/>
      <c r="C643" s="383"/>
      <c r="D643" s="507"/>
      <c r="E643" s="382"/>
      <c r="F643" s="418"/>
      <c r="G643" s="383"/>
      <c r="H643" s="507"/>
      <c r="I643" s="382"/>
      <c r="J643" s="418"/>
      <c r="K643" s="383"/>
      <c r="L643" s="507"/>
      <c r="M643" s="382"/>
      <c r="N643" s="418"/>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8"/>
      <c r="AM643" s="383"/>
      <c r="AN643" s="507"/>
      <c r="AO643" s="382"/>
      <c r="AP643" s="418"/>
      <c r="AQ643" s="383"/>
      <c r="AR643" s="507"/>
      <c r="AS643" s="514"/>
      <c r="AT643" s="514"/>
    </row>
    <row r="644">
      <c r="A644" s="382"/>
      <c r="B644" s="418"/>
      <c r="C644" s="383"/>
      <c r="D644" s="507"/>
      <c r="E644" s="382"/>
      <c r="F644" s="418"/>
      <c r="G644" s="383"/>
      <c r="H644" s="507"/>
      <c r="I644" s="382"/>
      <c r="J644" s="418"/>
      <c r="K644" s="383"/>
      <c r="L644" s="507"/>
      <c r="M644" s="382"/>
      <c r="N644" s="418"/>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8"/>
      <c r="AM644" s="383"/>
      <c r="AN644" s="507"/>
      <c r="AO644" s="382"/>
      <c r="AP644" s="418"/>
      <c r="AQ644" s="383"/>
      <c r="AR644" s="507"/>
      <c r="AS644" s="514"/>
      <c r="AT644" s="514"/>
    </row>
    <row r="645">
      <c r="A645" s="382"/>
      <c r="B645" s="418"/>
      <c r="C645" s="383"/>
      <c r="D645" s="507"/>
      <c r="E645" s="382"/>
      <c r="F645" s="418"/>
      <c r="G645" s="383"/>
      <c r="H645" s="507"/>
      <c r="I645" s="382"/>
      <c r="J645" s="418"/>
      <c r="K645" s="383"/>
      <c r="L645" s="507"/>
      <c r="M645" s="382"/>
      <c r="N645" s="418"/>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8"/>
      <c r="AM645" s="383"/>
      <c r="AN645" s="507"/>
      <c r="AO645" s="382"/>
      <c r="AP645" s="418"/>
      <c r="AQ645" s="383"/>
      <c r="AR645" s="507"/>
      <c r="AS645" s="514"/>
      <c r="AT645" s="514"/>
    </row>
    <row r="646">
      <c r="A646" s="382"/>
      <c r="B646" s="418"/>
      <c r="C646" s="383"/>
      <c r="D646" s="507"/>
      <c r="E646" s="382"/>
      <c r="F646" s="418"/>
      <c r="G646" s="383"/>
      <c r="H646" s="507"/>
      <c r="I646" s="382"/>
      <c r="J646" s="418"/>
      <c r="K646" s="383"/>
      <c r="L646" s="507"/>
      <c r="M646" s="382"/>
      <c r="N646" s="418"/>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8"/>
      <c r="AM646" s="383"/>
      <c r="AN646" s="507"/>
      <c r="AO646" s="382"/>
      <c r="AP646" s="418"/>
      <c r="AQ646" s="383"/>
      <c r="AR646" s="507"/>
      <c r="AS646" s="514"/>
      <c r="AT646" s="514"/>
    </row>
    <row r="647">
      <c r="A647" s="382"/>
      <c r="B647" s="418"/>
      <c r="C647" s="383"/>
      <c r="D647" s="507"/>
      <c r="E647" s="382"/>
      <c r="F647" s="418"/>
      <c r="G647" s="383"/>
      <c r="H647" s="507"/>
      <c r="I647" s="382"/>
      <c r="J647" s="418"/>
      <c r="K647" s="383"/>
      <c r="L647" s="507"/>
      <c r="M647" s="382"/>
      <c r="N647" s="418"/>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8"/>
      <c r="AM647" s="383"/>
      <c r="AN647" s="507"/>
      <c r="AO647" s="382"/>
      <c r="AP647" s="418"/>
      <c r="AQ647" s="383"/>
      <c r="AR647" s="507"/>
      <c r="AS647" s="514"/>
      <c r="AT647" s="514"/>
    </row>
    <row r="648">
      <c r="A648" s="382"/>
      <c r="B648" s="418"/>
      <c r="C648" s="383"/>
      <c r="D648" s="507"/>
      <c r="E648" s="382"/>
      <c r="F648" s="418"/>
      <c r="G648" s="383"/>
      <c r="H648" s="507"/>
      <c r="I648" s="382"/>
      <c r="J648" s="418"/>
      <c r="K648" s="383"/>
      <c r="L648" s="507"/>
      <c r="M648" s="382"/>
      <c r="N648" s="418"/>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8"/>
      <c r="AM648" s="383"/>
      <c r="AN648" s="507"/>
      <c r="AO648" s="382"/>
      <c r="AP648" s="418"/>
      <c r="AQ648" s="383"/>
      <c r="AR648" s="507"/>
      <c r="AS648" s="514"/>
      <c r="AT648" s="514"/>
    </row>
    <row r="649">
      <c r="A649" s="382"/>
      <c r="B649" s="418"/>
      <c r="C649" s="383"/>
      <c r="D649" s="507"/>
      <c r="E649" s="382"/>
      <c r="F649" s="418"/>
      <c r="G649" s="383"/>
      <c r="H649" s="507"/>
      <c r="I649" s="382"/>
      <c r="J649" s="418"/>
      <c r="K649" s="383"/>
      <c r="L649" s="507"/>
      <c r="M649" s="382"/>
      <c r="N649" s="418"/>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8"/>
      <c r="AM649" s="383"/>
      <c r="AN649" s="507"/>
      <c r="AO649" s="382"/>
      <c r="AP649" s="418"/>
      <c r="AQ649" s="383"/>
      <c r="AR649" s="507"/>
      <c r="AS649" s="514"/>
      <c r="AT649" s="514"/>
    </row>
    <row r="650">
      <c r="A650" s="382"/>
      <c r="B650" s="418"/>
      <c r="C650" s="383"/>
      <c r="D650" s="507"/>
      <c r="E650" s="382"/>
      <c r="F650" s="418"/>
      <c r="G650" s="383"/>
      <c r="H650" s="507"/>
      <c r="I650" s="382"/>
      <c r="J650" s="418"/>
      <c r="K650" s="383"/>
      <c r="L650" s="507"/>
      <c r="M650" s="382"/>
      <c r="N650" s="418"/>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8"/>
      <c r="AM650" s="383"/>
      <c r="AN650" s="507"/>
      <c r="AO650" s="382"/>
      <c r="AP650" s="418"/>
      <c r="AQ650" s="383"/>
      <c r="AR650" s="507"/>
      <c r="AS650" s="514"/>
      <c r="AT650" s="514"/>
    </row>
    <row r="651">
      <c r="A651" s="382"/>
      <c r="B651" s="418"/>
      <c r="C651" s="383"/>
      <c r="D651" s="507"/>
      <c r="E651" s="382"/>
      <c r="F651" s="418"/>
      <c r="G651" s="383"/>
      <c r="H651" s="507"/>
      <c r="I651" s="382"/>
      <c r="J651" s="418"/>
      <c r="K651" s="383"/>
      <c r="L651" s="507"/>
      <c r="M651" s="382"/>
      <c r="N651" s="418"/>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8"/>
      <c r="AM651" s="383"/>
      <c r="AN651" s="507"/>
      <c r="AO651" s="382"/>
      <c r="AP651" s="418"/>
      <c r="AQ651" s="383"/>
      <c r="AR651" s="507"/>
      <c r="AS651" s="514"/>
      <c r="AT651" s="514"/>
    </row>
    <row r="652">
      <c r="A652" s="382"/>
      <c r="B652" s="418"/>
      <c r="C652" s="383"/>
      <c r="D652" s="507"/>
      <c r="E652" s="382"/>
      <c r="F652" s="418"/>
      <c r="G652" s="383"/>
      <c r="H652" s="507"/>
      <c r="I652" s="382"/>
      <c r="J652" s="418"/>
      <c r="K652" s="383"/>
      <c r="L652" s="507"/>
      <c r="M652" s="382"/>
      <c r="N652" s="418"/>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8"/>
      <c r="AM652" s="383"/>
      <c r="AN652" s="507"/>
      <c r="AO652" s="382"/>
      <c r="AP652" s="418"/>
      <c r="AQ652" s="383"/>
      <c r="AR652" s="507"/>
      <c r="AS652" s="514"/>
      <c r="AT652" s="514"/>
    </row>
    <row r="653">
      <c r="A653" s="382"/>
      <c r="B653" s="418"/>
      <c r="C653" s="383"/>
      <c r="D653" s="507"/>
      <c r="E653" s="382"/>
      <c r="F653" s="418"/>
      <c r="G653" s="383"/>
      <c r="H653" s="507"/>
      <c r="I653" s="382"/>
      <c r="J653" s="418"/>
      <c r="K653" s="383"/>
      <c r="L653" s="507"/>
      <c r="M653" s="382"/>
      <c r="N653" s="418"/>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8"/>
      <c r="AM653" s="383"/>
      <c r="AN653" s="507"/>
      <c r="AO653" s="382"/>
      <c r="AP653" s="418"/>
      <c r="AQ653" s="383"/>
      <c r="AR653" s="507"/>
      <c r="AS653" s="514"/>
      <c r="AT653" s="514"/>
    </row>
    <row r="654">
      <c r="A654" s="382"/>
      <c r="B654" s="418"/>
      <c r="C654" s="383"/>
      <c r="D654" s="507"/>
      <c r="E654" s="382"/>
      <c r="F654" s="418"/>
      <c r="G654" s="383"/>
      <c r="H654" s="507"/>
      <c r="I654" s="382"/>
      <c r="J654" s="418"/>
      <c r="K654" s="383"/>
      <c r="L654" s="507"/>
      <c r="M654" s="382"/>
      <c r="N654" s="418"/>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8"/>
      <c r="AM654" s="383"/>
      <c r="AN654" s="507"/>
      <c r="AO654" s="382"/>
      <c r="AP654" s="418"/>
      <c r="AQ654" s="383"/>
      <c r="AR654" s="507"/>
      <c r="AS654" s="514"/>
      <c r="AT654" s="514"/>
    </row>
    <row r="655">
      <c r="A655" s="382"/>
      <c r="B655" s="418"/>
      <c r="C655" s="383"/>
      <c r="D655" s="507"/>
      <c r="E655" s="382"/>
      <c r="F655" s="418"/>
      <c r="G655" s="383"/>
      <c r="H655" s="507"/>
      <c r="I655" s="382"/>
      <c r="J655" s="418"/>
      <c r="K655" s="383"/>
      <c r="L655" s="507"/>
      <c r="M655" s="382"/>
      <c r="N655" s="418"/>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8"/>
      <c r="AM655" s="383"/>
      <c r="AN655" s="507"/>
      <c r="AO655" s="382"/>
      <c r="AP655" s="418"/>
      <c r="AQ655" s="383"/>
      <c r="AR655" s="507"/>
      <c r="AS655" s="514"/>
      <c r="AT655" s="514"/>
    </row>
    <row r="656">
      <c r="A656" s="382"/>
      <c r="B656" s="418"/>
      <c r="C656" s="383"/>
      <c r="D656" s="507"/>
      <c r="E656" s="382"/>
      <c r="F656" s="418"/>
      <c r="G656" s="383"/>
      <c r="H656" s="507"/>
      <c r="I656" s="382"/>
      <c r="J656" s="418"/>
      <c r="K656" s="383"/>
      <c r="L656" s="507"/>
      <c r="M656" s="382"/>
      <c r="N656" s="418"/>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8"/>
      <c r="AM656" s="383"/>
      <c r="AN656" s="507"/>
      <c r="AO656" s="382"/>
      <c r="AP656" s="418"/>
      <c r="AQ656" s="383"/>
      <c r="AR656" s="507"/>
      <c r="AS656" s="514"/>
      <c r="AT656" s="514"/>
    </row>
    <row r="657">
      <c r="A657" s="382"/>
      <c r="B657" s="418"/>
      <c r="C657" s="383"/>
      <c r="D657" s="507"/>
      <c r="E657" s="382"/>
      <c r="F657" s="418"/>
      <c r="G657" s="383"/>
      <c r="H657" s="507"/>
      <c r="I657" s="382"/>
      <c r="J657" s="418"/>
      <c r="K657" s="383"/>
      <c r="L657" s="507"/>
      <c r="M657" s="382"/>
      <c r="N657" s="418"/>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8"/>
      <c r="AM657" s="383"/>
      <c r="AN657" s="507"/>
      <c r="AO657" s="382"/>
      <c r="AP657" s="418"/>
      <c r="AQ657" s="383"/>
      <c r="AR657" s="507"/>
      <c r="AS657" s="514"/>
      <c r="AT657" s="514"/>
    </row>
    <row r="658">
      <c r="A658" s="382"/>
      <c r="B658" s="418"/>
      <c r="C658" s="383"/>
      <c r="D658" s="507"/>
      <c r="E658" s="382"/>
      <c r="F658" s="418"/>
      <c r="G658" s="383"/>
      <c r="H658" s="507"/>
      <c r="I658" s="382"/>
      <c r="J658" s="418"/>
      <c r="K658" s="383"/>
      <c r="L658" s="507"/>
      <c r="M658" s="382"/>
      <c r="N658" s="418"/>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8"/>
      <c r="AM658" s="383"/>
      <c r="AN658" s="507"/>
      <c r="AO658" s="382"/>
      <c r="AP658" s="418"/>
      <c r="AQ658" s="383"/>
      <c r="AR658" s="507"/>
      <c r="AS658" s="514"/>
      <c r="AT658" s="514"/>
    </row>
    <row r="659">
      <c r="A659" s="382"/>
      <c r="B659" s="418"/>
      <c r="C659" s="383"/>
      <c r="D659" s="507"/>
      <c r="E659" s="382"/>
      <c r="F659" s="418"/>
      <c r="G659" s="383"/>
      <c r="H659" s="507"/>
      <c r="I659" s="382"/>
      <c r="J659" s="418"/>
      <c r="K659" s="383"/>
      <c r="L659" s="507"/>
      <c r="M659" s="382"/>
      <c r="N659" s="418"/>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8"/>
      <c r="AM659" s="383"/>
      <c r="AN659" s="507"/>
      <c r="AO659" s="382"/>
      <c r="AP659" s="418"/>
      <c r="AQ659" s="383"/>
      <c r="AR659" s="507"/>
      <c r="AS659" s="514"/>
      <c r="AT659" s="514"/>
    </row>
    <row r="660">
      <c r="A660" s="382"/>
      <c r="B660" s="418"/>
      <c r="C660" s="383"/>
      <c r="D660" s="507"/>
      <c r="E660" s="382"/>
      <c r="F660" s="418"/>
      <c r="G660" s="383"/>
      <c r="H660" s="507"/>
      <c r="I660" s="382"/>
      <c r="J660" s="418"/>
      <c r="K660" s="383"/>
      <c r="L660" s="507"/>
      <c r="M660" s="382"/>
      <c r="N660" s="418"/>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8"/>
      <c r="AM660" s="383"/>
      <c r="AN660" s="507"/>
      <c r="AO660" s="382"/>
      <c r="AP660" s="418"/>
      <c r="AQ660" s="383"/>
      <c r="AR660" s="507"/>
      <c r="AS660" s="514"/>
      <c r="AT660" s="514"/>
    </row>
    <row r="661">
      <c r="A661" s="382"/>
      <c r="B661" s="418"/>
      <c r="C661" s="383"/>
      <c r="D661" s="507"/>
      <c r="E661" s="382"/>
      <c r="F661" s="418"/>
      <c r="G661" s="383"/>
      <c r="H661" s="507"/>
      <c r="I661" s="382"/>
      <c r="J661" s="418"/>
      <c r="K661" s="383"/>
      <c r="L661" s="507"/>
      <c r="M661" s="382"/>
      <c r="N661" s="418"/>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8"/>
      <c r="AM661" s="383"/>
      <c r="AN661" s="507"/>
      <c r="AO661" s="382"/>
      <c r="AP661" s="418"/>
      <c r="AQ661" s="383"/>
      <c r="AR661" s="507"/>
      <c r="AS661" s="514"/>
      <c r="AT661" s="514"/>
    </row>
    <row r="662">
      <c r="A662" s="382"/>
      <c r="B662" s="418"/>
      <c r="C662" s="383"/>
      <c r="D662" s="507"/>
      <c r="E662" s="382"/>
      <c r="F662" s="418"/>
      <c r="G662" s="383"/>
      <c r="H662" s="507"/>
      <c r="I662" s="382"/>
      <c r="J662" s="418"/>
      <c r="K662" s="383"/>
      <c r="L662" s="507"/>
      <c r="M662" s="382"/>
      <c r="N662" s="418"/>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8"/>
      <c r="AM662" s="383"/>
      <c r="AN662" s="507"/>
      <c r="AO662" s="382"/>
      <c r="AP662" s="418"/>
      <c r="AQ662" s="383"/>
      <c r="AR662" s="507"/>
      <c r="AS662" s="514"/>
      <c r="AT662" s="514"/>
    </row>
    <row r="663">
      <c r="A663" s="382"/>
      <c r="B663" s="418"/>
      <c r="C663" s="383"/>
      <c r="D663" s="507"/>
      <c r="E663" s="382"/>
      <c r="F663" s="418"/>
      <c r="G663" s="383"/>
      <c r="H663" s="507"/>
      <c r="I663" s="382"/>
      <c r="J663" s="418"/>
      <c r="K663" s="383"/>
      <c r="L663" s="507"/>
      <c r="M663" s="382"/>
      <c r="N663" s="418"/>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8"/>
      <c r="AM663" s="383"/>
      <c r="AN663" s="507"/>
      <c r="AO663" s="382"/>
      <c r="AP663" s="418"/>
      <c r="AQ663" s="383"/>
      <c r="AR663" s="507"/>
      <c r="AS663" s="514"/>
      <c r="AT663" s="514"/>
    </row>
    <row r="664">
      <c r="A664" s="382"/>
      <c r="B664" s="418"/>
      <c r="C664" s="383"/>
      <c r="D664" s="507"/>
      <c r="E664" s="382"/>
      <c r="F664" s="418"/>
      <c r="G664" s="383"/>
      <c r="H664" s="507"/>
      <c r="I664" s="382"/>
      <c r="J664" s="418"/>
      <c r="K664" s="383"/>
      <c r="L664" s="507"/>
      <c r="M664" s="382"/>
      <c r="N664" s="418"/>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8"/>
      <c r="AM664" s="383"/>
      <c r="AN664" s="507"/>
      <c r="AO664" s="382"/>
      <c r="AP664" s="418"/>
      <c r="AQ664" s="383"/>
      <c r="AR664" s="507"/>
      <c r="AS664" s="514"/>
      <c r="AT664" s="514"/>
    </row>
    <row r="665">
      <c r="A665" s="382"/>
      <c r="B665" s="418"/>
      <c r="C665" s="383"/>
      <c r="D665" s="507"/>
      <c r="E665" s="382"/>
      <c r="F665" s="418"/>
      <c r="G665" s="383"/>
      <c r="H665" s="507"/>
      <c r="I665" s="382"/>
      <c r="J665" s="418"/>
      <c r="K665" s="383"/>
      <c r="L665" s="507"/>
      <c r="M665" s="382"/>
      <c r="N665" s="418"/>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8"/>
      <c r="AM665" s="383"/>
      <c r="AN665" s="507"/>
      <c r="AO665" s="382"/>
      <c r="AP665" s="418"/>
      <c r="AQ665" s="383"/>
      <c r="AR665" s="507"/>
      <c r="AS665" s="514"/>
      <c r="AT665" s="514"/>
    </row>
    <row r="666">
      <c r="A666" s="382"/>
      <c r="B666" s="418"/>
      <c r="C666" s="383"/>
      <c r="D666" s="507"/>
      <c r="E666" s="382"/>
      <c r="F666" s="418"/>
      <c r="G666" s="383"/>
      <c r="H666" s="507"/>
      <c r="I666" s="382"/>
      <c r="J666" s="418"/>
      <c r="K666" s="383"/>
      <c r="L666" s="507"/>
      <c r="M666" s="382"/>
      <c r="N666" s="418"/>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8"/>
      <c r="AM666" s="383"/>
      <c r="AN666" s="507"/>
      <c r="AO666" s="382"/>
      <c r="AP666" s="418"/>
      <c r="AQ666" s="383"/>
      <c r="AR666" s="507"/>
      <c r="AS666" s="514"/>
      <c r="AT666" s="514"/>
    </row>
    <row r="667">
      <c r="A667" s="382"/>
      <c r="B667" s="418"/>
      <c r="C667" s="383"/>
      <c r="D667" s="507"/>
      <c r="E667" s="382"/>
      <c r="F667" s="418"/>
      <c r="G667" s="383"/>
      <c r="H667" s="507"/>
      <c r="I667" s="382"/>
      <c r="J667" s="418"/>
      <c r="K667" s="383"/>
      <c r="L667" s="507"/>
      <c r="M667" s="382"/>
      <c r="N667" s="418"/>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8"/>
      <c r="AM667" s="383"/>
      <c r="AN667" s="507"/>
      <c r="AO667" s="382"/>
      <c r="AP667" s="418"/>
      <c r="AQ667" s="383"/>
      <c r="AR667" s="507"/>
      <c r="AS667" s="514"/>
      <c r="AT667" s="514"/>
    </row>
    <row r="668">
      <c r="A668" s="382"/>
      <c r="B668" s="418"/>
      <c r="C668" s="383"/>
      <c r="D668" s="507"/>
      <c r="E668" s="382"/>
      <c r="F668" s="418"/>
      <c r="G668" s="383"/>
      <c r="H668" s="507"/>
      <c r="I668" s="382"/>
      <c r="J668" s="418"/>
      <c r="K668" s="383"/>
      <c r="L668" s="507"/>
      <c r="M668" s="382"/>
      <c r="N668" s="418"/>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8"/>
      <c r="AM668" s="383"/>
      <c r="AN668" s="507"/>
      <c r="AO668" s="382"/>
      <c r="AP668" s="418"/>
      <c r="AQ668" s="383"/>
      <c r="AR668" s="507"/>
      <c r="AS668" s="514"/>
      <c r="AT668" s="514"/>
    </row>
    <row r="669">
      <c r="A669" s="382"/>
      <c r="B669" s="418"/>
      <c r="C669" s="383"/>
      <c r="D669" s="507"/>
      <c r="E669" s="382"/>
      <c r="F669" s="418"/>
      <c r="G669" s="383"/>
      <c r="H669" s="507"/>
      <c r="I669" s="382"/>
      <c r="J669" s="418"/>
      <c r="K669" s="383"/>
      <c r="L669" s="507"/>
      <c r="M669" s="382"/>
      <c r="N669" s="418"/>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8"/>
      <c r="AM669" s="383"/>
      <c r="AN669" s="507"/>
      <c r="AO669" s="382"/>
      <c r="AP669" s="418"/>
      <c r="AQ669" s="383"/>
      <c r="AR669" s="507"/>
      <c r="AS669" s="514"/>
      <c r="AT669" s="514"/>
    </row>
    <row r="670">
      <c r="A670" s="382"/>
      <c r="B670" s="418"/>
      <c r="C670" s="383"/>
      <c r="D670" s="507"/>
      <c r="E670" s="382"/>
      <c r="F670" s="418"/>
      <c r="G670" s="383"/>
      <c r="H670" s="507"/>
      <c r="I670" s="382"/>
      <c r="J670" s="418"/>
      <c r="K670" s="383"/>
      <c r="L670" s="507"/>
      <c r="M670" s="382"/>
      <c r="N670" s="418"/>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8"/>
      <c r="AM670" s="383"/>
      <c r="AN670" s="507"/>
      <c r="AO670" s="382"/>
      <c r="AP670" s="418"/>
      <c r="AQ670" s="383"/>
      <c r="AR670" s="507"/>
      <c r="AS670" s="514"/>
      <c r="AT670" s="514"/>
    </row>
    <row r="671">
      <c r="A671" s="382"/>
      <c r="B671" s="418"/>
      <c r="C671" s="383"/>
      <c r="D671" s="507"/>
      <c r="E671" s="382"/>
      <c r="F671" s="418"/>
      <c r="G671" s="383"/>
      <c r="H671" s="507"/>
      <c r="I671" s="382"/>
      <c r="J671" s="418"/>
      <c r="K671" s="383"/>
      <c r="L671" s="507"/>
      <c r="M671" s="382"/>
      <c r="N671" s="418"/>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8"/>
      <c r="AM671" s="383"/>
      <c r="AN671" s="507"/>
      <c r="AO671" s="382"/>
      <c r="AP671" s="418"/>
      <c r="AQ671" s="383"/>
      <c r="AR671" s="507"/>
      <c r="AS671" s="514"/>
      <c r="AT671" s="514"/>
    </row>
    <row r="672">
      <c r="A672" s="382"/>
      <c r="B672" s="418"/>
      <c r="C672" s="383"/>
      <c r="D672" s="507"/>
      <c r="E672" s="382"/>
      <c r="F672" s="418"/>
      <c r="G672" s="383"/>
      <c r="H672" s="507"/>
      <c r="I672" s="382"/>
      <c r="J672" s="418"/>
      <c r="K672" s="383"/>
      <c r="L672" s="507"/>
      <c r="M672" s="382"/>
      <c r="N672" s="418"/>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8"/>
      <c r="AM672" s="383"/>
      <c r="AN672" s="507"/>
      <c r="AO672" s="382"/>
      <c r="AP672" s="418"/>
      <c r="AQ672" s="383"/>
      <c r="AR672" s="507"/>
      <c r="AS672" s="514"/>
      <c r="AT672" s="514"/>
    </row>
    <row r="673">
      <c r="A673" s="382"/>
      <c r="B673" s="418"/>
      <c r="C673" s="383"/>
      <c r="D673" s="507"/>
      <c r="E673" s="382"/>
      <c r="F673" s="418"/>
      <c r="G673" s="383"/>
      <c r="H673" s="507"/>
      <c r="I673" s="382"/>
      <c r="J673" s="418"/>
      <c r="K673" s="383"/>
      <c r="L673" s="507"/>
      <c r="M673" s="382"/>
      <c r="N673" s="418"/>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8"/>
      <c r="AM673" s="383"/>
      <c r="AN673" s="507"/>
      <c r="AO673" s="382"/>
      <c r="AP673" s="418"/>
      <c r="AQ673" s="383"/>
      <c r="AR673" s="507"/>
      <c r="AS673" s="514"/>
      <c r="AT673" s="514"/>
    </row>
    <row r="674">
      <c r="A674" s="382"/>
      <c r="B674" s="418"/>
      <c r="C674" s="383"/>
      <c r="D674" s="507"/>
      <c r="E674" s="382"/>
      <c r="F674" s="418"/>
      <c r="G674" s="383"/>
      <c r="H674" s="507"/>
      <c r="I674" s="382"/>
      <c r="J674" s="418"/>
      <c r="K674" s="383"/>
      <c r="L674" s="507"/>
      <c r="M674" s="382"/>
      <c r="N674" s="418"/>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8"/>
      <c r="AM674" s="383"/>
      <c r="AN674" s="507"/>
      <c r="AO674" s="382"/>
      <c r="AP674" s="418"/>
      <c r="AQ674" s="383"/>
      <c r="AR674" s="507"/>
      <c r="AS674" s="514"/>
      <c r="AT674" s="514"/>
    </row>
    <row r="675">
      <c r="A675" s="382"/>
      <c r="B675" s="418"/>
      <c r="C675" s="383"/>
      <c r="D675" s="507"/>
      <c r="E675" s="382"/>
      <c r="F675" s="418"/>
      <c r="G675" s="383"/>
      <c r="H675" s="507"/>
      <c r="I675" s="382"/>
      <c r="J675" s="418"/>
      <c r="K675" s="383"/>
      <c r="L675" s="507"/>
      <c r="M675" s="382"/>
      <c r="N675" s="418"/>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8"/>
      <c r="AM675" s="383"/>
      <c r="AN675" s="507"/>
      <c r="AO675" s="382"/>
      <c r="AP675" s="418"/>
      <c r="AQ675" s="383"/>
      <c r="AR675" s="507"/>
      <c r="AS675" s="514"/>
      <c r="AT675" s="514"/>
    </row>
    <row r="676">
      <c r="A676" s="382"/>
      <c r="B676" s="418"/>
      <c r="C676" s="383"/>
      <c r="D676" s="507"/>
      <c r="E676" s="382"/>
      <c r="F676" s="418"/>
      <c r="G676" s="383"/>
      <c r="H676" s="507"/>
      <c r="I676" s="382"/>
      <c r="J676" s="418"/>
      <c r="K676" s="383"/>
      <c r="L676" s="507"/>
      <c r="M676" s="382"/>
      <c r="N676" s="418"/>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8"/>
      <c r="AM676" s="383"/>
      <c r="AN676" s="507"/>
      <c r="AO676" s="382"/>
      <c r="AP676" s="418"/>
      <c r="AQ676" s="383"/>
      <c r="AR676" s="507"/>
      <c r="AS676" s="514"/>
      <c r="AT676" s="514"/>
    </row>
    <row r="677">
      <c r="A677" s="382"/>
      <c r="B677" s="418"/>
      <c r="C677" s="383"/>
      <c r="D677" s="507"/>
      <c r="E677" s="382"/>
      <c r="F677" s="418"/>
      <c r="G677" s="383"/>
      <c r="H677" s="507"/>
      <c r="I677" s="382"/>
      <c r="J677" s="418"/>
      <c r="K677" s="383"/>
      <c r="L677" s="507"/>
      <c r="M677" s="382"/>
      <c r="N677" s="418"/>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8"/>
      <c r="AM677" s="383"/>
      <c r="AN677" s="507"/>
      <c r="AO677" s="382"/>
      <c r="AP677" s="418"/>
      <c r="AQ677" s="383"/>
      <c r="AR677" s="507"/>
      <c r="AS677" s="514"/>
      <c r="AT677" s="514"/>
    </row>
    <row r="678">
      <c r="A678" s="382"/>
      <c r="B678" s="418"/>
      <c r="C678" s="383"/>
      <c r="D678" s="507"/>
      <c r="E678" s="382"/>
      <c r="F678" s="418"/>
      <c r="G678" s="383"/>
      <c r="H678" s="507"/>
      <c r="I678" s="382"/>
      <c r="J678" s="418"/>
      <c r="K678" s="383"/>
      <c r="L678" s="507"/>
      <c r="M678" s="382"/>
      <c r="N678" s="418"/>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8"/>
      <c r="AM678" s="383"/>
      <c r="AN678" s="507"/>
      <c r="AO678" s="382"/>
      <c r="AP678" s="418"/>
      <c r="AQ678" s="383"/>
      <c r="AR678" s="507"/>
      <c r="AS678" s="514"/>
      <c r="AT678" s="514"/>
    </row>
    <row r="679">
      <c r="A679" s="382"/>
      <c r="B679" s="418"/>
      <c r="C679" s="383"/>
      <c r="D679" s="507"/>
      <c r="E679" s="382"/>
      <c r="F679" s="418"/>
      <c r="G679" s="383"/>
      <c r="H679" s="507"/>
      <c r="I679" s="382"/>
      <c r="J679" s="418"/>
      <c r="K679" s="383"/>
      <c r="L679" s="507"/>
      <c r="M679" s="382"/>
      <c r="N679" s="418"/>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8"/>
      <c r="AM679" s="383"/>
      <c r="AN679" s="507"/>
      <c r="AO679" s="382"/>
      <c r="AP679" s="418"/>
      <c r="AQ679" s="383"/>
      <c r="AR679" s="507"/>
      <c r="AS679" s="514"/>
      <c r="AT679" s="514"/>
    </row>
    <row r="680">
      <c r="A680" s="382"/>
      <c r="B680" s="418"/>
      <c r="C680" s="383"/>
      <c r="D680" s="507"/>
      <c r="E680" s="382"/>
      <c r="F680" s="418"/>
      <c r="G680" s="383"/>
      <c r="H680" s="507"/>
      <c r="I680" s="382"/>
      <c r="J680" s="418"/>
      <c r="K680" s="383"/>
      <c r="L680" s="507"/>
      <c r="M680" s="382"/>
      <c r="N680" s="418"/>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8"/>
      <c r="AM680" s="383"/>
      <c r="AN680" s="507"/>
      <c r="AO680" s="382"/>
      <c r="AP680" s="418"/>
      <c r="AQ680" s="383"/>
      <c r="AR680" s="507"/>
      <c r="AS680" s="514"/>
      <c r="AT680" s="514"/>
    </row>
    <row r="681">
      <c r="A681" s="382"/>
      <c r="B681" s="418"/>
      <c r="C681" s="383"/>
      <c r="D681" s="507"/>
      <c r="E681" s="382"/>
      <c r="F681" s="418"/>
      <c r="G681" s="383"/>
      <c r="H681" s="507"/>
      <c r="I681" s="382"/>
      <c r="J681" s="418"/>
      <c r="K681" s="383"/>
      <c r="L681" s="507"/>
      <c r="M681" s="382"/>
      <c r="N681" s="418"/>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8"/>
      <c r="AM681" s="383"/>
      <c r="AN681" s="507"/>
      <c r="AO681" s="382"/>
      <c r="AP681" s="418"/>
      <c r="AQ681" s="383"/>
      <c r="AR681" s="507"/>
      <c r="AS681" s="514"/>
      <c r="AT681" s="514"/>
    </row>
    <row r="682">
      <c r="A682" s="382"/>
      <c r="B682" s="418"/>
      <c r="C682" s="383"/>
      <c r="D682" s="507"/>
      <c r="E682" s="382"/>
      <c r="F682" s="418"/>
      <c r="G682" s="383"/>
      <c r="H682" s="507"/>
      <c r="I682" s="382"/>
      <c r="J682" s="418"/>
      <c r="K682" s="383"/>
      <c r="L682" s="507"/>
      <c r="M682" s="382"/>
      <c r="N682" s="418"/>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8"/>
      <c r="AM682" s="383"/>
      <c r="AN682" s="507"/>
      <c r="AO682" s="382"/>
      <c r="AP682" s="418"/>
      <c r="AQ682" s="383"/>
      <c r="AR682" s="507"/>
      <c r="AS682" s="514"/>
      <c r="AT682" s="514"/>
    </row>
    <row r="683">
      <c r="A683" s="382"/>
      <c r="B683" s="418"/>
      <c r="C683" s="383"/>
      <c r="D683" s="507"/>
      <c r="E683" s="382"/>
      <c r="F683" s="418"/>
      <c r="G683" s="383"/>
      <c r="H683" s="507"/>
      <c r="I683" s="382"/>
      <c r="J683" s="418"/>
      <c r="K683" s="383"/>
      <c r="L683" s="507"/>
      <c r="M683" s="382"/>
      <c r="N683" s="418"/>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8"/>
      <c r="AM683" s="383"/>
      <c r="AN683" s="507"/>
      <c r="AO683" s="382"/>
      <c r="AP683" s="418"/>
      <c r="AQ683" s="383"/>
      <c r="AR683" s="507"/>
      <c r="AS683" s="514"/>
      <c r="AT683" s="514"/>
    </row>
    <row r="684">
      <c r="A684" s="382"/>
      <c r="B684" s="418"/>
      <c r="C684" s="383"/>
      <c r="D684" s="507"/>
      <c r="E684" s="382"/>
      <c r="F684" s="418"/>
      <c r="G684" s="383"/>
      <c r="H684" s="507"/>
      <c r="I684" s="382"/>
      <c r="J684" s="418"/>
      <c r="K684" s="383"/>
      <c r="L684" s="507"/>
      <c r="M684" s="382"/>
      <c r="N684" s="418"/>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8"/>
      <c r="AM684" s="383"/>
      <c r="AN684" s="507"/>
      <c r="AO684" s="382"/>
      <c r="AP684" s="418"/>
      <c r="AQ684" s="383"/>
      <c r="AR684" s="507"/>
      <c r="AS684" s="514"/>
      <c r="AT684" s="514"/>
    </row>
    <row r="685">
      <c r="A685" s="382"/>
      <c r="B685" s="418"/>
      <c r="C685" s="383"/>
      <c r="D685" s="507"/>
      <c r="E685" s="382"/>
      <c r="F685" s="418"/>
      <c r="G685" s="383"/>
      <c r="H685" s="507"/>
      <c r="I685" s="382"/>
      <c r="J685" s="418"/>
      <c r="K685" s="383"/>
      <c r="L685" s="507"/>
      <c r="M685" s="382"/>
      <c r="N685" s="418"/>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8"/>
      <c r="AM685" s="383"/>
      <c r="AN685" s="507"/>
      <c r="AO685" s="382"/>
      <c r="AP685" s="418"/>
      <c r="AQ685" s="383"/>
      <c r="AR685" s="507"/>
      <c r="AS685" s="514"/>
      <c r="AT685" s="514"/>
    </row>
    <row r="686">
      <c r="A686" s="382"/>
      <c r="B686" s="418"/>
      <c r="C686" s="383"/>
      <c r="D686" s="507"/>
      <c r="E686" s="382"/>
      <c r="F686" s="418"/>
      <c r="G686" s="383"/>
      <c r="H686" s="507"/>
      <c r="I686" s="382"/>
      <c r="J686" s="418"/>
      <c r="K686" s="383"/>
      <c r="L686" s="507"/>
      <c r="M686" s="382"/>
      <c r="N686" s="418"/>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8"/>
      <c r="AM686" s="383"/>
      <c r="AN686" s="507"/>
      <c r="AO686" s="382"/>
      <c r="AP686" s="418"/>
      <c r="AQ686" s="383"/>
      <c r="AR686" s="507"/>
      <c r="AS686" s="514"/>
      <c r="AT686" s="514"/>
    </row>
    <row r="687">
      <c r="A687" s="382"/>
      <c r="B687" s="418"/>
      <c r="C687" s="383"/>
      <c r="D687" s="507"/>
      <c r="E687" s="382"/>
      <c r="F687" s="418"/>
      <c r="G687" s="383"/>
      <c r="H687" s="507"/>
      <c r="I687" s="382"/>
      <c r="J687" s="418"/>
      <c r="K687" s="383"/>
      <c r="L687" s="507"/>
      <c r="M687" s="382"/>
      <c r="N687" s="418"/>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8"/>
      <c r="AM687" s="383"/>
      <c r="AN687" s="507"/>
      <c r="AO687" s="382"/>
      <c r="AP687" s="418"/>
      <c r="AQ687" s="383"/>
      <c r="AR687" s="507"/>
      <c r="AS687" s="514"/>
      <c r="AT687" s="514"/>
    </row>
    <row r="688">
      <c r="A688" s="382"/>
      <c r="B688" s="418"/>
      <c r="C688" s="383"/>
      <c r="D688" s="507"/>
      <c r="E688" s="382"/>
      <c r="F688" s="418"/>
      <c r="G688" s="383"/>
      <c r="H688" s="507"/>
      <c r="I688" s="382"/>
      <c r="J688" s="418"/>
      <c r="K688" s="383"/>
      <c r="L688" s="507"/>
      <c r="M688" s="382"/>
      <c r="N688" s="418"/>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8"/>
      <c r="AM688" s="383"/>
      <c r="AN688" s="507"/>
      <c r="AO688" s="382"/>
      <c r="AP688" s="418"/>
      <c r="AQ688" s="383"/>
      <c r="AR688" s="507"/>
      <c r="AS688" s="514"/>
      <c r="AT688" s="514"/>
    </row>
    <row r="689">
      <c r="A689" s="382"/>
      <c r="B689" s="418"/>
      <c r="C689" s="383"/>
      <c r="D689" s="507"/>
      <c r="E689" s="382"/>
      <c r="F689" s="418"/>
      <c r="G689" s="383"/>
      <c r="H689" s="507"/>
      <c r="I689" s="382"/>
      <c r="J689" s="418"/>
      <c r="K689" s="383"/>
      <c r="L689" s="507"/>
      <c r="M689" s="382"/>
      <c r="N689" s="418"/>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8"/>
      <c r="AM689" s="383"/>
      <c r="AN689" s="507"/>
      <c r="AO689" s="382"/>
      <c r="AP689" s="418"/>
      <c r="AQ689" s="383"/>
      <c r="AR689" s="507"/>
      <c r="AS689" s="514"/>
      <c r="AT689" s="514"/>
    </row>
    <row r="690">
      <c r="A690" s="382"/>
      <c r="B690" s="418"/>
      <c r="C690" s="383"/>
      <c r="D690" s="507"/>
      <c r="E690" s="382"/>
      <c r="F690" s="418"/>
      <c r="G690" s="383"/>
      <c r="H690" s="507"/>
      <c r="I690" s="382"/>
      <c r="J690" s="418"/>
      <c r="K690" s="383"/>
      <c r="L690" s="507"/>
      <c r="M690" s="382"/>
      <c r="N690" s="418"/>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8"/>
      <c r="AM690" s="383"/>
      <c r="AN690" s="507"/>
      <c r="AO690" s="382"/>
      <c r="AP690" s="418"/>
      <c r="AQ690" s="383"/>
      <c r="AR690" s="507"/>
      <c r="AS690" s="514"/>
      <c r="AT690" s="514"/>
    </row>
    <row r="691">
      <c r="A691" s="382"/>
      <c r="B691" s="418"/>
      <c r="C691" s="383"/>
      <c r="D691" s="507"/>
      <c r="E691" s="382"/>
      <c r="F691" s="418"/>
      <c r="G691" s="383"/>
      <c r="H691" s="507"/>
      <c r="I691" s="382"/>
      <c r="J691" s="418"/>
      <c r="K691" s="383"/>
      <c r="L691" s="507"/>
      <c r="M691" s="382"/>
      <c r="N691" s="418"/>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8"/>
      <c r="AM691" s="383"/>
      <c r="AN691" s="507"/>
      <c r="AO691" s="382"/>
      <c r="AP691" s="418"/>
      <c r="AQ691" s="383"/>
      <c r="AR691" s="507"/>
      <c r="AS691" s="514"/>
      <c r="AT691" s="514"/>
    </row>
    <row r="692">
      <c r="A692" s="382"/>
      <c r="B692" s="418"/>
      <c r="C692" s="383"/>
      <c r="D692" s="507"/>
      <c r="E692" s="382"/>
      <c r="F692" s="418"/>
      <c r="G692" s="383"/>
      <c r="H692" s="507"/>
      <c r="I692" s="382"/>
      <c r="J692" s="418"/>
      <c r="K692" s="383"/>
      <c r="L692" s="507"/>
      <c r="M692" s="382"/>
      <c r="N692" s="418"/>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8"/>
      <c r="AM692" s="383"/>
      <c r="AN692" s="507"/>
      <c r="AO692" s="382"/>
      <c r="AP692" s="418"/>
      <c r="AQ692" s="383"/>
      <c r="AR692" s="507"/>
      <c r="AS692" s="514"/>
      <c r="AT692" s="514"/>
    </row>
    <row r="693">
      <c r="A693" s="382"/>
      <c r="B693" s="418"/>
      <c r="C693" s="383"/>
      <c r="D693" s="507"/>
      <c r="E693" s="382"/>
      <c r="F693" s="418"/>
      <c r="G693" s="383"/>
      <c r="H693" s="507"/>
      <c r="I693" s="382"/>
      <c r="J693" s="418"/>
      <c r="K693" s="383"/>
      <c r="L693" s="507"/>
      <c r="M693" s="382"/>
      <c r="N693" s="418"/>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8"/>
      <c r="AM693" s="383"/>
      <c r="AN693" s="507"/>
      <c r="AO693" s="382"/>
      <c r="AP693" s="418"/>
      <c r="AQ693" s="383"/>
      <c r="AR693" s="507"/>
      <c r="AS693" s="514"/>
      <c r="AT693" s="514"/>
    </row>
    <row r="694">
      <c r="A694" s="382"/>
      <c r="B694" s="418"/>
      <c r="C694" s="383"/>
      <c r="D694" s="507"/>
      <c r="E694" s="382"/>
      <c r="F694" s="418"/>
      <c r="G694" s="383"/>
      <c r="H694" s="507"/>
      <c r="I694" s="382"/>
      <c r="J694" s="418"/>
      <c r="K694" s="383"/>
      <c r="L694" s="507"/>
      <c r="M694" s="382"/>
      <c r="N694" s="418"/>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8"/>
      <c r="AM694" s="383"/>
      <c r="AN694" s="507"/>
      <c r="AO694" s="382"/>
      <c r="AP694" s="418"/>
      <c r="AQ694" s="383"/>
      <c r="AR694" s="507"/>
      <c r="AS694" s="514"/>
      <c r="AT694" s="514"/>
    </row>
    <row r="695">
      <c r="A695" s="382"/>
      <c r="B695" s="418"/>
      <c r="C695" s="383"/>
      <c r="D695" s="507"/>
      <c r="E695" s="382"/>
      <c r="F695" s="418"/>
      <c r="G695" s="383"/>
      <c r="H695" s="507"/>
      <c r="I695" s="382"/>
      <c r="J695" s="418"/>
      <c r="K695" s="383"/>
      <c r="L695" s="507"/>
      <c r="M695" s="382"/>
      <c r="N695" s="418"/>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8"/>
      <c r="AM695" s="383"/>
      <c r="AN695" s="507"/>
      <c r="AO695" s="382"/>
      <c r="AP695" s="418"/>
      <c r="AQ695" s="383"/>
      <c r="AR695" s="507"/>
      <c r="AS695" s="514"/>
      <c r="AT695" s="514"/>
    </row>
    <row r="696">
      <c r="A696" s="382"/>
      <c r="B696" s="418"/>
      <c r="C696" s="383"/>
      <c r="D696" s="507"/>
      <c r="E696" s="382"/>
      <c r="F696" s="418"/>
      <c r="G696" s="383"/>
      <c r="H696" s="507"/>
      <c r="I696" s="382"/>
      <c r="J696" s="418"/>
      <c r="K696" s="383"/>
      <c r="L696" s="507"/>
      <c r="M696" s="382"/>
      <c r="N696" s="418"/>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8"/>
      <c r="AM696" s="383"/>
      <c r="AN696" s="507"/>
      <c r="AO696" s="382"/>
      <c r="AP696" s="418"/>
      <c r="AQ696" s="383"/>
      <c r="AR696" s="507"/>
      <c r="AS696" s="514"/>
      <c r="AT696" s="514"/>
    </row>
    <row r="697">
      <c r="A697" s="382"/>
      <c r="B697" s="418"/>
      <c r="C697" s="383"/>
      <c r="D697" s="507"/>
      <c r="E697" s="382"/>
      <c r="F697" s="418"/>
      <c r="G697" s="383"/>
      <c r="H697" s="507"/>
      <c r="I697" s="382"/>
      <c r="J697" s="418"/>
      <c r="K697" s="383"/>
      <c r="L697" s="507"/>
      <c r="M697" s="382"/>
      <c r="N697" s="418"/>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8"/>
      <c r="AM697" s="383"/>
      <c r="AN697" s="507"/>
      <c r="AO697" s="382"/>
      <c r="AP697" s="418"/>
      <c r="AQ697" s="383"/>
      <c r="AR697" s="507"/>
      <c r="AS697" s="514"/>
      <c r="AT697" s="514"/>
    </row>
    <row r="698">
      <c r="A698" s="382"/>
      <c r="B698" s="418"/>
      <c r="C698" s="383"/>
      <c r="D698" s="507"/>
      <c r="E698" s="382"/>
      <c r="F698" s="418"/>
      <c r="G698" s="383"/>
      <c r="H698" s="507"/>
      <c r="I698" s="382"/>
      <c r="J698" s="418"/>
      <c r="K698" s="383"/>
      <c r="L698" s="507"/>
      <c r="M698" s="382"/>
      <c r="N698" s="418"/>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8"/>
      <c r="AM698" s="383"/>
      <c r="AN698" s="507"/>
      <c r="AO698" s="382"/>
      <c r="AP698" s="418"/>
      <c r="AQ698" s="383"/>
      <c r="AR698" s="507"/>
      <c r="AS698" s="514"/>
      <c r="AT698" s="514"/>
    </row>
    <row r="699">
      <c r="A699" s="382"/>
      <c r="B699" s="418"/>
      <c r="C699" s="383"/>
      <c r="D699" s="507"/>
      <c r="E699" s="382"/>
      <c r="F699" s="418"/>
      <c r="G699" s="383"/>
      <c r="H699" s="507"/>
      <c r="I699" s="382"/>
      <c r="J699" s="418"/>
      <c r="K699" s="383"/>
      <c r="L699" s="507"/>
      <c r="M699" s="382"/>
      <c r="N699" s="418"/>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8"/>
      <c r="AM699" s="383"/>
      <c r="AN699" s="507"/>
      <c r="AO699" s="382"/>
      <c r="AP699" s="418"/>
      <c r="AQ699" s="383"/>
      <c r="AR699" s="507"/>
      <c r="AS699" s="514"/>
      <c r="AT699" s="514"/>
    </row>
    <row r="700">
      <c r="A700" s="382"/>
      <c r="B700" s="418"/>
      <c r="C700" s="383"/>
      <c r="D700" s="507"/>
      <c r="E700" s="382"/>
      <c r="F700" s="418"/>
      <c r="G700" s="383"/>
      <c r="H700" s="507"/>
      <c r="I700" s="382"/>
      <c r="J700" s="418"/>
      <c r="K700" s="383"/>
      <c r="L700" s="507"/>
      <c r="M700" s="382"/>
      <c r="N700" s="418"/>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8"/>
      <c r="AM700" s="383"/>
      <c r="AN700" s="507"/>
      <c r="AO700" s="382"/>
      <c r="AP700" s="418"/>
      <c r="AQ700" s="383"/>
      <c r="AR700" s="507"/>
      <c r="AS700" s="514"/>
      <c r="AT700" s="514"/>
    </row>
    <row r="701">
      <c r="A701" s="382"/>
      <c r="B701" s="418"/>
      <c r="C701" s="383"/>
      <c r="D701" s="507"/>
      <c r="E701" s="382"/>
      <c r="F701" s="418"/>
      <c r="G701" s="383"/>
      <c r="H701" s="507"/>
      <c r="I701" s="382"/>
      <c r="J701" s="418"/>
      <c r="K701" s="383"/>
      <c r="L701" s="507"/>
      <c r="M701" s="382"/>
      <c r="N701" s="418"/>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8"/>
      <c r="AM701" s="383"/>
      <c r="AN701" s="507"/>
      <c r="AO701" s="382"/>
      <c r="AP701" s="418"/>
      <c r="AQ701" s="383"/>
      <c r="AR701" s="507"/>
      <c r="AS701" s="514"/>
      <c r="AT701" s="514"/>
    </row>
    <row r="702">
      <c r="A702" s="382"/>
      <c r="B702" s="418"/>
      <c r="C702" s="383"/>
      <c r="D702" s="507"/>
      <c r="E702" s="382"/>
      <c r="F702" s="418"/>
      <c r="G702" s="383"/>
      <c r="H702" s="507"/>
      <c r="I702" s="382"/>
      <c r="J702" s="418"/>
      <c r="K702" s="383"/>
      <c r="L702" s="507"/>
      <c r="M702" s="382"/>
      <c r="N702" s="418"/>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8"/>
      <c r="AM702" s="383"/>
      <c r="AN702" s="507"/>
      <c r="AO702" s="382"/>
      <c r="AP702" s="418"/>
      <c r="AQ702" s="383"/>
      <c r="AR702" s="507"/>
      <c r="AS702" s="514"/>
      <c r="AT702" s="514"/>
    </row>
    <row r="703">
      <c r="A703" s="382"/>
      <c r="B703" s="418"/>
      <c r="C703" s="383"/>
      <c r="D703" s="507"/>
      <c r="E703" s="382"/>
      <c r="F703" s="418"/>
      <c r="G703" s="383"/>
      <c r="H703" s="507"/>
      <c r="I703" s="382"/>
      <c r="J703" s="418"/>
      <c r="K703" s="383"/>
      <c r="L703" s="507"/>
      <c r="M703" s="382"/>
      <c r="N703" s="418"/>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8"/>
      <c r="AM703" s="383"/>
      <c r="AN703" s="507"/>
      <c r="AO703" s="382"/>
      <c r="AP703" s="418"/>
      <c r="AQ703" s="383"/>
      <c r="AR703" s="507"/>
      <c r="AS703" s="514"/>
      <c r="AT703" s="514"/>
    </row>
    <row r="704">
      <c r="A704" s="382"/>
      <c r="B704" s="418"/>
      <c r="C704" s="383"/>
      <c r="D704" s="507"/>
      <c r="E704" s="382"/>
      <c r="F704" s="418"/>
      <c r="G704" s="383"/>
      <c r="H704" s="507"/>
      <c r="I704" s="382"/>
      <c r="J704" s="418"/>
      <c r="K704" s="383"/>
      <c r="L704" s="507"/>
      <c r="M704" s="382"/>
      <c r="N704" s="418"/>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8"/>
      <c r="AM704" s="383"/>
      <c r="AN704" s="507"/>
      <c r="AO704" s="382"/>
      <c r="AP704" s="418"/>
      <c r="AQ704" s="383"/>
      <c r="AR704" s="507"/>
      <c r="AS704" s="514"/>
      <c r="AT704" s="514"/>
    </row>
    <row r="705">
      <c r="A705" s="382"/>
      <c r="B705" s="418"/>
      <c r="C705" s="383"/>
      <c r="D705" s="507"/>
      <c r="E705" s="382"/>
      <c r="F705" s="418"/>
      <c r="G705" s="383"/>
      <c r="H705" s="507"/>
      <c r="I705" s="382"/>
      <c r="J705" s="418"/>
      <c r="K705" s="383"/>
      <c r="L705" s="507"/>
      <c r="M705" s="382"/>
      <c r="N705" s="418"/>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8"/>
      <c r="AM705" s="383"/>
      <c r="AN705" s="507"/>
      <c r="AO705" s="382"/>
      <c r="AP705" s="418"/>
      <c r="AQ705" s="383"/>
      <c r="AR705" s="507"/>
      <c r="AS705" s="514"/>
      <c r="AT705" s="514"/>
    </row>
    <row r="706">
      <c r="A706" s="382"/>
      <c r="B706" s="418"/>
      <c r="C706" s="383"/>
      <c r="D706" s="507"/>
      <c r="E706" s="382"/>
      <c r="F706" s="418"/>
      <c r="G706" s="383"/>
      <c r="H706" s="507"/>
      <c r="I706" s="382"/>
      <c r="J706" s="418"/>
      <c r="K706" s="383"/>
      <c r="L706" s="507"/>
      <c r="M706" s="382"/>
      <c r="N706" s="418"/>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8"/>
      <c r="AM706" s="383"/>
      <c r="AN706" s="507"/>
      <c r="AO706" s="382"/>
      <c r="AP706" s="418"/>
      <c r="AQ706" s="383"/>
      <c r="AR706" s="507"/>
      <c r="AS706" s="514"/>
      <c r="AT706" s="514"/>
    </row>
    <row r="707">
      <c r="A707" s="382"/>
      <c r="B707" s="418"/>
      <c r="C707" s="383"/>
      <c r="D707" s="507"/>
      <c r="E707" s="382"/>
      <c r="F707" s="418"/>
      <c r="G707" s="383"/>
      <c r="H707" s="507"/>
      <c r="I707" s="382"/>
      <c r="J707" s="418"/>
      <c r="K707" s="383"/>
      <c r="L707" s="507"/>
      <c r="M707" s="382"/>
      <c r="N707" s="418"/>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8"/>
      <c r="AM707" s="383"/>
      <c r="AN707" s="507"/>
      <c r="AO707" s="382"/>
      <c r="AP707" s="418"/>
      <c r="AQ707" s="383"/>
      <c r="AR707" s="507"/>
      <c r="AS707" s="514"/>
      <c r="AT707" s="514"/>
    </row>
    <row r="708">
      <c r="A708" s="382"/>
      <c r="B708" s="418"/>
      <c r="C708" s="383"/>
      <c r="D708" s="507"/>
      <c r="E708" s="382"/>
      <c r="F708" s="418"/>
      <c r="G708" s="383"/>
      <c r="H708" s="507"/>
      <c r="I708" s="382"/>
      <c r="J708" s="418"/>
      <c r="K708" s="383"/>
      <c r="L708" s="507"/>
      <c r="M708" s="382"/>
      <c r="N708" s="418"/>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8"/>
      <c r="AM708" s="383"/>
      <c r="AN708" s="507"/>
      <c r="AO708" s="382"/>
      <c r="AP708" s="418"/>
      <c r="AQ708" s="383"/>
      <c r="AR708" s="507"/>
      <c r="AS708" s="514"/>
      <c r="AT708" s="514"/>
    </row>
    <row r="709">
      <c r="A709" s="382"/>
      <c r="B709" s="418"/>
      <c r="C709" s="383"/>
      <c r="D709" s="507"/>
      <c r="E709" s="382"/>
      <c r="F709" s="418"/>
      <c r="G709" s="383"/>
      <c r="H709" s="507"/>
      <c r="I709" s="382"/>
      <c r="J709" s="418"/>
      <c r="K709" s="383"/>
      <c r="L709" s="507"/>
      <c r="M709" s="382"/>
      <c r="N709" s="418"/>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8"/>
      <c r="AM709" s="383"/>
      <c r="AN709" s="507"/>
      <c r="AO709" s="382"/>
      <c r="AP709" s="418"/>
      <c r="AQ709" s="383"/>
      <c r="AR709" s="507"/>
      <c r="AS709" s="514"/>
      <c r="AT709" s="514"/>
    </row>
    <row r="710">
      <c r="A710" s="382"/>
      <c r="B710" s="418"/>
      <c r="C710" s="383"/>
      <c r="D710" s="507"/>
      <c r="E710" s="382"/>
      <c r="F710" s="418"/>
      <c r="G710" s="383"/>
      <c r="H710" s="507"/>
      <c r="I710" s="382"/>
      <c r="J710" s="418"/>
      <c r="K710" s="383"/>
      <c r="L710" s="507"/>
      <c r="M710" s="382"/>
      <c r="N710" s="418"/>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8"/>
      <c r="AM710" s="383"/>
      <c r="AN710" s="507"/>
      <c r="AO710" s="382"/>
      <c r="AP710" s="418"/>
      <c r="AQ710" s="383"/>
      <c r="AR710" s="507"/>
      <c r="AS710" s="514"/>
      <c r="AT710" s="514"/>
    </row>
    <row r="711">
      <c r="A711" s="382"/>
      <c r="B711" s="418"/>
      <c r="C711" s="383"/>
      <c r="D711" s="507"/>
      <c r="E711" s="382"/>
      <c r="F711" s="418"/>
      <c r="G711" s="383"/>
      <c r="H711" s="507"/>
      <c r="I711" s="382"/>
      <c r="J711" s="418"/>
      <c r="K711" s="383"/>
      <c r="L711" s="507"/>
      <c r="M711" s="382"/>
      <c r="N711" s="418"/>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8"/>
      <c r="AM711" s="383"/>
      <c r="AN711" s="507"/>
      <c r="AO711" s="382"/>
      <c r="AP711" s="418"/>
      <c r="AQ711" s="383"/>
      <c r="AR711" s="507"/>
      <c r="AS711" s="514"/>
      <c r="AT711" s="514"/>
    </row>
    <row r="712">
      <c r="A712" s="382"/>
      <c r="B712" s="418"/>
      <c r="C712" s="383"/>
      <c r="D712" s="507"/>
      <c r="E712" s="382"/>
      <c r="F712" s="418"/>
      <c r="G712" s="383"/>
      <c r="H712" s="507"/>
      <c r="I712" s="382"/>
      <c r="J712" s="418"/>
      <c r="K712" s="383"/>
      <c r="L712" s="507"/>
      <c r="M712" s="382"/>
      <c r="N712" s="418"/>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8"/>
      <c r="AM712" s="383"/>
      <c r="AN712" s="507"/>
      <c r="AO712" s="382"/>
      <c r="AP712" s="418"/>
      <c r="AQ712" s="383"/>
      <c r="AR712" s="507"/>
      <c r="AS712" s="514"/>
      <c r="AT712" s="514"/>
    </row>
    <row r="713">
      <c r="A713" s="382"/>
      <c r="B713" s="418"/>
      <c r="C713" s="383"/>
      <c r="D713" s="507"/>
      <c r="E713" s="382"/>
      <c r="F713" s="418"/>
      <c r="G713" s="383"/>
      <c r="H713" s="507"/>
      <c r="I713" s="382"/>
      <c r="J713" s="418"/>
      <c r="K713" s="383"/>
      <c r="L713" s="507"/>
      <c r="M713" s="382"/>
      <c r="N713" s="418"/>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8"/>
      <c r="AM713" s="383"/>
      <c r="AN713" s="507"/>
      <c r="AO713" s="382"/>
      <c r="AP713" s="418"/>
      <c r="AQ713" s="383"/>
      <c r="AR713" s="507"/>
      <c r="AS713" s="514"/>
      <c r="AT713" s="514"/>
    </row>
    <row r="714">
      <c r="A714" s="382"/>
      <c r="B714" s="418"/>
      <c r="C714" s="383"/>
      <c r="D714" s="507"/>
      <c r="E714" s="382"/>
      <c r="F714" s="418"/>
      <c r="G714" s="383"/>
      <c r="H714" s="507"/>
      <c r="I714" s="382"/>
      <c r="J714" s="418"/>
      <c r="K714" s="383"/>
      <c r="L714" s="507"/>
      <c r="M714" s="382"/>
      <c r="N714" s="418"/>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8"/>
      <c r="AM714" s="383"/>
      <c r="AN714" s="507"/>
      <c r="AO714" s="382"/>
      <c r="AP714" s="418"/>
      <c r="AQ714" s="383"/>
      <c r="AR714" s="507"/>
      <c r="AS714" s="514"/>
      <c r="AT714" s="514"/>
    </row>
    <row r="715">
      <c r="A715" s="382"/>
      <c r="B715" s="418"/>
      <c r="C715" s="383"/>
      <c r="D715" s="507"/>
      <c r="E715" s="382"/>
      <c r="F715" s="418"/>
      <c r="G715" s="383"/>
      <c r="H715" s="507"/>
      <c r="I715" s="382"/>
      <c r="J715" s="418"/>
      <c r="K715" s="383"/>
      <c r="L715" s="507"/>
      <c r="M715" s="382"/>
      <c r="N715" s="418"/>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8"/>
      <c r="AM715" s="383"/>
      <c r="AN715" s="507"/>
      <c r="AO715" s="382"/>
      <c r="AP715" s="418"/>
      <c r="AQ715" s="383"/>
      <c r="AR715" s="507"/>
      <c r="AS715" s="514"/>
      <c r="AT715" s="514"/>
    </row>
    <row r="716">
      <c r="A716" s="382"/>
      <c r="B716" s="418"/>
      <c r="C716" s="383"/>
      <c r="D716" s="507"/>
      <c r="E716" s="382"/>
      <c r="F716" s="418"/>
      <c r="G716" s="383"/>
      <c r="H716" s="507"/>
      <c r="I716" s="382"/>
      <c r="J716" s="418"/>
      <c r="K716" s="383"/>
      <c r="L716" s="507"/>
      <c r="M716" s="382"/>
      <c r="N716" s="418"/>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8"/>
      <c r="AM716" s="383"/>
      <c r="AN716" s="507"/>
      <c r="AO716" s="382"/>
      <c r="AP716" s="418"/>
      <c r="AQ716" s="383"/>
      <c r="AR716" s="507"/>
      <c r="AS716" s="514"/>
      <c r="AT716" s="514"/>
    </row>
    <row r="717">
      <c r="A717" s="382"/>
      <c r="B717" s="418"/>
      <c r="C717" s="383"/>
      <c r="D717" s="507"/>
      <c r="E717" s="382"/>
      <c r="F717" s="418"/>
      <c r="G717" s="383"/>
      <c r="H717" s="507"/>
      <c r="I717" s="382"/>
      <c r="J717" s="418"/>
      <c r="K717" s="383"/>
      <c r="L717" s="507"/>
      <c r="M717" s="382"/>
      <c r="N717" s="418"/>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8"/>
      <c r="AM717" s="383"/>
      <c r="AN717" s="507"/>
      <c r="AO717" s="382"/>
      <c r="AP717" s="418"/>
      <c r="AQ717" s="383"/>
      <c r="AR717" s="507"/>
      <c r="AS717" s="514"/>
      <c r="AT717" s="514"/>
    </row>
    <row r="718">
      <c r="A718" s="382"/>
      <c r="B718" s="418"/>
      <c r="C718" s="383"/>
      <c r="D718" s="507"/>
      <c r="E718" s="382"/>
      <c r="F718" s="418"/>
      <c r="G718" s="383"/>
      <c r="H718" s="507"/>
      <c r="I718" s="382"/>
      <c r="J718" s="418"/>
      <c r="K718" s="383"/>
      <c r="L718" s="507"/>
      <c r="M718" s="382"/>
      <c r="N718" s="418"/>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8"/>
      <c r="AM718" s="383"/>
      <c r="AN718" s="507"/>
      <c r="AO718" s="382"/>
      <c r="AP718" s="418"/>
      <c r="AQ718" s="383"/>
      <c r="AR718" s="507"/>
      <c r="AS718" s="514"/>
      <c r="AT718" s="514"/>
    </row>
    <row r="719">
      <c r="A719" s="382"/>
      <c r="B719" s="418"/>
      <c r="C719" s="383"/>
      <c r="D719" s="507"/>
      <c r="E719" s="382"/>
      <c r="F719" s="418"/>
      <c r="G719" s="383"/>
      <c r="H719" s="507"/>
      <c r="I719" s="382"/>
      <c r="J719" s="418"/>
      <c r="K719" s="383"/>
      <c r="L719" s="507"/>
      <c r="M719" s="382"/>
      <c r="N719" s="418"/>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8"/>
      <c r="AM719" s="383"/>
      <c r="AN719" s="507"/>
      <c r="AO719" s="382"/>
      <c r="AP719" s="418"/>
      <c r="AQ719" s="383"/>
      <c r="AR719" s="507"/>
      <c r="AS719" s="514"/>
      <c r="AT719" s="514"/>
    </row>
    <row r="720">
      <c r="A720" s="382"/>
      <c r="B720" s="418"/>
      <c r="C720" s="383"/>
      <c r="D720" s="507"/>
      <c r="E720" s="382"/>
      <c r="F720" s="418"/>
      <c r="G720" s="383"/>
      <c r="H720" s="507"/>
      <c r="I720" s="382"/>
      <c r="J720" s="418"/>
      <c r="K720" s="383"/>
      <c r="L720" s="507"/>
      <c r="M720" s="382"/>
      <c r="N720" s="418"/>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8"/>
      <c r="AM720" s="383"/>
      <c r="AN720" s="507"/>
      <c r="AO720" s="382"/>
      <c r="AP720" s="418"/>
      <c r="AQ720" s="383"/>
      <c r="AR720" s="507"/>
      <c r="AS720" s="514"/>
      <c r="AT720" s="514"/>
    </row>
    <row r="721">
      <c r="A721" s="382"/>
      <c r="B721" s="418"/>
      <c r="C721" s="383"/>
      <c r="D721" s="507"/>
      <c r="E721" s="382"/>
      <c r="F721" s="418"/>
      <c r="G721" s="383"/>
      <c r="H721" s="507"/>
      <c r="I721" s="382"/>
      <c r="J721" s="418"/>
      <c r="K721" s="383"/>
      <c r="L721" s="507"/>
      <c r="M721" s="382"/>
      <c r="N721" s="418"/>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8"/>
      <c r="AM721" s="383"/>
      <c r="AN721" s="507"/>
      <c r="AO721" s="382"/>
      <c r="AP721" s="418"/>
      <c r="AQ721" s="383"/>
      <c r="AR721" s="507"/>
      <c r="AS721" s="514"/>
      <c r="AT721" s="514"/>
    </row>
    <row r="722">
      <c r="A722" s="382"/>
      <c r="B722" s="418"/>
      <c r="C722" s="383"/>
      <c r="D722" s="507"/>
      <c r="E722" s="382"/>
      <c r="F722" s="418"/>
      <c r="G722" s="383"/>
      <c r="H722" s="507"/>
      <c r="I722" s="382"/>
      <c r="J722" s="418"/>
      <c r="K722" s="383"/>
      <c r="L722" s="507"/>
      <c r="M722" s="382"/>
      <c r="N722" s="418"/>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8"/>
      <c r="AM722" s="383"/>
      <c r="AN722" s="507"/>
      <c r="AO722" s="382"/>
      <c r="AP722" s="418"/>
      <c r="AQ722" s="383"/>
      <c r="AR722" s="507"/>
      <c r="AS722" s="514"/>
      <c r="AT722" s="514"/>
    </row>
    <row r="723">
      <c r="A723" s="382"/>
      <c r="B723" s="418"/>
      <c r="C723" s="383"/>
      <c r="D723" s="507"/>
      <c r="E723" s="382"/>
      <c r="F723" s="418"/>
      <c r="G723" s="383"/>
      <c r="H723" s="507"/>
      <c r="I723" s="382"/>
      <c r="J723" s="418"/>
      <c r="K723" s="383"/>
      <c r="L723" s="507"/>
      <c r="M723" s="382"/>
      <c r="N723" s="418"/>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8"/>
      <c r="AM723" s="383"/>
      <c r="AN723" s="507"/>
      <c r="AO723" s="382"/>
      <c r="AP723" s="418"/>
      <c r="AQ723" s="383"/>
      <c r="AR723" s="507"/>
      <c r="AS723" s="514"/>
      <c r="AT723" s="514"/>
    </row>
    <row r="724">
      <c r="A724" s="382"/>
      <c r="B724" s="418"/>
      <c r="C724" s="383"/>
      <c r="D724" s="507"/>
      <c r="E724" s="382"/>
      <c r="F724" s="418"/>
      <c r="G724" s="383"/>
      <c r="H724" s="507"/>
      <c r="I724" s="382"/>
      <c r="J724" s="418"/>
      <c r="K724" s="383"/>
      <c r="L724" s="507"/>
      <c r="M724" s="382"/>
      <c r="N724" s="418"/>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8"/>
      <c r="AM724" s="383"/>
      <c r="AN724" s="507"/>
      <c r="AO724" s="382"/>
      <c r="AP724" s="418"/>
      <c r="AQ724" s="383"/>
      <c r="AR724" s="507"/>
      <c r="AS724" s="514"/>
      <c r="AT724" s="514"/>
    </row>
    <row r="725">
      <c r="A725" s="382"/>
      <c r="B725" s="418"/>
      <c r="C725" s="383"/>
      <c r="D725" s="507"/>
      <c r="E725" s="382"/>
      <c r="F725" s="418"/>
      <c r="G725" s="383"/>
      <c r="H725" s="507"/>
      <c r="I725" s="382"/>
      <c r="J725" s="418"/>
      <c r="K725" s="383"/>
      <c r="L725" s="507"/>
      <c r="M725" s="382"/>
      <c r="N725" s="418"/>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8"/>
      <c r="AM725" s="383"/>
      <c r="AN725" s="507"/>
      <c r="AO725" s="382"/>
      <c r="AP725" s="418"/>
      <c r="AQ725" s="383"/>
      <c r="AR725" s="507"/>
      <c r="AS725" s="514"/>
      <c r="AT725" s="514"/>
    </row>
    <row r="726">
      <c r="A726" s="382"/>
      <c r="B726" s="418"/>
      <c r="C726" s="383"/>
      <c r="D726" s="507"/>
      <c r="E726" s="382"/>
      <c r="F726" s="418"/>
      <c r="G726" s="383"/>
      <c r="H726" s="507"/>
      <c r="I726" s="382"/>
      <c r="J726" s="418"/>
      <c r="K726" s="383"/>
      <c r="L726" s="507"/>
      <c r="M726" s="382"/>
      <c r="N726" s="418"/>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8"/>
      <c r="AM726" s="383"/>
      <c r="AN726" s="507"/>
      <c r="AO726" s="382"/>
      <c r="AP726" s="418"/>
      <c r="AQ726" s="383"/>
      <c r="AR726" s="507"/>
      <c r="AS726" s="514"/>
      <c r="AT726" s="514"/>
    </row>
    <row r="727">
      <c r="A727" s="382"/>
      <c r="B727" s="418"/>
      <c r="C727" s="383"/>
      <c r="D727" s="507"/>
      <c r="E727" s="382"/>
      <c r="F727" s="418"/>
      <c r="G727" s="383"/>
      <c r="H727" s="507"/>
      <c r="I727" s="382"/>
      <c r="J727" s="418"/>
      <c r="K727" s="383"/>
      <c r="L727" s="507"/>
      <c r="M727" s="382"/>
      <c r="N727" s="418"/>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8"/>
      <c r="AM727" s="383"/>
      <c r="AN727" s="507"/>
      <c r="AO727" s="382"/>
      <c r="AP727" s="418"/>
      <c r="AQ727" s="383"/>
      <c r="AR727" s="507"/>
      <c r="AS727" s="514"/>
      <c r="AT727" s="514"/>
    </row>
    <row r="728">
      <c r="A728" s="382"/>
      <c r="B728" s="418"/>
      <c r="C728" s="383"/>
      <c r="D728" s="507"/>
      <c r="E728" s="382"/>
      <c r="F728" s="418"/>
      <c r="G728" s="383"/>
      <c r="H728" s="507"/>
      <c r="I728" s="382"/>
      <c r="J728" s="418"/>
      <c r="K728" s="383"/>
      <c r="L728" s="507"/>
      <c r="M728" s="382"/>
      <c r="N728" s="418"/>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8"/>
      <c r="AM728" s="383"/>
      <c r="AN728" s="507"/>
      <c r="AO728" s="382"/>
      <c r="AP728" s="418"/>
      <c r="AQ728" s="383"/>
      <c r="AR728" s="507"/>
      <c r="AS728" s="514"/>
      <c r="AT728" s="514"/>
    </row>
    <row r="729">
      <c r="A729" s="382"/>
      <c r="B729" s="418"/>
      <c r="C729" s="383"/>
      <c r="D729" s="507"/>
      <c r="E729" s="382"/>
      <c r="F729" s="418"/>
      <c r="G729" s="383"/>
      <c r="H729" s="507"/>
      <c r="I729" s="382"/>
      <c r="J729" s="418"/>
      <c r="K729" s="383"/>
      <c r="L729" s="507"/>
      <c r="M729" s="382"/>
      <c r="N729" s="418"/>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8"/>
      <c r="AM729" s="383"/>
      <c r="AN729" s="507"/>
      <c r="AO729" s="382"/>
      <c r="AP729" s="418"/>
      <c r="AQ729" s="383"/>
      <c r="AR729" s="507"/>
      <c r="AS729" s="514"/>
      <c r="AT729" s="514"/>
    </row>
    <row r="730">
      <c r="A730" s="382"/>
      <c r="B730" s="418"/>
      <c r="C730" s="383"/>
      <c r="D730" s="507"/>
      <c r="E730" s="382"/>
      <c r="F730" s="418"/>
      <c r="G730" s="383"/>
      <c r="H730" s="507"/>
      <c r="I730" s="382"/>
      <c r="J730" s="418"/>
      <c r="K730" s="383"/>
      <c r="L730" s="507"/>
      <c r="M730" s="382"/>
      <c r="N730" s="418"/>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8"/>
      <c r="AM730" s="383"/>
      <c r="AN730" s="507"/>
      <c r="AO730" s="382"/>
      <c r="AP730" s="418"/>
      <c r="AQ730" s="383"/>
      <c r="AR730" s="507"/>
      <c r="AS730" s="514"/>
      <c r="AT730" s="514"/>
    </row>
    <row r="731">
      <c r="A731" s="382"/>
      <c r="B731" s="418"/>
      <c r="C731" s="383"/>
      <c r="D731" s="507"/>
      <c r="E731" s="382"/>
      <c r="F731" s="418"/>
      <c r="G731" s="383"/>
      <c r="H731" s="507"/>
      <c r="I731" s="382"/>
      <c r="J731" s="418"/>
      <c r="K731" s="383"/>
      <c r="L731" s="507"/>
      <c r="M731" s="382"/>
      <c r="N731" s="418"/>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8"/>
      <c r="AM731" s="383"/>
      <c r="AN731" s="507"/>
      <c r="AO731" s="382"/>
      <c r="AP731" s="418"/>
      <c r="AQ731" s="383"/>
      <c r="AR731" s="507"/>
      <c r="AS731" s="514"/>
      <c r="AT731" s="514"/>
    </row>
    <row r="732">
      <c r="A732" s="382"/>
      <c r="B732" s="418"/>
      <c r="C732" s="383"/>
      <c r="D732" s="507"/>
      <c r="E732" s="382"/>
      <c r="F732" s="418"/>
      <c r="G732" s="383"/>
      <c r="H732" s="507"/>
      <c r="I732" s="382"/>
      <c r="J732" s="418"/>
      <c r="K732" s="383"/>
      <c r="L732" s="507"/>
      <c r="M732" s="382"/>
      <c r="N732" s="418"/>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8"/>
      <c r="AM732" s="383"/>
      <c r="AN732" s="507"/>
      <c r="AO732" s="382"/>
      <c r="AP732" s="418"/>
      <c r="AQ732" s="383"/>
      <c r="AR732" s="507"/>
      <c r="AS732" s="514"/>
      <c r="AT732" s="514"/>
    </row>
    <row r="733">
      <c r="A733" s="382"/>
      <c r="B733" s="418"/>
      <c r="C733" s="383"/>
      <c r="D733" s="507"/>
      <c r="E733" s="382"/>
      <c r="F733" s="418"/>
      <c r="G733" s="383"/>
      <c r="H733" s="507"/>
      <c r="I733" s="382"/>
      <c r="J733" s="418"/>
      <c r="K733" s="383"/>
      <c r="L733" s="507"/>
      <c r="M733" s="382"/>
      <c r="N733" s="418"/>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8"/>
      <c r="AM733" s="383"/>
      <c r="AN733" s="507"/>
      <c r="AO733" s="382"/>
      <c r="AP733" s="418"/>
      <c r="AQ733" s="383"/>
      <c r="AR733" s="507"/>
      <c r="AS733" s="514"/>
      <c r="AT733" s="514"/>
    </row>
    <row r="734">
      <c r="A734" s="382"/>
      <c r="B734" s="418"/>
      <c r="C734" s="383"/>
      <c r="D734" s="507"/>
      <c r="E734" s="382"/>
      <c r="F734" s="418"/>
      <c r="G734" s="383"/>
      <c r="H734" s="507"/>
      <c r="I734" s="382"/>
      <c r="J734" s="418"/>
      <c r="K734" s="383"/>
      <c r="L734" s="507"/>
      <c r="M734" s="382"/>
      <c r="N734" s="418"/>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8"/>
      <c r="AM734" s="383"/>
      <c r="AN734" s="507"/>
      <c r="AO734" s="382"/>
      <c r="AP734" s="418"/>
      <c r="AQ734" s="383"/>
      <c r="AR734" s="507"/>
      <c r="AS734" s="514"/>
      <c r="AT734" s="514"/>
    </row>
    <row r="735">
      <c r="A735" s="382"/>
      <c r="B735" s="418"/>
      <c r="C735" s="383"/>
      <c r="D735" s="507"/>
      <c r="E735" s="382"/>
      <c r="F735" s="418"/>
      <c r="G735" s="383"/>
      <c r="H735" s="507"/>
      <c r="I735" s="382"/>
      <c r="J735" s="418"/>
      <c r="K735" s="383"/>
      <c r="L735" s="507"/>
      <c r="M735" s="382"/>
      <c r="N735" s="418"/>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8"/>
      <c r="AM735" s="383"/>
      <c r="AN735" s="507"/>
      <c r="AO735" s="382"/>
      <c r="AP735" s="418"/>
      <c r="AQ735" s="383"/>
      <c r="AR735" s="507"/>
      <c r="AS735" s="514"/>
      <c r="AT735" s="514"/>
    </row>
    <row r="736">
      <c r="A736" s="382"/>
      <c r="B736" s="418"/>
      <c r="C736" s="383"/>
      <c r="D736" s="507"/>
      <c r="E736" s="382"/>
      <c r="F736" s="418"/>
      <c r="G736" s="383"/>
      <c r="H736" s="507"/>
      <c r="I736" s="382"/>
      <c r="J736" s="418"/>
      <c r="K736" s="383"/>
      <c r="L736" s="507"/>
      <c r="M736" s="382"/>
      <c r="N736" s="418"/>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8"/>
      <c r="AM736" s="383"/>
      <c r="AN736" s="507"/>
      <c r="AO736" s="382"/>
      <c r="AP736" s="418"/>
      <c r="AQ736" s="383"/>
      <c r="AR736" s="507"/>
      <c r="AS736" s="514"/>
      <c r="AT736" s="514"/>
    </row>
    <row r="737">
      <c r="A737" s="382"/>
      <c r="B737" s="418"/>
      <c r="C737" s="383"/>
      <c r="D737" s="507"/>
      <c r="E737" s="382"/>
      <c r="F737" s="418"/>
      <c r="G737" s="383"/>
      <c r="H737" s="507"/>
      <c r="I737" s="382"/>
      <c r="J737" s="418"/>
      <c r="K737" s="383"/>
      <c r="L737" s="507"/>
      <c r="M737" s="382"/>
      <c r="N737" s="418"/>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8"/>
      <c r="AM737" s="383"/>
      <c r="AN737" s="507"/>
      <c r="AO737" s="382"/>
      <c r="AP737" s="418"/>
      <c r="AQ737" s="383"/>
      <c r="AR737" s="507"/>
      <c r="AS737" s="514"/>
      <c r="AT737" s="514"/>
    </row>
    <row r="738">
      <c r="A738" s="382"/>
      <c r="B738" s="418"/>
      <c r="C738" s="383"/>
      <c r="D738" s="507"/>
      <c r="E738" s="382"/>
      <c r="F738" s="418"/>
      <c r="G738" s="383"/>
      <c r="H738" s="507"/>
      <c r="I738" s="382"/>
      <c r="J738" s="418"/>
      <c r="K738" s="383"/>
      <c r="L738" s="507"/>
      <c r="M738" s="382"/>
      <c r="N738" s="418"/>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8"/>
      <c r="AM738" s="383"/>
      <c r="AN738" s="507"/>
      <c r="AO738" s="382"/>
      <c r="AP738" s="418"/>
      <c r="AQ738" s="383"/>
      <c r="AR738" s="507"/>
      <c r="AS738" s="514"/>
      <c r="AT738" s="514"/>
    </row>
    <row r="739">
      <c r="A739" s="382"/>
      <c r="B739" s="418"/>
      <c r="C739" s="383"/>
      <c r="D739" s="507"/>
      <c r="E739" s="382"/>
      <c r="F739" s="418"/>
      <c r="G739" s="383"/>
      <c r="H739" s="507"/>
      <c r="I739" s="382"/>
      <c r="J739" s="418"/>
      <c r="K739" s="383"/>
      <c r="L739" s="507"/>
      <c r="M739" s="382"/>
      <c r="N739" s="418"/>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8"/>
      <c r="AM739" s="383"/>
      <c r="AN739" s="507"/>
      <c r="AO739" s="382"/>
      <c r="AP739" s="418"/>
      <c r="AQ739" s="383"/>
      <c r="AR739" s="507"/>
      <c r="AS739" s="514"/>
      <c r="AT739" s="514"/>
    </row>
    <row r="740">
      <c r="A740" s="382"/>
      <c r="B740" s="418"/>
      <c r="C740" s="383"/>
      <c r="D740" s="507"/>
      <c r="E740" s="382"/>
      <c r="F740" s="418"/>
      <c r="G740" s="383"/>
      <c r="H740" s="507"/>
      <c r="I740" s="382"/>
      <c r="J740" s="418"/>
      <c r="K740" s="383"/>
      <c r="L740" s="507"/>
      <c r="M740" s="382"/>
      <c r="N740" s="418"/>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8"/>
      <c r="AM740" s="383"/>
      <c r="AN740" s="507"/>
      <c r="AO740" s="382"/>
      <c r="AP740" s="418"/>
      <c r="AQ740" s="383"/>
      <c r="AR740" s="507"/>
      <c r="AS740" s="514"/>
      <c r="AT740" s="514"/>
    </row>
    <row r="741">
      <c r="A741" s="382"/>
      <c r="B741" s="418"/>
      <c r="C741" s="383"/>
      <c r="D741" s="507"/>
      <c r="E741" s="382"/>
      <c r="F741" s="418"/>
      <c r="G741" s="383"/>
      <c r="H741" s="507"/>
      <c r="I741" s="382"/>
      <c r="J741" s="418"/>
      <c r="K741" s="383"/>
      <c r="L741" s="507"/>
      <c r="M741" s="382"/>
      <c r="N741" s="418"/>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8"/>
      <c r="AM741" s="383"/>
      <c r="AN741" s="507"/>
      <c r="AO741" s="382"/>
      <c r="AP741" s="418"/>
      <c r="AQ741" s="383"/>
      <c r="AR741" s="507"/>
      <c r="AS741" s="514"/>
      <c r="AT741" s="514"/>
    </row>
    <row r="742">
      <c r="A742" s="382"/>
      <c r="B742" s="418"/>
      <c r="C742" s="383"/>
      <c r="D742" s="507"/>
      <c r="E742" s="382"/>
      <c r="F742" s="418"/>
      <c r="G742" s="383"/>
      <c r="H742" s="507"/>
      <c r="I742" s="382"/>
      <c r="J742" s="418"/>
      <c r="K742" s="383"/>
      <c r="L742" s="507"/>
      <c r="M742" s="382"/>
      <c r="N742" s="418"/>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8"/>
      <c r="AM742" s="383"/>
      <c r="AN742" s="507"/>
      <c r="AO742" s="382"/>
      <c r="AP742" s="418"/>
      <c r="AQ742" s="383"/>
      <c r="AR742" s="507"/>
      <c r="AS742" s="514"/>
      <c r="AT742" s="514"/>
    </row>
    <row r="743">
      <c r="A743" s="382"/>
      <c r="B743" s="418"/>
      <c r="C743" s="383"/>
      <c r="D743" s="507"/>
      <c r="E743" s="382"/>
      <c r="F743" s="418"/>
      <c r="G743" s="383"/>
      <c r="H743" s="507"/>
      <c r="I743" s="382"/>
      <c r="J743" s="418"/>
      <c r="K743" s="383"/>
      <c r="L743" s="507"/>
      <c r="M743" s="382"/>
      <c r="N743" s="418"/>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8"/>
      <c r="AM743" s="383"/>
      <c r="AN743" s="507"/>
      <c r="AO743" s="382"/>
      <c r="AP743" s="418"/>
      <c r="AQ743" s="383"/>
      <c r="AR743" s="507"/>
      <c r="AS743" s="514"/>
      <c r="AT743" s="514"/>
    </row>
    <row r="744">
      <c r="A744" s="382"/>
      <c r="B744" s="418"/>
      <c r="C744" s="383"/>
      <c r="D744" s="507"/>
      <c r="E744" s="382"/>
      <c r="F744" s="418"/>
      <c r="G744" s="383"/>
      <c r="H744" s="507"/>
      <c r="I744" s="382"/>
      <c r="J744" s="418"/>
      <c r="K744" s="383"/>
      <c r="L744" s="507"/>
      <c r="M744" s="382"/>
      <c r="N744" s="418"/>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8"/>
      <c r="AM744" s="383"/>
      <c r="AN744" s="507"/>
      <c r="AO744" s="382"/>
      <c r="AP744" s="418"/>
      <c r="AQ744" s="383"/>
      <c r="AR744" s="507"/>
      <c r="AS744" s="514"/>
      <c r="AT744" s="514"/>
    </row>
    <row r="745">
      <c r="A745" s="382"/>
      <c r="B745" s="418"/>
      <c r="C745" s="383"/>
      <c r="D745" s="507"/>
      <c r="E745" s="382"/>
      <c r="F745" s="418"/>
      <c r="G745" s="383"/>
      <c r="H745" s="507"/>
      <c r="I745" s="382"/>
      <c r="J745" s="418"/>
      <c r="K745" s="383"/>
      <c r="L745" s="507"/>
      <c r="M745" s="382"/>
      <c r="N745" s="418"/>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8"/>
      <c r="AM745" s="383"/>
      <c r="AN745" s="507"/>
      <c r="AO745" s="382"/>
      <c r="AP745" s="418"/>
      <c r="AQ745" s="383"/>
      <c r="AR745" s="507"/>
      <c r="AS745" s="514"/>
      <c r="AT745" s="514"/>
    </row>
    <row r="746">
      <c r="A746" s="382"/>
      <c r="B746" s="418"/>
      <c r="C746" s="383"/>
      <c r="D746" s="507"/>
      <c r="E746" s="382"/>
      <c r="F746" s="418"/>
      <c r="G746" s="383"/>
      <c r="H746" s="507"/>
      <c r="I746" s="382"/>
      <c r="J746" s="418"/>
      <c r="K746" s="383"/>
      <c r="L746" s="507"/>
      <c r="M746" s="382"/>
      <c r="N746" s="418"/>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8"/>
      <c r="AM746" s="383"/>
      <c r="AN746" s="507"/>
      <c r="AO746" s="382"/>
      <c r="AP746" s="418"/>
      <c r="AQ746" s="383"/>
      <c r="AR746" s="507"/>
      <c r="AS746" s="514"/>
      <c r="AT746" s="514"/>
    </row>
    <row r="747">
      <c r="A747" s="382"/>
      <c r="B747" s="418"/>
      <c r="C747" s="383"/>
      <c r="D747" s="507"/>
      <c r="E747" s="382"/>
      <c r="F747" s="418"/>
      <c r="G747" s="383"/>
      <c r="H747" s="507"/>
      <c r="I747" s="382"/>
      <c r="J747" s="418"/>
      <c r="K747" s="383"/>
      <c r="L747" s="507"/>
      <c r="M747" s="382"/>
      <c r="N747" s="418"/>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8"/>
      <c r="AM747" s="383"/>
      <c r="AN747" s="507"/>
      <c r="AO747" s="382"/>
      <c r="AP747" s="418"/>
      <c r="AQ747" s="383"/>
      <c r="AR747" s="507"/>
      <c r="AS747" s="514"/>
      <c r="AT747" s="514"/>
    </row>
    <row r="748">
      <c r="A748" s="382"/>
      <c r="B748" s="418"/>
      <c r="C748" s="383"/>
      <c r="D748" s="507"/>
      <c r="E748" s="382"/>
      <c r="F748" s="418"/>
      <c r="G748" s="383"/>
      <c r="H748" s="507"/>
      <c r="I748" s="382"/>
      <c r="J748" s="418"/>
      <c r="K748" s="383"/>
      <c r="L748" s="507"/>
      <c r="M748" s="382"/>
      <c r="N748" s="418"/>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8"/>
      <c r="AM748" s="383"/>
      <c r="AN748" s="507"/>
      <c r="AO748" s="382"/>
      <c r="AP748" s="418"/>
      <c r="AQ748" s="383"/>
      <c r="AR748" s="507"/>
      <c r="AS748" s="514"/>
      <c r="AT748" s="514"/>
    </row>
    <row r="749">
      <c r="A749" s="382"/>
      <c r="B749" s="418"/>
      <c r="C749" s="383"/>
      <c r="D749" s="507"/>
      <c r="E749" s="382"/>
      <c r="F749" s="418"/>
      <c r="G749" s="383"/>
      <c r="H749" s="507"/>
      <c r="I749" s="382"/>
      <c r="J749" s="418"/>
      <c r="K749" s="383"/>
      <c r="L749" s="507"/>
      <c r="M749" s="382"/>
      <c r="N749" s="418"/>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8"/>
      <c r="AM749" s="383"/>
      <c r="AN749" s="507"/>
      <c r="AO749" s="382"/>
      <c r="AP749" s="418"/>
      <c r="AQ749" s="383"/>
      <c r="AR749" s="507"/>
      <c r="AS749" s="514"/>
      <c r="AT749" s="514"/>
    </row>
    <row r="750">
      <c r="A750" s="382"/>
      <c r="B750" s="418"/>
      <c r="C750" s="383"/>
      <c r="D750" s="507"/>
      <c r="E750" s="382"/>
      <c r="F750" s="418"/>
      <c r="G750" s="383"/>
      <c r="H750" s="507"/>
      <c r="I750" s="382"/>
      <c r="J750" s="418"/>
      <c r="K750" s="383"/>
      <c r="L750" s="507"/>
      <c r="M750" s="382"/>
      <c r="N750" s="418"/>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8"/>
      <c r="AM750" s="383"/>
      <c r="AN750" s="507"/>
      <c r="AO750" s="382"/>
      <c r="AP750" s="418"/>
      <c r="AQ750" s="383"/>
      <c r="AR750" s="507"/>
      <c r="AS750" s="514"/>
      <c r="AT750" s="514"/>
    </row>
    <row r="751">
      <c r="A751" s="382"/>
      <c r="B751" s="418"/>
      <c r="C751" s="383"/>
      <c r="D751" s="507"/>
      <c r="E751" s="382"/>
      <c r="F751" s="418"/>
      <c r="G751" s="383"/>
      <c r="H751" s="507"/>
      <c r="I751" s="382"/>
      <c r="J751" s="418"/>
      <c r="K751" s="383"/>
      <c r="L751" s="507"/>
      <c r="M751" s="382"/>
      <c r="N751" s="418"/>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8"/>
      <c r="AM751" s="383"/>
      <c r="AN751" s="507"/>
      <c r="AO751" s="382"/>
      <c r="AP751" s="418"/>
      <c r="AQ751" s="383"/>
      <c r="AR751" s="507"/>
      <c r="AS751" s="514"/>
      <c r="AT751" s="514"/>
    </row>
    <row r="752">
      <c r="A752" s="382"/>
      <c r="B752" s="418"/>
      <c r="C752" s="383"/>
      <c r="D752" s="507"/>
      <c r="E752" s="382"/>
      <c r="F752" s="418"/>
      <c r="G752" s="383"/>
      <c r="H752" s="507"/>
      <c r="I752" s="382"/>
      <c r="J752" s="418"/>
      <c r="K752" s="383"/>
      <c r="L752" s="507"/>
      <c r="M752" s="382"/>
      <c r="N752" s="418"/>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8"/>
      <c r="AM752" s="383"/>
      <c r="AN752" s="507"/>
      <c r="AO752" s="382"/>
      <c r="AP752" s="418"/>
      <c r="AQ752" s="383"/>
      <c r="AR752" s="507"/>
      <c r="AS752" s="514"/>
      <c r="AT752" s="514"/>
    </row>
    <row r="753">
      <c r="A753" s="382"/>
      <c r="B753" s="418"/>
      <c r="C753" s="383"/>
      <c r="D753" s="507"/>
      <c r="E753" s="382"/>
      <c r="F753" s="418"/>
      <c r="G753" s="383"/>
      <c r="H753" s="507"/>
      <c r="I753" s="382"/>
      <c r="J753" s="418"/>
      <c r="K753" s="383"/>
      <c r="L753" s="507"/>
      <c r="M753" s="382"/>
      <c r="N753" s="418"/>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8"/>
      <c r="AM753" s="383"/>
      <c r="AN753" s="507"/>
      <c r="AO753" s="382"/>
      <c r="AP753" s="418"/>
      <c r="AQ753" s="383"/>
      <c r="AR753" s="507"/>
      <c r="AS753" s="514"/>
      <c r="AT753" s="514"/>
    </row>
    <row r="754">
      <c r="A754" s="382"/>
      <c r="B754" s="418"/>
      <c r="C754" s="383"/>
      <c r="D754" s="507"/>
      <c r="E754" s="382"/>
      <c r="F754" s="418"/>
      <c r="G754" s="383"/>
      <c r="H754" s="507"/>
      <c r="I754" s="382"/>
      <c r="J754" s="418"/>
      <c r="K754" s="383"/>
      <c r="L754" s="507"/>
      <c r="M754" s="382"/>
      <c r="N754" s="418"/>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8"/>
      <c r="AM754" s="383"/>
      <c r="AN754" s="507"/>
      <c r="AO754" s="382"/>
      <c r="AP754" s="418"/>
      <c r="AQ754" s="383"/>
      <c r="AR754" s="507"/>
      <c r="AS754" s="514"/>
      <c r="AT754" s="514"/>
    </row>
    <row r="755">
      <c r="A755" s="382"/>
      <c r="B755" s="418"/>
      <c r="C755" s="383"/>
      <c r="D755" s="507"/>
      <c r="E755" s="382"/>
      <c r="F755" s="418"/>
      <c r="G755" s="383"/>
      <c r="H755" s="507"/>
      <c r="I755" s="382"/>
      <c r="J755" s="418"/>
      <c r="K755" s="383"/>
      <c r="L755" s="507"/>
      <c r="M755" s="382"/>
      <c r="N755" s="418"/>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8"/>
      <c r="AM755" s="383"/>
      <c r="AN755" s="507"/>
      <c r="AO755" s="382"/>
      <c r="AP755" s="418"/>
      <c r="AQ755" s="383"/>
      <c r="AR755" s="507"/>
      <c r="AS755" s="514"/>
      <c r="AT755" s="514"/>
    </row>
    <row r="756">
      <c r="A756" s="382"/>
      <c r="B756" s="418"/>
      <c r="C756" s="383"/>
      <c r="D756" s="507"/>
      <c r="E756" s="382"/>
      <c r="F756" s="418"/>
      <c r="G756" s="383"/>
      <c r="H756" s="507"/>
      <c r="I756" s="382"/>
      <c r="J756" s="418"/>
      <c r="K756" s="383"/>
      <c r="L756" s="507"/>
      <c r="M756" s="382"/>
      <c r="N756" s="418"/>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8"/>
      <c r="AM756" s="383"/>
      <c r="AN756" s="507"/>
      <c r="AO756" s="382"/>
      <c r="AP756" s="418"/>
      <c r="AQ756" s="383"/>
      <c r="AR756" s="507"/>
      <c r="AS756" s="514"/>
      <c r="AT756" s="514"/>
    </row>
    <row r="757">
      <c r="A757" s="382"/>
      <c r="B757" s="418"/>
      <c r="C757" s="383"/>
      <c r="D757" s="507"/>
      <c r="E757" s="382"/>
      <c r="F757" s="418"/>
      <c r="G757" s="383"/>
      <c r="H757" s="507"/>
      <c r="I757" s="382"/>
      <c r="J757" s="418"/>
      <c r="K757" s="383"/>
      <c r="L757" s="507"/>
      <c r="M757" s="382"/>
      <c r="N757" s="418"/>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8"/>
      <c r="AM757" s="383"/>
      <c r="AN757" s="507"/>
      <c r="AO757" s="382"/>
      <c r="AP757" s="418"/>
      <c r="AQ757" s="383"/>
      <c r="AR757" s="507"/>
      <c r="AS757" s="514"/>
      <c r="AT757" s="514"/>
    </row>
    <row r="758">
      <c r="A758" s="382"/>
      <c r="B758" s="418"/>
      <c r="C758" s="383"/>
      <c r="D758" s="507"/>
      <c r="E758" s="382"/>
      <c r="F758" s="418"/>
      <c r="G758" s="383"/>
      <c r="H758" s="507"/>
      <c r="I758" s="382"/>
      <c r="J758" s="418"/>
      <c r="K758" s="383"/>
      <c r="L758" s="507"/>
      <c r="M758" s="382"/>
      <c r="N758" s="418"/>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8"/>
      <c r="AM758" s="383"/>
      <c r="AN758" s="507"/>
      <c r="AO758" s="382"/>
      <c r="AP758" s="418"/>
      <c r="AQ758" s="383"/>
      <c r="AR758" s="507"/>
      <c r="AS758" s="514"/>
      <c r="AT758" s="514"/>
    </row>
    <row r="759">
      <c r="A759" s="382"/>
      <c r="B759" s="418"/>
      <c r="C759" s="383"/>
      <c r="D759" s="507"/>
      <c r="E759" s="382"/>
      <c r="F759" s="418"/>
      <c r="G759" s="383"/>
      <c r="H759" s="507"/>
      <c r="I759" s="382"/>
      <c r="J759" s="418"/>
      <c r="K759" s="383"/>
      <c r="L759" s="507"/>
      <c r="M759" s="382"/>
      <c r="N759" s="418"/>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8"/>
      <c r="AM759" s="383"/>
      <c r="AN759" s="507"/>
      <c r="AO759" s="382"/>
      <c r="AP759" s="418"/>
      <c r="AQ759" s="383"/>
      <c r="AR759" s="507"/>
      <c r="AS759" s="514"/>
      <c r="AT759" s="514"/>
    </row>
    <row r="760">
      <c r="A760" s="382"/>
      <c r="B760" s="418"/>
      <c r="C760" s="383"/>
      <c r="D760" s="507"/>
      <c r="E760" s="382"/>
      <c r="F760" s="418"/>
      <c r="G760" s="383"/>
      <c r="H760" s="507"/>
      <c r="I760" s="382"/>
      <c r="J760" s="418"/>
      <c r="K760" s="383"/>
      <c r="L760" s="507"/>
      <c r="M760" s="382"/>
      <c r="N760" s="418"/>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8"/>
      <c r="AM760" s="383"/>
      <c r="AN760" s="507"/>
      <c r="AO760" s="382"/>
      <c r="AP760" s="418"/>
      <c r="AQ760" s="383"/>
      <c r="AR760" s="507"/>
      <c r="AS760" s="514"/>
      <c r="AT760" s="514"/>
    </row>
    <row r="761">
      <c r="A761" s="382"/>
      <c r="B761" s="418"/>
      <c r="C761" s="383"/>
      <c r="D761" s="507"/>
      <c r="E761" s="382"/>
      <c r="F761" s="418"/>
      <c r="G761" s="383"/>
      <c r="H761" s="507"/>
      <c r="I761" s="382"/>
      <c r="J761" s="418"/>
      <c r="K761" s="383"/>
      <c r="L761" s="507"/>
      <c r="M761" s="382"/>
      <c r="N761" s="418"/>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8"/>
      <c r="AM761" s="383"/>
      <c r="AN761" s="507"/>
      <c r="AO761" s="382"/>
      <c r="AP761" s="418"/>
      <c r="AQ761" s="383"/>
      <c r="AR761" s="507"/>
      <c r="AS761" s="514"/>
      <c r="AT761" s="514"/>
    </row>
    <row r="762">
      <c r="A762" s="382"/>
      <c r="B762" s="418"/>
      <c r="C762" s="383"/>
      <c r="D762" s="507"/>
      <c r="E762" s="382"/>
      <c r="F762" s="418"/>
      <c r="G762" s="383"/>
      <c r="H762" s="507"/>
      <c r="I762" s="382"/>
      <c r="J762" s="418"/>
      <c r="K762" s="383"/>
      <c r="L762" s="507"/>
      <c r="M762" s="382"/>
      <c r="N762" s="418"/>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8"/>
      <c r="AM762" s="383"/>
      <c r="AN762" s="507"/>
      <c r="AO762" s="382"/>
      <c r="AP762" s="418"/>
      <c r="AQ762" s="383"/>
      <c r="AR762" s="507"/>
      <c r="AS762" s="514"/>
      <c r="AT762" s="514"/>
    </row>
    <row r="763">
      <c r="A763" s="382"/>
      <c r="B763" s="418"/>
      <c r="C763" s="383"/>
      <c r="D763" s="507"/>
      <c r="E763" s="382"/>
      <c r="F763" s="418"/>
      <c r="G763" s="383"/>
      <c r="H763" s="507"/>
      <c r="I763" s="382"/>
      <c r="J763" s="418"/>
      <c r="K763" s="383"/>
      <c r="L763" s="507"/>
      <c r="M763" s="382"/>
      <c r="N763" s="418"/>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8"/>
      <c r="AM763" s="383"/>
      <c r="AN763" s="507"/>
      <c r="AO763" s="382"/>
      <c r="AP763" s="418"/>
      <c r="AQ763" s="383"/>
      <c r="AR763" s="507"/>
      <c r="AS763" s="514"/>
      <c r="AT763" s="514"/>
    </row>
    <row r="764">
      <c r="A764" s="382"/>
      <c r="B764" s="418"/>
      <c r="C764" s="383"/>
      <c r="D764" s="507"/>
      <c r="E764" s="382"/>
      <c r="F764" s="418"/>
      <c r="G764" s="383"/>
      <c r="H764" s="507"/>
      <c r="I764" s="382"/>
      <c r="J764" s="418"/>
      <c r="K764" s="383"/>
      <c r="L764" s="507"/>
      <c r="M764" s="382"/>
      <c r="N764" s="418"/>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8"/>
      <c r="AM764" s="383"/>
      <c r="AN764" s="507"/>
      <c r="AO764" s="382"/>
      <c r="AP764" s="418"/>
      <c r="AQ764" s="383"/>
      <c r="AR764" s="507"/>
      <c r="AS764" s="514"/>
      <c r="AT764" s="514"/>
    </row>
    <row r="765">
      <c r="A765" s="382"/>
      <c r="B765" s="418"/>
      <c r="C765" s="383"/>
      <c r="D765" s="507"/>
      <c r="E765" s="382"/>
      <c r="F765" s="418"/>
      <c r="G765" s="383"/>
      <c r="H765" s="507"/>
      <c r="I765" s="382"/>
      <c r="J765" s="418"/>
      <c r="K765" s="383"/>
      <c r="L765" s="507"/>
      <c r="M765" s="382"/>
      <c r="N765" s="418"/>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8"/>
      <c r="AM765" s="383"/>
      <c r="AN765" s="507"/>
      <c r="AO765" s="382"/>
      <c r="AP765" s="418"/>
      <c r="AQ765" s="383"/>
      <c r="AR765" s="507"/>
      <c r="AS765" s="514"/>
      <c r="AT765" s="514"/>
    </row>
    <row r="766">
      <c r="A766" s="382"/>
      <c r="B766" s="418"/>
      <c r="C766" s="383"/>
      <c r="D766" s="507"/>
      <c r="E766" s="382"/>
      <c r="F766" s="418"/>
      <c r="G766" s="383"/>
      <c r="H766" s="507"/>
      <c r="I766" s="382"/>
      <c r="J766" s="418"/>
      <c r="K766" s="383"/>
      <c r="L766" s="507"/>
      <c r="M766" s="382"/>
      <c r="N766" s="418"/>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8"/>
      <c r="AM766" s="383"/>
      <c r="AN766" s="507"/>
      <c r="AO766" s="382"/>
      <c r="AP766" s="418"/>
      <c r="AQ766" s="383"/>
      <c r="AR766" s="507"/>
      <c r="AS766" s="514"/>
      <c r="AT766" s="514"/>
    </row>
    <row r="767">
      <c r="A767" s="382"/>
      <c r="B767" s="418"/>
      <c r="C767" s="383"/>
      <c r="D767" s="507"/>
      <c r="E767" s="382"/>
      <c r="F767" s="418"/>
      <c r="G767" s="383"/>
      <c r="H767" s="507"/>
      <c r="I767" s="382"/>
      <c r="J767" s="418"/>
      <c r="K767" s="383"/>
      <c r="L767" s="507"/>
      <c r="M767" s="382"/>
      <c r="N767" s="418"/>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8"/>
      <c r="AM767" s="383"/>
      <c r="AN767" s="507"/>
      <c r="AO767" s="382"/>
      <c r="AP767" s="418"/>
      <c r="AQ767" s="383"/>
      <c r="AR767" s="507"/>
      <c r="AS767" s="514"/>
      <c r="AT767" s="514"/>
    </row>
    <row r="768">
      <c r="A768" s="382"/>
      <c r="B768" s="418"/>
      <c r="C768" s="383"/>
      <c r="D768" s="507"/>
      <c r="E768" s="382"/>
      <c r="F768" s="418"/>
      <c r="G768" s="383"/>
      <c r="H768" s="507"/>
      <c r="I768" s="382"/>
      <c r="J768" s="418"/>
      <c r="K768" s="383"/>
      <c r="L768" s="507"/>
      <c r="M768" s="382"/>
      <c r="N768" s="418"/>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8"/>
      <c r="AM768" s="383"/>
      <c r="AN768" s="507"/>
      <c r="AO768" s="382"/>
      <c r="AP768" s="418"/>
      <c r="AQ768" s="383"/>
      <c r="AR768" s="507"/>
      <c r="AS768" s="514"/>
      <c r="AT768" s="514"/>
    </row>
    <row r="769">
      <c r="A769" s="382"/>
      <c r="B769" s="418"/>
      <c r="C769" s="383"/>
      <c r="D769" s="507"/>
      <c r="E769" s="382"/>
      <c r="F769" s="418"/>
      <c r="G769" s="383"/>
      <c r="H769" s="507"/>
      <c r="I769" s="382"/>
      <c r="J769" s="418"/>
      <c r="K769" s="383"/>
      <c r="L769" s="507"/>
      <c r="M769" s="382"/>
      <c r="N769" s="418"/>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8"/>
      <c r="AM769" s="383"/>
      <c r="AN769" s="507"/>
      <c r="AO769" s="382"/>
      <c r="AP769" s="418"/>
      <c r="AQ769" s="383"/>
      <c r="AR769" s="507"/>
      <c r="AS769" s="514"/>
      <c r="AT769" s="514"/>
    </row>
    <row r="770">
      <c r="A770" s="382"/>
      <c r="B770" s="418"/>
      <c r="C770" s="383"/>
      <c r="D770" s="507"/>
      <c r="E770" s="382"/>
      <c r="F770" s="418"/>
      <c r="G770" s="383"/>
      <c r="H770" s="507"/>
      <c r="I770" s="382"/>
      <c r="J770" s="418"/>
      <c r="K770" s="383"/>
      <c r="L770" s="507"/>
      <c r="M770" s="382"/>
      <c r="N770" s="418"/>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8"/>
      <c r="AM770" s="383"/>
      <c r="AN770" s="507"/>
      <c r="AO770" s="382"/>
      <c r="AP770" s="418"/>
      <c r="AQ770" s="383"/>
      <c r="AR770" s="507"/>
      <c r="AS770" s="514"/>
      <c r="AT770" s="514"/>
    </row>
    <row r="771">
      <c r="A771" s="382"/>
      <c r="B771" s="418"/>
      <c r="C771" s="383"/>
      <c r="D771" s="507"/>
      <c r="E771" s="382"/>
      <c r="F771" s="418"/>
      <c r="G771" s="383"/>
      <c r="H771" s="507"/>
      <c r="I771" s="382"/>
      <c r="J771" s="418"/>
      <c r="K771" s="383"/>
      <c r="L771" s="507"/>
      <c r="M771" s="382"/>
      <c r="N771" s="418"/>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8"/>
      <c r="AM771" s="383"/>
      <c r="AN771" s="507"/>
      <c r="AO771" s="382"/>
      <c r="AP771" s="418"/>
      <c r="AQ771" s="383"/>
      <c r="AR771" s="507"/>
      <c r="AS771" s="514"/>
      <c r="AT771" s="514"/>
    </row>
    <row r="772">
      <c r="A772" s="382"/>
      <c r="B772" s="418"/>
      <c r="C772" s="383"/>
      <c r="D772" s="507"/>
      <c r="E772" s="382"/>
      <c r="F772" s="418"/>
      <c r="G772" s="383"/>
      <c r="H772" s="507"/>
      <c r="I772" s="382"/>
      <c r="J772" s="418"/>
      <c r="K772" s="383"/>
      <c r="L772" s="507"/>
      <c r="M772" s="382"/>
      <c r="N772" s="418"/>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8"/>
      <c r="AM772" s="383"/>
      <c r="AN772" s="507"/>
      <c r="AO772" s="382"/>
      <c r="AP772" s="418"/>
      <c r="AQ772" s="383"/>
      <c r="AR772" s="507"/>
      <c r="AS772" s="514"/>
      <c r="AT772" s="514"/>
    </row>
    <row r="773">
      <c r="A773" s="382"/>
      <c r="B773" s="418"/>
      <c r="C773" s="383"/>
      <c r="D773" s="507"/>
      <c r="E773" s="382"/>
      <c r="F773" s="418"/>
      <c r="G773" s="383"/>
      <c r="H773" s="507"/>
      <c r="I773" s="382"/>
      <c r="J773" s="418"/>
      <c r="K773" s="383"/>
      <c r="L773" s="507"/>
      <c r="M773" s="382"/>
      <c r="N773" s="418"/>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8"/>
      <c r="AM773" s="383"/>
      <c r="AN773" s="507"/>
      <c r="AO773" s="382"/>
      <c r="AP773" s="418"/>
      <c r="AQ773" s="383"/>
      <c r="AR773" s="507"/>
      <c r="AS773" s="514"/>
      <c r="AT773" s="514"/>
    </row>
    <row r="774">
      <c r="A774" s="382"/>
      <c r="B774" s="418"/>
      <c r="C774" s="383"/>
      <c r="D774" s="507"/>
      <c r="E774" s="382"/>
      <c r="F774" s="418"/>
      <c r="G774" s="383"/>
      <c r="H774" s="507"/>
      <c r="I774" s="382"/>
      <c r="J774" s="418"/>
      <c r="K774" s="383"/>
      <c r="L774" s="507"/>
      <c r="M774" s="382"/>
      <c r="N774" s="418"/>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8"/>
      <c r="AM774" s="383"/>
      <c r="AN774" s="507"/>
      <c r="AO774" s="382"/>
      <c r="AP774" s="418"/>
      <c r="AQ774" s="383"/>
      <c r="AR774" s="507"/>
      <c r="AS774" s="514"/>
      <c r="AT774" s="514"/>
    </row>
    <row r="775">
      <c r="A775" s="382"/>
      <c r="B775" s="418"/>
      <c r="C775" s="383"/>
      <c r="D775" s="507"/>
      <c r="E775" s="382"/>
      <c r="F775" s="418"/>
      <c r="G775" s="383"/>
      <c r="H775" s="507"/>
      <c r="I775" s="382"/>
      <c r="J775" s="418"/>
      <c r="K775" s="383"/>
      <c r="L775" s="507"/>
      <c r="M775" s="382"/>
      <c r="N775" s="418"/>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8"/>
      <c r="AM775" s="383"/>
      <c r="AN775" s="507"/>
      <c r="AO775" s="382"/>
      <c r="AP775" s="418"/>
      <c r="AQ775" s="383"/>
      <c r="AR775" s="507"/>
      <c r="AS775" s="514"/>
      <c r="AT775" s="514"/>
    </row>
    <row r="776">
      <c r="A776" s="382"/>
      <c r="B776" s="418"/>
      <c r="C776" s="383"/>
      <c r="D776" s="507"/>
      <c r="E776" s="382"/>
      <c r="F776" s="418"/>
      <c r="G776" s="383"/>
      <c r="H776" s="507"/>
      <c r="I776" s="382"/>
      <c r="J776" s="418"/>
      <c r="K776" s="383"/>
      <c r="L776" s="507"/>
      <c r="M776" s="382"/>
      <c r="N776" s="418"/>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8"/>
      <c r="AM776" s="383"/>
      <c r="AN776" s="507"/>
      <c r="AO776" s="382"/>
      <c r="AP776" s="418"/>
      <c r="AQ776" s="383"/>
      <c r="AR776" s="507"/>
      <c r="AS776" s="514"/>
      <c r="AT776" s="514"/>
    </row>
    <row r="777">
      <c r="A777" s="382"/>
      <c r="B777" s="418"/>
      <c r="C777" s="383"/>
      <c r="D777" s="507"/>
      <c r="E777" s="382"/>
      <c r="F777" s="418"/>
      <c r="G777" s="383"/>
      <c r="H777" s="507"/>
      <c r="I777" s="382"/>
      <c r="J777" s="418"/>
      <c r="K777" s="383"/>
      <c r="L777" s="507"/>
      <c r="M777" s="382"/>
      <c r="N777" s="418"/>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8"/>
      <c r="AM777" s="383"/>
      <c r="AN777" s="507"/>
      <c r="AO777" s="382"/>
      <c r="AP777" s="418"/>
      <c r="AQ777" s="383"/>
      <c r="AR777" s="507"/>
      <c r="AS777" s="514"/>
      <c r="AT777" s="514"/>
    </row>
    <row r="778">
      <c r="A778" s="382"/>
      <c r="B778" s="418"/>
      <c r="C778" s="383"/>
      <c r="D778" s="507"/>
      <c r="E778" s="382"/>
      <c r="F778" s="418"/>
      <c r="G778" s="383"/>
      <c r="H778" s="507"/>
      <c r="I778" s="382"/>
      <c r="J778" s="418"/>
      <c r="K778" s="383"/>
      <c r="L778" s="507"/>
      <c r="M778" s="382"/>
      <c r="N778" s="418"/>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8"/>
      <c r="AM778" s="383"/>
      <c r="AN778" s="507"/>
      <c r="AO778" s="382"/>
      <c r="AP778" s="418"/>
      <c r="AQ778" s="383"/>
      <c r="AR778" s="507"/>
      <c r="AS778" s="514"/>
      <c r="AT778" s="514"/>
    </row>
    <row r="779">
      <c r="A779" s="382"/>
      <c r="B779" s="418"/>
      <c r="C779" s="383"/>
      <c r="D779" s="507"/>
      <c r="E779" s="382"/>
      <c r="F779" s="418"/>
      <c r="G779" s="383"/>
      <c r="H779" s="507"/>
      <c r="I779" s="382"/>
      <c r="J779" s="418"/>
      <c r="K779" s="383"/>
      <c r="L779" s="507"/>
      <c r="M779" s="382"/>
      <c r="N779" s="418"/>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8"/>
      <c r="AM779" s="383"/>
      <c r="AN779" s="507"/>
      <c r="AO779" s="382"/>
      <c r="AP779" s="418"/>
      <c r="AQ779" s="383"/>
      <c r="AR779" s="507"/>
      <c r="AS779" s="514"/>
      <c r="AT779" s="514"/>
    </row>
    <row r="780">
      <c r="A780" s="382"/>
      <c r="B780" s="418"/>
      <c r="C780" s="383"/>
      <c r="D780" s="507"/>
      <c r="E780" s="382"/>
      <c r="F780" s="418"/>
      <c r="G780" s="383"/>
      <c r="H780" s="507"/>
      <c r="I780" s="382"/>
      <c r="J780" s="418"/>
      <c r="K780" s="383"/>
      <c r="L780" s="507"/>
      <c r="M780" s="382"/>
      <c r="N780" s="418"/>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8"/>
      <c r="AM780" s="383"/>
      <c r="AN780" s="507"/>
      <c r="AO780" s="382"/>
      <c r="AP780" s="418"/>
      <c r="AQ780" s="383"/>
      <c r="AR780" s="507"/>
      <c r="AS780" s="514"/>
      <c r="AT780" s="514"/>
    </row>
    <row r="781">
      <c r="A781" s="382"/>
      <c r="B781" s="418"/>
      <c r="C781" s="383"/>
      <c r="D781" s="507"/>
      <c r="E781" s="382"/>
      <c r="F781" s="418"/>
      <c r="G781" s="383"/>
      <c r="H781" s="507"/>
      <c r="I781" s="382"/>
      <c r="J781" s="418"/>
      <c r="K781" s="383"/>
      <c r="L781" s="507"/>
      <c r="M781" s="382"/>
      <c r="N781" s="418"/>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8"/>
      <c r="AM781" s="383"/>
      <c r="AN781" s="507"/>
      <c r="AO781" s="382"/>
      <c r="AP781" s="418"/>
      <c r="AQ781" s="383"/>
      <c r="AR781" s="507"/>
      <c r="AS781" s="514"/>
      <c r="AT781" s="514"/>
    </row>
    <row r="782">
      <c r="A782" s="382"/>
      <c r="B782" s="418"/>
      <c r="C782" s="383"/>
      <c r="D782" s="507"/>
      <c r="E782" s="382"/>
      <c r="F782" s="418"/>
      <c r="G782" s="383"/>
      <c r="H782" s="507"/>
      <c r="I782" s="382"/>
      <c r="J782" s="418"/>
      <c r="K782" s="383"/>
      <c r="L782" s="507"/>
      <c r="M782" s="382"/>
      <c r="N782" s="418"/>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8"/>
      <c r="AM782" s="383"/>
      <c r="AN782" s="507"/>
      <c r="AO782" s="382"/>
      <c r="AP782" s="418"/>
      <c r="AQ782" s="383"/>
      <c r="AR782" s="507"/>
      <c r="AS782" s="514"/>
      <c r="AT782" s="514"/>
    </row>
    <row r="783">
      <c r="A783" s="382"/>
      <c r="B783" s="418"/>
      <c r="C783" s="383"/>
      <c r="D783" s="507"/>
      <c r="E783" s="382"/>
      <c r="F783" s="418"/>
      <c r="G783" s="383"/>
      <c r="H783" s="507"/>
      <c r="I783" s="382"/>
      <c r="J783" s="418"/>
      <c r="K783" s="383"/>
      <c r="L783" s="507"/>
      <c r="M783" s="382"/>
      <c r="N783" s="418"/>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8"/>
      <c r="AM783" s="383"/>
      <c r="AN783" s="507"/>
      <c r="AO783" s="382"/>
      <c r="AP783" s="418"/>
      <c r="AQ783" s="383"/>
      <c r="AR783" s="507"/>
      <c r="AS783" s="514"/>
      <c r="AT783" s="514"/>
    </row>
    <row r="784">
      <c r="A784" s="382"/>
      <c r="B784" s="418"/>
      <c r="C784" s="383"/>
      <c r="D784" s="507"/>
      <c r="E784" s="382"/>
      <c r="F784" s="418"/>
      <c r="G784" s="383"/>
      <c r="H784" s="507"/>
      <c r="I784" s="382"/>
      <c r="J784" s="418"/>
      <c r="K784" s="383"/>
      <c r="L784" s="507"/>
      <c r="M784" s="382"/>
      <c r="N784" s="418"/>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8"/>
      <c r="AM784" s="383"/>
      <c r="AN784" s="507"/>
      <c r="AO784" s="382"/>
      <c r="AP784" s="418"/>
      <c r="AQ784" s="383"/>
      <c r="AR784" s="507"/>
      <c r="AS784" s="514"/>
      <c r="AT784" s="514"/>
    </row>
    <row r="785">
      <c r="A785" s="382"/>
      <c r="B785" s="418"/>
      <c r="C785" s="383"/>
      <c r="D785" s="507"/>
      <c r="E785" s="382"/>
      <c r="F785" s="418"/>
      <c r="G785" s="383"/>
      <c r="H785" s="507"/>
      <c r="I785" s="382"/>
      <c r="J785" s="418"/>
      <c r="K785" s="383"/>
      <c r="L785" s="507"/>
      <c r="M785" s="382"/>
      <c r="N785" s="418"/>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8"/>
      <c r="AM785" s="383"/>
      <c r="AN785" s="507"/>
      <c r="AO785" s="382"/>
      <c r="AP785" s="418"/>
      <c r="AQ785" s="383"/>
      <c r="AR785" s="507"/>
      <c r="AS785" s="514"/>
      <c r="AT785" s="514"/>
    </row>
    <row r="786">
      <c r="A786" s="382"/>
      <c r="B786" s="418"/>
      <c r="C786" s="383"/>
      <c r="D786" s="507"/>
      <c r="E786" s="382"/>
      <c r="F786" s="418"/>
      <c r="G786" s="383"/>
      <c r="H786" s="507"/>
      <c r="I786" s="382"/>
      <c r="J786" s="418"/>
      <c r="K786" s="383"/>
      <c r="L786" s="507"/>
      <c r="M786" s="382"/>
      <c r="N786" s="418"/>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8"/>
      <c r="AM786" s="383"/>
      <c r="AN786" s="507"/>
      <c r="AO786" s="382"/>
      <c r="AP786" s="418"/>
      <c r="AQ786" s="383"/>
      <c r="AR786" s="507"/>
      <c r="AS786" s="514"/>
      <c r="AT786" s="514"/>
    </row>
    <row r="787">
      <c r="A787" s="382"/>
      <c r="B787" s="418"/>
      <c r="C787" s="383"/>
      <c r="D787" s="507"/>
      <c r="E787" s="382"/>
      <c r="F787" s="418"/>
      <c r="G787" s="383"/>
      <c r="H787" s="507"/>
      <c r="I787" s="382"/>
      <c r="J787" s="418"/>
      <c r="K787" s="383"/>
      <c r="L787" s="507"/>
      <c r="M787" s="382"/>
      <c r="N787" s="418"/>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8"/>
      <c r="AM787" s="383"/>
      <c r="AN787" s="507"/>
      <c r="AO787" s="382"/>
      <c r="AP787" s="418"/>
      <c r="AQ787" s="383"/>
      <c r="AR787" s="507"/>
      <c r="AS787" s="514"/>
      <c r="AT787" s="514"/>
    </row>
    <row r="788">
      <c r="A788" s="382"/>
      <c r="B788" s="418"/>
      <c r="C788" s="383"/>
      <c r="D788" s="507"/>
      <c r="E788" s="382"/>
      <c r="F788" s="418"/>
      <c r="G788" s="383"/>
      <c r="H788" s="507"/>
      <c r="I788" s="382"/>
      <c r="J788" s="418"/>
      <c r="K788" s="383"/>
      <c r="L788" s="507"/>
      <c r="M788" s="382"/>
      <c r="N788" s="418"/>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8"/>
      <c r="AM788" s="383"/>
      <c r="AN788" s="507"/>
      <c r="AO788" s="382"/>
      <c r="AP788" s="418"/>
      <c r="AQ788" s="383"/>
      <c r="AR788" s="507"/>
      <c r="AS788" s="514"/>
      <c r="AT788" s="514"/>
    </row>
    <row r="789">
      <c r="A789" s="382"/>
      <c r="B789" s="418"/>
      <c r="C789" s="383"/>
      <c r="D789" s="507"/>
      <c r="E789" s="382"/>
      <c r="F789" s="418"/>
      <c r="G789" s="383"/>
      <c r="H789" s="507"/>
      <c r="I789" s="382"/>
      <c r="J789" s="418"/>
      <c r="K789" s="383"/>
      <c r="L789" s="507"/>
      <c r="M789" s="382"/>
      <c r="N789" s="418"/>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8"/>
      <c r="AM789" s="383"/>
      <c r="AN789" s="507"/>
      <c r="AO789" s="382"/>
      <c r="AP789" s="418"/>
      <c r="AQ789" s="383"/>
      <c r="AR789" s="507"/>
      <c r="AS789" s="514"/>
      <c r="AT789" s="514"/>
    </row>
    <row r="790">
      <c r="A790" s="382"/>
      <c r="B790" s="418"/>
      <c r="C790" s="383"/>
      <c r="D790" s="507"/>
      <c r="E790" s="382"/>
      <c r="F790" s="418"/>
      <c r="G790" s="383"/>
      <c r="H790" s="507"/>
      <c r="I790" s="382"/>
      <c r="J790" s="418"/>
      <c r="K790" s="383"/>
      <c r="L790" s="507"/>
      <c r="M790" s="382"/>
      <c r="N790" s="418"/>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8"/>
      <c r="AM790" s="383"/>
      <c r="AN790" s="507"/>
      <c r="AO790" s="382"/>
      <c r="AP790" s="418"/>
      <c r="AQ790" s="383"/>
      <c r="AR790" s="507"/>
      <c r="AS790" s="514"/>
      <c r="AT790" s="514"/>
    </row>
    <row r="791">
      <c r="A791" s="382"/>
      <c r="B791" s="418"/>
      <c r="C791" s="383"/>
      <c r="D791" s="507"/>
      <c r="E791" s="382"/>
      <c r="F791" s="418"/>
      <c r="G791" s="383"/>
      <c r="H791" s="507"/>
      <c r="I791" s="382"/>
      <c r="J791" s="418"/>
      <c r="K791" s="383"/>
      <c r="L791" s="507"/>
      <c r="M791" s="382"/>
      <c r="N791" s="418"/>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8"/>
      <c r="AM791" s="383"/>
      <c r="AN791" s="507"/>
      <c r="AO791" s="382"/>
      <c r="AP791" s="418"/>
      <c r="AQ791" s="383"/>
      <c r="AR791" s="507"/>
      <c r="AS791" s="514"/>
      <c r="AT791" s="514"/>
    </row>
    <row r="792">
      <c r="A792" s="382"/>
      <c r="B792" s="418"/>
      <c r="C792" s="383"/>
      <c r="D792" s="507"/>
      <c r="E792" s="382"/>
      <c r="F792" s="418"/>
      <c r="G792" s="383"/>
      <c r="H792" s="507"/>
      <c r="I792" s="382"/>
      <c r="J792" s="418"/>
      <c r="K792" s="383"/>
      <c r="L792" s="507"/>
      <c r="M792" s="382"/>
      <c r="N792" s="418"/>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8"/>
      <c r="AM792" s="383"/>
      <c r="AN792" s="507"/>
      <c r="AO792" s="382"/>
      <c r="AP792" s="418"/>
      <c r="AQ792" s="383"/>
      <c r="AR792" s="507"/>
      <c r="AS792" s="514"/>
      <c r="AT792" s="514"/>
    </row>
    <row r="793">
      <c r="A793" s="382"/>
      <c r="B793" s="418"/>
      <c r="C793" s="383"/>
      <c r="D793" s="507"/>
      <c r="E793" s="382"/>
      <c r="F793" s="418"/>
      <c r="G793" s="383"/>
      <c r="H793" s="507"/>
      <c r="I793" s="382"/>
      <c r="J793" s="418"/>
      <c r="K793" s="383"/>
      <c r="L793" s="507"/>
      <c r="M793" s="382"/>
      <c r="N793" s="418"/>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8"/>
      <c r="AM793" s="383"/>
      <c r="AN793" s="507"/>
      <c r="AO793" s="382"/>
      <c r="AP793" s="418"/>
      <c r="AQ793" s="383"/>
      <c r="AR793" s="507"/>
      <c r="AS793" s="514"/>
      <c r="AT793" s="514"/>
    </row>
    <row r="794">
      <c r="A794" s="382"/>
      <c r="B794" s="418"/>
      <c r="C794" s="383"/>
      <c r="D794" s="507"/>
      <c r="E794" s="382"/>
      <c r="F794" s="418"/>
      <c r="G794" s="383"/>
      <c r="H794" s="507"/>
      <c r="I794" s="382"/>
      <c r="J794" s="418"/>
      <c r="K794" s="383"/>
      <c r="L794" s="507"/>
      <c r="M794" s="382"/>
      <c r="N794" s="418"/>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8"/>
      <c r="AM794" s="383"/>
      <c r="AN794" s="507"/>
      <c r="AO794" s="382"/>
      <c r="AP794" s="418"/>
      <c r="AQ794" s="383"/>
      <c r="AR794" s="507"/>
      <c r="AS794" s="514"/>
      <c r="AT794" s="514"/>
    </row>
    <row r="795">
      <c r="A795" s="382"/>
      <c r="B795" s="418"/>
      <c r="C795" s="383"/>
      <c r="D795" s="507"/>
      <c r="E795" s="382"/>
      <c r="F795" s="418"/>
      <c r="G795" s="383"/>
      <c r="H795" s="507"/>
      <c r="I795" s="382"/>
      <c r="J795" s="418"/>
      <c r="K795" s="383"/>
      <c r="L795" s="507"/>
      <c r="M795" s="382"/>
      <c r="N795" s="418"/>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8"/>
      <c r="AM795" s="383"/>
      <c r="AN795" s="507"/>
      <c r="AO795" s="382"/>
      <c r="AP795" s="418"/>
      <c r="AQ795" s="383"/>
      <c r="AR795" s="507"/>
      <c r="AS795" s="514"/>
      <c r="AT795" s="514"/>
    </row>
    <row r="796">
      <c r="A796" s="382"/>
      <c r="B796" s="418"/>
      <c r="C796" s="383"/>
      <c r="D796" s="507"/>
      <c r="E796" s="382"/>
      <c r="F796" s="418"/>
      <c r="G796" s="383"/>
      <c r="H796" s="507"/>
      <c r="I796" s="382"/>
      <c r="J796" s="418"/>
      <c r="K796" s="383"/>
      <c r="L796" s="507"/>
      <c r="M796" s="382"/>
      <c r="N796" s="418"/>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8"/>
      <c r="AM796" s="383"/>
      <c r="AN796" s="507"/>
      <c r="AO796" s="382"/>
      <c r="AP796" s="418"/>
      <c r="AQ796" s="383"/>
      <c r="AR796" s="507"/>
      <c r="AS796" s="514"/>
      <c r="AT796" s="514"/>
    </row>
    <row r="797">
      <c r="A797" s="382"/>
      <c r="B797" s="418"/>
      <c r="C797" s="383"/>
      <c r="D797" s="507"/>
      <c r="E797" s="382"/>
      <c r="F797" s="418"/>
      <c r="G797" s="383"/>
      <c r="H797" s="507"/>
      <c r="I797" s="382"/>
      <c r="J797" s="418"/>
      <c r="K797" s="383"/>
      <c r="L797" s="507"/>
      <c r="M797" s="382"/>
      <c r="N797" s="418"/>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8"/>
      <c r="AM797" s="383"/>
      <c r="AN797" s="507"/>
      <c r="AO797" s="382"/>
      <c r="AP797" s="418"/>
      <c r="AQ797" s="383"/>
      <c r="AR797" s="507"/>
      <c r="AS797" s="514"/>
      <c r="AT797" s="514"/>
    </row>
    <row r="798">
      <c r="A798" s="382"/>
      <c r="B798" s="418"/>
      <c r="C798" s="383"/>
      <c r="D798" s="507"/>
      <c r="E798" s="382"/>
      <c r="F798" s="418"/>
      <c r="G798" s="383"/>
      <c r="H798" s="507"/>
      <c r="I798" s="382"/>
      <c r="J798" s="418"/>
      <c r="K798" s="383"/>
      <c r="L798" s="507"/>
      <c r="M798" s="382"/>
      <c r="N798" s="418"/>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8"/>
      <c r="AM798" s="383"/>
      <c r="AN798" s="507"/>
      <c r="AO798" s="382"/>
      <c r="AP798" s="418"/>
      <c r="AQ798" s="383"/>
      <c r="AR798" s="507"/>
      <c r="AS798" s="514"/>
      <c r="AT798" s="514"/>
    </row>
    <row r="799">
      <c r="A799" s="382"/>
      <c r="B799" s="418"/>
      <c r="C799" s="383"/>
      <c r="D799" s="507"/>
      <c r="E799" s="382"/>
      <c r="F799" s="418"/>
      <c r="G799" s="383"/>
      <c r="H799" s="507"/>
      <c r="I799" s="382"/>
      <c r="J799" s="418"/>
      <c r="K799" s="383"/>
      <c r="L799" s="507"/>
      <c r="M799" s="382"/>
      <c r="N799" s="418"/>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8"/>
      <c r="AM799" s="383"/>
      <c r="AN799" s="507"/>
      <c r="AO799" s="382"/>
      <c r="AP799" s="418"/>
      <c r="AQ799" s="383"/>
      <c r="AR799" s="507"/>
      <c r="AS799" s="514"/>
      <c r="AT799" s="514"/>
    </row>
    <row r="800">
      <c r="A800" s="382"/>
      <c r="B800" s="418"/>
      <c r="C800" s="383"/>
      <c r="D800" s="507"/>
      <c r="E800" s="382"/>
      <c r="F800" s="418"/>
      <c r="G800" s="383"/>
      <c r="H800" s="507"/>
      <c r="I800" s="382"/>
      <c r="J800" s="418"/>
      <c r="K800" s="383"/>
      <c r="L800" s="507"/>
      <c r="M800" s="382"/>
      <c r="N800" s="418"/>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8"/>
      <c r="AM800" s="383"/>
      <c r="AN800" s="507"/>
      <c r="AO800" s="382"/>
      <c r="AP800" s="418"/>
      <c r="AQ800" s="383"/>
      <c r="AR800" s="507"/>
      <c r="AS800" s="514"/>
      <c r="AT800" s="514"/>
    </row>
    <row r="801">
      <c r="A801" s="382"/>
      <c r="B801" s="418"/>
      <c r="C801" s="383"/>
      <c r="D801" s="507"/>
      <c r="E801" s="382"/>
      <c r="F801" s="418"/>
      <c r="G801" s="383"/>
      <c r="H801" s="507"/>
      <c r="I801" s="382"/>
      <c r="J801" s="418"/>
      <c r="K801" s="383"/>
      <c r="L801" s="507"/>
      <c r="M801" s="382"/>
      <c r="N801" s="418"/>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8"/>
      <c r="AM801" s="383"/>
      <c r="AN801" s="507"/>
      <c r="AO801" s="382"/>
      <c r="AP801" s="418"/>
      <c r="AQ801" s="383"/>
      <c r="AR801" s="507"/>
      <c r="AS801" s="514"/>
      <c r="AT801" s="514"/>
    </row>
    <row r="802">
      <c r="A802" s="382"/>
      <c r="B802" s="418"/>
      <c r="C802" s="383"/>
      <c r="D802" s="507"/>
      <c r="E802" s="382"/>
      <c r="F802" s="418"/>
      <c r="G802" s="383"/>
      <c r="H802" s="507"/>
      <c r="I802" s="382"/>
      <c r="J802" s="418"/>
      <c r="K802" s="383"/>
      <c r="L802" s="507"/>
      <c r="M802" s="382"/>
      <c r="N802" s="418"/>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8"/>
      <c r="AM802" s="383"/>
      <c r="AN802" s="507"/>
      <c r="AO802" s="382"/>
      <c r="AP802" s="418"/>
      <c r="AQ802" s="383"/>
      <c r="AR802" s="507"/>
      <c r="AS802" s="514"/>
      <c r="AT802" s="514"/>
    </row>
    <row r="803">
      <c r="A803" s="382"/>
      <c r="B803" s="418"/>
      <c r="C803" s="383"/>
      <c r="D803" s="507"/>
      <c r="E803" s="382"/>
      <c r="F803" s="418"/>
      <c r="G803" s="383"/>
      <c r="H803" s="507"/>
      <c r="I803" s="382"/>
      <c r="J803" s="418"/>
      <c r="K803" s="383"/>
      <c r="L803" s="507"/>
      <c r="M803" s="382"/>
      <c r="N803" s="418"/>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8"/>
      <c r="AM803" s="383"/>
      <c r="AN803" s="507"/>
      <c r="AO803" s="382"/>
      <c r="AP803" s="418"/>
      <c r="AQ803" s="383"/>
      <c r="AR803" s="507"/>
      <c r="AS803" s="514"/>
      <c r="AT803" s="514"/>
    </row>
    <row r="804">
      <c r="A804" s="382"/>
      <c r="B804" s="418"/>
      <c r="C804" s="383"/>
      <c r="D804" s="507"/>
      <c r="E804" s="382"/>
      <c r="F804" s="418"/>
      <c r="G804" s="383"/>
      <c r="H804" s="507"/>
      <c r="I804" s="382"/>
      <c r="J804" s="418"/>
      <c r="K804" s="383"/>
      <c r="L804" s="507"/>
      <c r="M804" s="382"/>
      <c r="N804" s="418"/>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8"/>
      <c r="AM804" s="383"/>
      <c r="AN804" s="507"/>
      <c r="AO804" s="382"/>
      <c r="AP804" s="418"/>
      <c r="AQ804" s="383"/>
      <c r="AR804" s="507"/>
      <c r="AS804" s="514"/>
      <c r="AT804" s="514"/>
    </row>
    <row r="805">
      <c r="A805" s="382"/>
      <c r="B805" s="418"/>
      <c r="C805" s="383"/>
      <c r="D805" s="507"/>
      <c r="E805" s="382"/>
      <c r="F805" s="418"/>
      <c r="G805" s="383"/>
      <c r="H805" s="507"/>
      <c r="I805" s="382"/>
      <c r="J805" s="418"/>
      <c r="K805" s="383"/>
      <c r="L805" s="507"/>
      <c r="M805" s="382"/>
      <c r="N805" s="418"/>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8"/>
      <c r="AM805" s="383"/>
      <c r="AN805" s="507"/>
      <c r="AO805" s="382"/>
      <c r="AP805" s="418"/>
      <c r="AQ805" s="383"/>
      <c r="AR805" s="507"/>
      <c r="AS805" s="514"/>
      <c r="AT805" s="514"/>
    </row>
    <row r="806">
      <c r="A806" s="382"/>
      <c r="B806" s="418"/>
      <c r="C806" s="383"/>
      <c r="D806" s="507"/>
      <c r="E806" s="382"/>
      <c r="F806" s="418"/>
      <c r="G806" s="383"/>
      <c r="H806" s="507"/>
      <c r="I806" s="382"/>
      <c r="J806" s="418"/>
      <c r="K806" s="383"/>
      <c r="L806" s="507"/>
      <c r="M806" s="382"/>
      <c r="N806" s="418"/>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8"/>
      <c r="AM806" s="383"/>
      <c r="AN806" s="507"/>
      <c r="AO806" s="382"/>
      <c r="AP806" s="418"/>
      <c r="AQ806" s="383"/>
      <c r="AR806" s="507"/>
      <c r="AS806" s="514"/>
      <c r="AT806" s="514"/>
    </row>
    <row r="807">
      <c r="A807" s="382"/>
      <c r="B807" s="418"/>
      <c r="C807" s="383"/>
      <c r="D807" s="507"/>
      <c r="E807" s="382"/>
      <c r="F807" s="418"/>
      <c r="G807" s="383"/>
      <c r="H807" s="507"/>
      <c r="I807" s="382"/>
      <c r="J807" s="418"/>
      <c r="K807" s="383"/>
      <c r="L807" s="507"/>
      <c r="M807" s="382"/>
      <c r="N807" s="418"/>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8"/>
      <c r="AM807" s="383"/>
      <c r="AN807" s="507"/>
      <c r="AO807" s="382"/>
      <c r="AP807" s="418"/>
      <c r="AQ807" s="383"/>
      <c r="AR807" s="507"/>
      <c r="AS807" s="514"/>
      <c r="AT807" s="514"/>
    </row>
    <row r="808">
      <c r="A808" s="382"/>
      <c r="B808" s="418"/>
      <c r="C808" s="383"/>
      <c r="D808" s="507"/>
      <c r="E808" s="382"/>
      <c r="F808" s="418"/>
      <c r="G808" s="383"/>
      <c r="H808" s="507"/>
      <c r="I808" s="382"/>
      <c r="J808" s="418"/>
      <c r="K808" s="383"/>
      <c r="L808" s="507"/>
      <c r="M808" s="382"/>
      <c r="N808" s="418"/>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8"/>
      <c r="AM808" s="383"/>
      <c r="AN808" s="507"/>
      <c r="AO808" s="382"/>
      <c r="AP808" s="418"/>
      <c r="AQ808" s="383"/>
      <c r="AR808" s="507"/>
      <c r="AS808" s="514"/>
      <c r="AT808" s="514"/>
    </row>
    <row r="809">
      <c r="A809" s="382"/>
      <c r="B809" s="418"/>
      <c r="C809" s="383"/>
      <c r="D809" s="507"/>
      <c r="E809" s="382"/>
      <c r="F809" s="418"/>
      <c r="G809" s="383"/>
      <c r="H809" s="507"/>
      <c r="I809" s="382"/>
      <c r="J809" s="418"/>
      <c r="K809" s="383"/>
      <c r="L809" s="507"/>
      <c r="M809" s="382"/>
      <c r="N809" s="418"/>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8"/>
      <c r="AM809" s="383"/>
      <c r="AN809" s="507"/>
      <c r="AO809" s="382"/>
      <c r="AP809" s="418"/>
      <c r="AQ809" s="383"/>
      <c r="AR809" s="507"/>
      <c r="AS809" s="514"/>
      <c r="AT809" s="514"/>
    </row>
    <row r="810">
      <c r="A810" s="382"/>
      <c r="B810" s="418"/>
      <c r="C810" s="383"/>
      <c r="D810" s="507"/>
      <c r="E810" s="382"/>
      <c r="F810" s="418"/>
      <c r="G810" s="383"/>
      <c r="H810" s="507"/>
      <c r="I810" s="382"/>
      <c r="J810" s="418"/>
      <c r="K810" s="383"/>
      <c r="L810" s="507"/>
      <c r="M810" s="382"/>
      <c r="N810" s="418"/>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8"/>
      <c r="AM810" s="383"/>
      <c r="AN810" s="507"/>
      <c r="AO810" s="382"/>
      <c r="AP810" s="418"/>
      <c r="AQ810" s="383"/>
      <c r="AR810" s="507"/>
      <c r="AS810" s="514"/>
      <c r="AT810" s="514"/>
    </row>
    <row r="811">
      <c r="A811" s="382"/>
      <c r="B811" s="418"/>
      <c r="C811" s="383"/>
      <c r="D811" s="507"/>
      <c r="E811" s="382"/>
      <c r="F811" s="418"/>
      <c r="G811" s="383"/>
      <c r="H811" s="507"/>
      <c r="I811" s="382"/>
      <c r="J811" s="418"/>
      <c r="K811" s="383"/>
      <c r="L811" s="507"/>
      <c r="M811" s="382"/>
      <c r="N811" s="418"/>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8"/>
      <c r="AM811" s="383"/>
      <c r="AN811" s="507"/>
      <c r="AO811" s="382"/>
      <c r="AP811" s="418"/>
      <c r="AQ811" s="383"/>
      <c r="AR811" s="507"/>
      <c r="AS811" s="514"/>
      <c r="AT811" s="514"/>
    </row>
    <row r="812">
      <c r="A812" s="382"/>
      <c r="B812" s="418"/>
      <c r="C812" s="383"/>
      <c r="D812" s="507"/>
      <c r="E812" s="382"/>
      <c r="F812" s="418"/>
      <c r="G812" s="383"/>
      <c r="H812" s="507"/>
      <c r="I812" s="382"/>
      <c r="J812" s="418"/>
      <c r="K812" s="383"/>
      <c r="L812" s="507"/>
      <c r="M812" s="382"/>
      <c r="N812" s="418"/>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8"/>
      <c r="AM812" s="383"/>
      <c r="AN812" s="507"/>
      <c r="AO812" s="382"/>
      <c r="AP812" s="418"/>
      <c r="AQ812" s="383"/>
      <c r="AR812" s="507"/>
      <c r="AS812" s="514"/>
      <c r="AT812" s="514"/>
    </row>
    <row r="813">
      <c r="A813" s="382"/>
      <c r="B813" s="418"/>
      <c r="C813" s="383"/>
      <c r="D813" s="507"/>
      <c r="E813" s="382"/>
      <c r="F813" s="418"/>
      <c r="G813" s="383"/>
      <c r="H813" s="507"/>
      <c r="I813" s="382"/>
      <c r="J813" s="418"/>
      <c r="K813" s="383"/>
      <c r="L813" s="507"/>
      <c r="M813" s="382"/>
      <c r="N813" s="418"/>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8"/>
      <c r="AM813" s="383"/>
      <c r="AN813" s="507"/>
      <c r="AO813" s="382"/>
      <c r="AP813" s="418"/>
      <c r="AQ813" s="383"/>
      <c r="AR813" s="507"/>
      <c r="AS813" s="514"/>
      <c r="AT813" s="514"/>
    </row>
    <row r="814">
      <c r="A814" s="382"/>
      <c r="B814" s="418"/>
      <c r="C814" s="383"/>
      <c r="D814" s="507"/>
      <c r="E814" s="382"/>
      <c r="F814" s="418"/>
      <c r="G814" s="383"/>
      <c r="H814" s="507"/>
      <c r="I814" s="382"/>
      <c r="J814" s="418"/>
      <c r="K814" s="383"/>
      <c r="L814" s="507"/>
      <c r="M814" s="382"/>
      <c r="N814" s="418"/>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8"/>
      <c r="AM814" s="383"/>
      <c r="AN814" s="507"/>
      <c r="AO814" s="382"/>
      <c r="AP814" s="418"/>
      <c r="AQ814" s="383"/>
      <c r="AR814" s="507"/>
      <c r="AS814" s="514"/>
      <c r="AT814" s="514"/>
    </row>
    <row r="815">
      <c r="A815" s="382"/>
      <c r="B815" s="418"/>
      <c r="C815" s="383"/>
      <c r="D815" s="507"/>
      <c r="E815" s="382"/>
      <c r="F815" s="418"/>
      <c r="G815" s="383"/>
      <c r="H815" s="507"/>
      <c r="I815" s="382"/>
      <c r="J815" s="418"/>
      <c r="K815" s="383"/>
      <c r="L815" s="507"/>
      <c r="M815" s="382"/>
      <c r="N815" s="418"/>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8"/>
      <c r="AM815" s="383"/>
      <c r="AN815" s="507"/>
      <c r="AO815" s="382"/>
      <c r="AP815" s="418"/>
      <c r="AQ815" s="383"/>
      <c r="AR815" s="507"/>
      <c r="AS815" s="514"/>
      <c r="AT815" s="514"/>
    </row>
    <row r="816">
      <c r="A816" s="382"/>
      <c r="B816" s="418"/>
      <c r="C816" s="383"/>
      <c r="D816" s="507"/>
      <c r="E816" s="382"/>
      <c r="F816" s="418"/>
      <c r="G816" s="383"/>
      <c r="H816" s="507"/>
      <c r="I816" s="382"/>
      <c r="J816" s="418"/>
      <c r="K816" s="383"/>
      <c r="L816" s="507"/>
      <c r="M816" s="382"/>
      <c r="N816" s="418"/>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8"/>
      <c r="AM816" s="383"/>
      <c r="AN816" s="507"/>
      <c r="AO816" s="382"/>
      <c r="AP816" s="418"/>
      <c r="AQ816" s="383"/>
      <c r="AR816" s="507"/>
      <c r="AS816" s="514"/>
      <c r="AT816" s="514"/>
    </row>
    <row r="817">
      <c r="A817" s="382"/>
      <c r="B817" s="418"/>
      <c r="C817" s="383"/>
      <c r="D817" s="507"/>
      <c r="E817" s="382"/>
      <c r="F817" s="418"/>
      <c r="G817" s="383"/>
      <c r="H817" s="507"/>
      <c r="I817" s="382"/>
      <c r="J817" s="418"/>
      <c r="K817" s="383"/>
      <c r="L817" s="507"/>
      <c r="M817" s="382"/>
      <c r="N817" s="418"/>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8"/>
      <c r="AM817" s="383"/>
      <c r="AN817" s="507"/>
      <c r="AO817" s="382"/>
      <c r="AP817" s="418"/>
      <c r="AQ817" s="383"/>
      <c r="AR817" s="507"/>
      <c r="AS817" s="514"/>
      <c r="AT817" s="514"/>
    </row>
    <row r="818">
      <c r="A818" s="382"/>
      <c r="B818" s="418"/>
      <c r="C818" s="383"/>
      <c r="D818" s="507"/>
      <c r="E818" s="382"/>
      <c r="F818" s="418"/>
      <c r="G818" s="383"/>
      <c r="H818" s="507"/>
      <c r="I818" s="382"/>
      <c r="J818" s="418"/>
      <c r="K818" s="383"/>
      <c r="L818" s="507"/>
      <c r="M818" s="382"/>
      <c r="N818" s="418"/>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8"/>
      <c r="AM818" s="383"/>
      <c r="AN818" s="507"/>
      <c r="AO818" s="382"/>
      <c r="AP818" s="418"/>
      <c r="AQ818" s="383"/>
      <c r="AR818" s="507"/>
      <c r="AS818" s="514"/>
      <c r="AT818" s="514"/>
    </row>
    <row r="819">
      <c r="A819" s="382"/>
      <c r="B819" s="418"/>
      <c r="C819" s="383"/>
      <c r="D819" s="507"/>
      <c r="E819" s="382"/>
      <c r="F819" s="418"/>
      <c r="G819" s="383"/>
      <c r="H819" s="507"/>
      <c r="I819" s="382"/>
      <c r="J819" s="418"/>
      <c r="K819" s="383"/>
      <c r="L819" s="507"/>
      <c r="M819" s="382"/>
      <c r="N819" s="418"/>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8"/>
      <c r="AM819" s="383"/>
      <c r="AN819" s="507"/>
      <c r="AO819" s="382"/>
      <c r="AP819" s="418"/>
      <c r="AQ819" s="383"/>
      <c r="AR819" s="507"/>
      <c r="AS819" s="514"/>
      <c r="AT819" s="514"/>
    </row>
    <row r="820">
      <c r="A820" s="382"/>
      <c r="B820" s="418"/>
      <c r="C820" s="383"/>
      <c r="D820" s="507"/>
      <c r="E820" s="382"/>
      <c r="F820" s="418"/>
      <c r="G820" s="383"/>
      <c r="H820" s="507"/>
      <c r="I820" s="382"/>
      <c r="J820" s="418"/>
      <c r="K820" s="383"/>
      <c r="L820" s="507"/>
      <c r="M820" s="382"/>
      <c r="N820" s="418"/>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8"/>
      <c r="AM820" s="383"/>
      <c r="AN820" s="507"/>
      <c r="AO820" s="382"/>
      <c r="AP820" s="418"/>
      <c r="AQ820" s="383"/>
      <c r="AR820" s="507"/>
      <c r="AS820" s="514"/>
      <c r="AT820" s="514"/>
    </row>
    <row r="821">
      <c r="A821" s="382"/>
      <c r="B821" s="418"/>
      <c r="C821" s="383"/>
      <c r="D821" s="507"/>
      <c r="E821" s="382"/>
      <c r="F821" s="418"/>
      <c r="G821" s="383"/>
      <c r="H821" s="507"/>
      <c r="I821" s="382"/>
      <c r="J821" s="418"/>
      <c r="K821" s="383"/>
      <c r="L821" s="507"/>
      <c r="M821" s="382"/>
      <c r="N821" s="418"/>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8"/>
      <c r="AM821" s="383"/>
      <c r="AN821" s="507"/>
      <c r="AO821" s="382"/>
      <c r="AP821" s="418"/>
      <c r="AQ821" s="383"/>
      <c r="AR821" s="507"/>
      <c r="AS821" s="514"/>
      <c r="AT821" s="514"/>
    </row>
    <row r="822">
      <c r="A822" s="382"/>
      <c r="B822" s="418"/>
      <c r="C822" s="383"/>
      <c r="D822" s="507"/>
      <c r="E822" s="382"/>
      <c r="F822" s="418"/>
      <c r="G822" s="383"/>
      <c r="H822" s="507"/>
      <c r="I822" s="382"/>
      <c r="J822" s="418"/>
      <c r="K822" s="383"/>
      <c r="L822" s="507"/>
      <c r="M822" s="382"/>
      <c r="N822" s="418"/>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8"/>
      <c r="AM822" s="383"/>
      <c r="AN822" s="507"/>
      <c r="AO822" s="382"/>
      <c r="AP822" s="418"/>
      <c r="AQ822" s="383"/>
      <c r="AR822" s="507"/>
      <c r="AS822" s="514"/>
      <c r="AT822" s="514"/>
    </row>
    <row r="823">
      <c r="A823" s="382"/>
      <c r="B823" s="418"/>
      <c r="C823" s="383"/>
      <c r="D823" s="507"/>
      <c r="E823" s="382"/>
      <c r="F823" s="418"/>
      <c r="G823" s="383"/>
      <c r="H823" s="507"/>
      <c r="I823" s="382"/>
      <c r="J823" s="418"/>
      <c r="K823" s="383"/>
      <c r="L823" s="507"/>
      <c r="M823" s="382"/>
      <c r="N823" s="418"/>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8"/>
      <c r="AM823" s="383"/>
      <c r="AN823" s="507"/>
      <c r="AO823" s="382"/>
      <c r="AP823" s="418"/>
      <c r="AQ823" s="383"/>
      <c r="AR823" s="507"/>
      <c r="AS823" s="514"/>
      <c r="AT823" s="514"/>
    </row>
    <row r="824">
      <c r="A824" s="382"/>
      <c r="B824" s="418"/>
      <c r="C824" s="383"/>
      <c r="D824" s="507"/>
      <c r="E824" s="382"/>
      <c r="F824" s="418"/>
      <c r="G824" s="383"/>
      <c r="H824" s="507"/>
      <c r="I824" s="382"/>
      <c r="J824" s="418"/>
      <c r="K824" s="383"/>
      <c r="L824" s="507"/>
      <c r="M824" s="382"/>
      <c r="N824" s="418"/>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8"/>
      <c r="AM824" s="383"/>
      <c r="AN824" s="507"/>
      <c r="AO824" s="382"/>
      <c r="AP824" s="418"/>
      <c r="AQ824" s="383"/>
      <c r="AR824" s="507"/>
      <c r="AS824" s="514"/>
      <c r="AT824" s="514"/>
    </row>
    <row r="825">
      <c r="A825" s="382"/>
      <c r="B825" s="418"/>
      <c r="C825" s="383"/>
      <c r="D825" s="507"/>
      <c r="E825" s="382"/>
      <c r="F825" s="418"/>
      <c r="G825" s="383"/>
      <c r="H825" s="507"/>
      <c r="I825" s="382"/>
      <c r="J825" s="418"/>
      <c r="K825" s="383"/>
      <c r="L825" s="507"/>
      <c r="M825" s="382"/>
      <c r="N825" s="418"/>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8"/>
      <c r="AM825" s="383"/>
      <c r="AN825" s="507"/>
      <c r="AO825" s="382"/>
      <c r="AP825" s="418"/>
      <c r="AQ825" s="383"/>
      <c r="AR825" s="507"/>
      <c r="AS825" s="514"/>
      <c r="AT825" s="514"/>
    </row>
    <row r="826">
      <c r="A826" s="382"/>
      <c r="B826" s="418"/>
      <c r="C826" s="383"/>
      <c r="D826" s="507"/>
      <c r="E826" s="382"/>
      <c r="F826" s="418"/>
      <c r="G826" s="383"/>
      <c r="H826" s="507"/>
      <c r="I826" s="382"/>
      <c r="J826" s="418"/>
      <c r="K826" s="383"/>
      <c r="L826" s="507"/>
      <c r="M826" s="382"/>
      <c r="N826" s="418"/>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8"/>
      <c r="AM826" s="383"/>
      <c r="AN826" s="507"/>
      <c r="AO826" s="382"/>
      <c r="AP826" s="418"/>
      <c r="AQ826" s="383"/>
      <c r="AR826" s="507"/>
      <c r="AS826" s="514"/>
      <c r="AT826" s="514"/>
    </row>
    <row r="827">
      <c r="A827" s="382"/>
      <c r="B827" s="418"/>
      <c r="C827" s="383"/>
      <c r="D827" s="507"/>
      <c r="E827" s="382"/>
      <c r="F827" s="418"/>
      <c r="G827" s="383"/>
      <c r="H827" s="507"/>
      <c r="I827" s="382"/>
      <c r="J827" s="418"/>
      <c r="K827" s="383"/>
      <c r="L827" s="507"/>
      <c r="M827" s="382"/>
      <c r="N827" s="418"/>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8"/>
      <c r="AM827" s="383"/>
      <c r="AN827" s="507"/>
      <c r="AO827" s="382"/>
      <c r="AP827" s="418"/>
      <c r="AQ827" s="383"/>
      <c r="AR827" s="507"/>
      <c r="AS827" s="514"/>
      <c r="AT827" s="514"/>
    </row>
    <row r="828">
      <c r="A828" s="382"/>
      <c r="B828" s="418"/>
      <c r="C828" s="383"/>
      <c r="D828" s="507"/>
      <c r="E828" s="382"/>
      <c r="F828" s="418"/>
      <c r="G828" s="383"/>
      <c r="H828" s="507"/>
      <c r="I828" s="382"/>
      <c r="J828" s="418"/>
      <c r="K828" s="383"/>
      <c r="L828" s="507"/>
      <c r="M828" s="382"/>
      <c r="N828" s="418"/>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8"/>
      <c r="AM828" s="383"/>
      <c r="AN828" s="507"/>
      <c r="AO828" s="382"/>
      <c r="AP828" s="418"/>
      <c r="AQ828" s="383"/>
      <c r="AR828" s="507"/>
      <c r="AS828" s="514"/>
      <c r="AT828" s="514"/>
    </row>
    <row r="829">
      <c r="A829" s="382"/>
      <c r="B829" s="418"/>
      <c r="C829" s="383"/>
      <c r="D829" s="507"/>
      <c r="E829" s="382"/>
      <c r="F829" s="418"/>
      <c r="G829" s="383"/>
      <c r="H829" s="507"/>
      <c r="I829" s="382"/>
      <c r="J829" s="418"/>
      <c r="K829" s="383"/>
      <c r="L829" s="507"/>
      <c r="M829" s="382"/>
      <c r="N829" s="418"/>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8"/>
      <c r="AM829" s="383"/>
      <c r="AN829" s="507"/>
      <c r="AO829" s="382"/>
      <c r="AP829" s="418"/>
      <c r="AQ829" s="383"/>
      <c r="AR829" s="507"/>
      <c r="AS829" s="514"/>
      <c r="AT829" s="514"/>
    </row>
    <row r="830">
      <c r="A830" s="382"/>
      <c r="B830" s="418"/>
      <c r="C830" s="383"/>
      <c r="D830" s="507"/>
      <c r="E830" s="382"/>
      <c r="F830" s="418"/>
      <c r="G830" s="383"/>
      <c r="H830" s="507"/>
      <c r="I830" s="382"/>
      <c r="J830" s="418"/>
      <c r="K830" s="383"/>
      <c r="L830" s="507"/>
      <c r="M830" s="382"/>
      <c r="N830" s="418"/>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8"/>
      <c r="AM830" s="383"/>
      <c r="AN830" s="507"/>
      <c r="AO830" s="382"/>
      <c r="AP830" s="418"/>
      <c r="AQ830" s="383"/>
      <c r="AR830" s="507"/>
      <c r="AS830" s="514"/>
      <c r="AT830" s="514"/>
    </row>
    <row r="831">
      <c r="A831" s="382"/>
      <c r="B831" s="418"/>
      <c r="C831" s="383"/>
      <c r="D831" s="507"/>
      <c r="E831" s="382"/>
      <c r="F831" s="418"/>
      <c r="G831" s="383"/>
      <c r="H831" s="507"/>
      <c r="I831" s="382"/>
      <c r="J831" s="418"/>
      <c r="K831" s="383"/>
      <c r="L831" s="507"/>
      <c r="M831" s="382"/>
      <c r="N831" s="418"/>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8"/>
      <c r="AM831" s="383"/>
      <c r="AN831" s="507"/>
      <c r="AO831" s="382"/>
      <c r="AP831" s="418"/>
      <c r="AQ831" s="383"/>
      <c r="AR831" s="507"/>
      <c r="AS831" s="514"/>
      <c r="AT831" s="514"/>
    </row>
    <row r="832">
      <c r="A832" s="382"/>
      <c r="B832" s="418"/>
      <c r="C832" s="383"/>
      <c r="D832" s="507"/>
      <c r="E832" s="382"/>
      <c r="F832" s="418"/>
      <c r="G832" s="383"/>
      <c r="H832" s="507"/>
      <c r="I832" s="382"/>
      <c r="J832" s="418"/>
      <c r="K832" s="383"/>
      <c r="L832" s="507"/>
      <c r="M832" s="382"/>
      <c r="N832" s="418"/>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8"/>
      <c r="AM832" s="383"/>
      <c r="AN832" s="507"/>
      <c r="AO832" s="382"/>
      <c r="AP832" s="418"/>
      <c r="AQ832" s="383"/>
      <c r="AR832" s="507"/>
      <c r="AS832" s="514"/>
      <c r="AT832" s="514"/>
    </row>
    <row r="833">
      <c r="A833" s="382"/>
      <c r="B833" s="418"/>
      <c r="C833" s="383"/>
      <c r="D833" s="507"/>
      <c r="E833" s="382"/>
      <c r="F833" s="418"/>
      <c r="G833" s="383"/>
      <c r="H833" s="507"/>
      <c r="I833" s="382"/>
      <c r="J833" s="418"/>
      <c r="K833" s="383"/>
      <c r="L833" s="507"/>
      <c r="M833" s="382"/>
      <c r="N833" s="418"/>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8"/>
      <c r="AM833" s="383"/>
      <c r="AN833" s="507"/>
      <c r="AO833" s="382"/>
      <c r="AP833" s="418"/>
      <c r="AQ833" s="383"/>
      <c r="AR833" s="507"/>
      <c r="AS833" s="514"/>
      <c r="AT833" s="514"/>
    </row>
    <row r="834">
      <c r="A834" s="382"/>
      <c r="B834" s="418"/>
      <c r="C834" s="383"/>
      <c r="D834" s="507"/>
      <c r="E834" s="382"/>
      <c r="F834" s="418"/>
      <c r="G834" s="383"/>
      <c r="H834" s="507"/>
      <c r="I834" s="382"/>
      <c r="J834" s="418"/>
      <c r="K834" s="383"/>
      <c r="L834" s="507"/>
      <c r="M834" s="382"/>
      <c r="N834" s="418"/>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8"/>
      <c r="AM834" s="383"/>
      <c r="AN834" s="507"/>
      <c r="AO834" s="382"/>
      <c r="AP834" s="418"/>
      <c r="AQ834" s="383"/>
      <c r="AR834" s="507"/>
      <c r="AS834" s="514"/>
      <c r="AT834" s="514"/>
    </row>
    <row r="835">
      <c r="A835" s="382"/>
      <c r="B835" s="418"/>
      <c r="C835" s="383"/>
      <c r="D835" s="507"/>
      <c r="E835" s="382"/>
      <c r="F835" s="418"/>
      <c r="G835" s="383"/>
      <c r="H835" s="507"/>
      <c r="I835" s="382"/>
      <c r="J835" s="418"/>
      <c r="K835" s="383"/>
      <c r="L835" s="507"/>
      <c r="M835" s="382"/>
      <c r="N835" s="418"/>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8"/>
      <c r="AM835" s="383"/>
      <c r="AN835" s="507"/>
      <c r="AO835" s="382"/>
      <c r="AP835" s="418"/>
      <c r="AQ835" s="383"/>
      <c r="AR835" s="507"/>
      <c r="AS835" s="514"/>
      <c r="AT835" s="514"/>
    </row>
    <row r="836">
      <c r="A836" s="382"/>
      <c r="B836" s="418"/>
      <c r="C836" s="383"/>
      <c r="D836" s="507"/>
      <c r="E836" s="382"/>
      <c r="F836" s="418"/>
      <c r="G836" s="383"/>
      <c r="H836" s="507"/>
      <c r="I836" s="382"/>
      <c r="J836" s="418"/>
      <c r="K836" s="383"/>
      <c r="L836" s="507"/>
      <c r="M836" s="382"/>
      <c r="N836" s="418"/>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8"/>
      <c r="AM836" s="383"/>
      <c r="AN836" s="507"/>
      <c r="AO836" s="382"/>
      <c r="AP836" s="418"/>
      <c r="AQ836" s="383"/>
      <c r="AR836" s="507"/>
      <c r="AS836" s="514"/>
      <c r="AT836" s="514"/>
    </row>
    <row r="837">
      <c r="A837" s="382"/>
      <c r="B837" s="418"/>
      <c r="C837" s="383"/>
      <c r="D837" s="507"/>
      <c r="E837" s="382"/>
      <c r="F837" s="418"/>
      <c r="G837" s="383"/>
      <c r="H837" s="507"/>
      <c r="I837" s="382"/>
      <c r="J837" s="418"/>
      <c r="K837" s="383"/>
      <c r="L837" s="507"/>
      <c r="M837" s="382"/>
      <c r="N837" s="418"/>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8"/>
      <c r="AM837" s="383"/>
      <c r="AN837" s="507"/>
      <c r="AO837" s="382"/>
      <c r="AP837" s="418"/>
      <c r="AQ837" s="383"/>
      <c r="AR837" s="507"/>
      <c r="AS837" s="514"/>
      <c r="AT837" s="514"/>
    </row>
    <row r="838">
      <c r="A838" s="382"/>
      <c r="B838" s="418"/>
      <c r="C838" s="383"/>
      <c r="D838" s="507"/>
      <c r="E838" s="382"/>
      <c r="F838" s="418"/>
      <c r="G838" s="383"/>
      <c r="H838" s="507"/>
      <c r="I838" s="382"/>
      <c r="J838" s="418"/>
      <c r="K838" s="383"/>
      <c r="L838" s="507"/>
      <c r="M838" s="382"/>
      <c r="N838" s="418"/>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8"/>
      <c r="AM838" s="383"/>
      <c r="AN838" s="507"/>
      <c r="AO838" s="382"/>
      <c r="AP838" s="418"/>
      <c r="AQ838" s="383"/>
      <c r="AR838" s="507"/>
      <c r="AS838" s="514"/>
      <c r="AT838" s="514"/>
    </row>
    <row r="839">
      <c r="A839" s="382"/>
      <c r="B839" s="418"/>
      <c r="C839" s="383"/>
      <c r="D839" s="507"/>
      <c r="E839" s="382"/>
      <c r="F839" s="418"/>
      <c r="G839" s="383"/>
      <c r="H839" s="507"/>
      <c r="I839" s="382"/>
      <c r="J839" s="418"/>
      <c r="K839" s="383"/>
      <c r="L839" s="507"/>
      <c r="M839" s="382"/>
      <c r="N839" s="418"/>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8"/>
      <c r="AM839" s="383"/>
      <c r="AN839" s="507"/>
      <c r="AO839" s="382"/>
      <c r="AP839" s="418"/>
      <c r="AQ839" s="383"/>
      <c r="AR839" s="507"/>
      <c r="AS839" s="514"/>
      <c r="AT839" s="514"/>
    </row>
    <row r="840">
      <c r="A840" s="382"/>
      <c r="B840" s="418"/>
      <c r="C840" s="383"/>
      <c r="D840" s="507"/>
      <c r="E840" s="382"/>
      <c r="F840" s="418"/>
      <c r="G840" s="383"/>
      <c r="H840" s="507"/>
      <c r="I840" s="382"/>
      <c r="J840" s="418"/>
      <c r="K840" s="383"/>
      <c r="L840" s="507"/>
      <c r="M840" s="382"/>
      <c r="N840" s="418"/>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8"/>
      <c r="AM840" s="383"/>
      <c r="AN840" s="507"/>
      <c r="AO840" s="382"/>
      <c r="AP840" s="418"/>
      <c r="AQ840" s="383"/>
      <c r="AR840" s="507"/>
      <c r="AS840" s="514"/>
      <c r="AT840" s="514"/>
    </row>
    <row r="841">
      <c r="A841" s="382"/>
      <c r="B841" s="418"/>
      <c r="C841" s="383"/>
      <c r="D841" s="507"/>
      <c r="E841" s="382"/>
      <c r="F841" s="418"/>
      <c r="G841" s="383"/>
      <c r="H841" s="507"/>
      <c r="I841" s="382"/>
      <c r="J841" s="418"/>
      <c r="K841" s="383"/>
      <c r="L841" s="507"/>
      <c r="M841" s="382"/>
      <c r="N841" s="418"/>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8"/>
      <c r="AM841" s="383"/>
      <c r="AN841" s="507"/>
      <c r="AO841" s="382"/>
      <c r="AP841" s="418"/>
      <c r="AQ841" s="383"/>
      <c r="AR841" s="507"/>
      <c r="AS841" s="514"/>
      <c r="AT841" s="514"/>
    </row>
    <row r="842">
      <c r="A842" s="382"/>
      <c r="B842" s="418"/>
      <c r="C842" s="383"/>
      <c r="D842" s="507"/>
      <c r="E842" s="382"/>
      <c r="F842" s="418"/>
      <c r="G842" s="383"/>
      <c r="H842" s="507"/>
      <c r="I842" s="382"/>
      <c r="J842" s="418"/>
      <c r="K842" s="383"/>
      <c r="L842" s="507"/>
      <c r="M842" s="382"/>
      <c r="N842" s="418"/>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8"/>
      <c r="AM842" s="383"/>
      <c r="AN842" s="507"/>
      <c r="AO842" s="382"/>
      <c r="AP842" s="418"/>
      <c r="AQ842" s="383"/>
      <c r="AR842" s="507"/>
      <c r="AS842" s="514"/>
      <c r="AT842" s="514"/>
    </row>
    <row r="843">
      <c r="A843" s="382"/>
      <c r="B843" s="418"/>
      <c r="C843" s="383"/>
      <c r="D843" s="507"/>
      <c r="E843" s="382"/>
      <c r="F843" s="418"/>
      <c r="G843" s="383"/>
      <c r="H843" s="507"/>
      <c r="I843" s="382"/>
      <c r="J843" s="418"/>
      <c r="K843" s="383"/>
      <c r="L843" s="507"/>
      <c r="M843" s="382"/>
      <c r="N843" s="418"/>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8"/>
      <c r="AM843" s="383"/>
      <c r="AN843" s="507"/>
      <c r="AO843" s="382"/>
      <c r="AP843" s="418"/>
      <c r="AQ843" s="383"/>
      <c r="AR843" s="507"/>
      <c r="AS843" s="514"/>
      <c r="AT843" s="514"/>
    </row>
    <row r="844">
      <c r="A844" s="382"/>
      <c r="B844" s="418"/>
      <c r="C844" s="383"/>
      <c r="D844" s="507"/>
      <c r="E844" s="382"/>
      <c r="F844" s="418"/>
      <c r="G844" s="383"/>
      <c r="H844" s="507"/>
      <c r="I844" s="382"/>
      <c r="J844" s="418"/>
      <c r="K844" s="383"/>
      <c r="L844" s="507"/>
      <c r="M844" s="382"/>
      <c r="N844" s="418"/>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8"/>
      <c r="AM844" s="383"/>
      <c r="AN844" s="507"/>
      <c r="AO844" s="382"/>
      <c r="AP844" s="418"/>
      <c r="AQ844" s="383"/>
      <c r="AR844" s="507"/>
      <c r="AS844" s="514"/>
      <c r="AT844" s="514"/>
    </row>
    <row r="845">
      <c r="A845" s="382"/>
      <c r="B845" s="418"/>
      <c r="C845" s="383"/>
      <c r="D845" s="507"/>
      <c r="E845" s="382"/>
      <c r="F845" s="418"/>
      <c r="G845" s="383"/>
      <c r="H845" s="507"/>
      <c r="I845" s="382"/>
      <c r="J845" s="418"/>
      <c r="K845" s="383"/>
      <c r="L845" s="507"/>
      <c r="M845" s="382"/>
      <c r="N845" s="418"/>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8"/>
      <c r="AM845" s="383"/>
      <c r="AN845" s="507"/>
      <c r="AO845" s="382"/>
      <c r="AP845" s="418"/>
      <c r="AQ845" s="383"/>
      <c r="AR845" s="507"/>
      <c r="AS845" s="514"/>
      <c r="AT845" s="514"/>
    </row>
    <row r="846">
      <c r="A846" s="382"/>
      <c r="B846" s="418"/>
      <c r="C846" s="383"/>
      <c r="D846" s="507"/>
      <c r="E846" s="382"/>
      <c r="F846" s="418"/>
      <c r="G846" s="383"/>
      <c r="H846" s="507"/>
      <c r="I846" s="382"/>
      <c r="J846" s="418"/>
      <c r="K846" s="383"/>
      <c r="L846" s="507"/>
      <c r="M846" s="382"/>
      <c r="N846" s="418"/>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8"/>
      <c r="AM846" s="383"/>
      <c r="AN846" s="507"/>
      <c r="AO846" s="382"/>
      <c r="AP846" s="418"/>
      <c r="AQ846" s="383"/>
      <c r="AR846" s="507"/>
      <c r="AS846" s="514"/>
      <c r="AT846" s="514"/>
    </row>
    <row r="847">
      <c r="A847" s="382"/>
      <c r="B847" s="418"/>
      <c r="C847" s="383"/>
      <c r="D847" s="507"/>
      <c r="E847" s="382"/>
      <c r="F847" s="418"/>
      <c r="G847" s="383"/>
      <c r="H847" s="507"/>
      <c r="I847" s="382"/>
      <c r="J847" s="418"/>
      <c r="K847" s="383"/>
      <c r="L847" s="507"/>
      <c r="M847" s="382"/>
      <c r="N847" s="418"/>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8"/>
      <c r="AM847" s="383"/>
      <c r="AN847" s="507"/>
      <c r="AO847" s="382"/>
      <c r="AP847" s="418"/>
      <c r="AQ847" s="383"/>
      <c r="AR847" s="507"/>
      <c r="AS847" s="514"/>
      <c r="AT847" s="514"/>
    </row>
    <row r="848">
      <c r="A848" s="382"/>
      <c r="B848" s="418"/>
      <c r="C848" s="383"/>
      <c r="D848" s="507"/>
      <c r="E848" s="382"/>
      <c r="F848" s="418"/>
      <c r="G848" s="383"/>
      <c r="H848" s="507"/>
      <c r="I848" s="382"/>
      <c r="J848" s="418"/>
      <c r="K848" s="383"/>
      <c r="L848" s="507"/>
      <c r="M848" s="382"/>
      <c r="N848" s="418"/>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8"/>
      <c r="AM848" s="383"/>
      <c r="AN848" s="507"/>
      <c r="AO848" s="382"/>
      <c r="AP848" s="418"/>
      <c r="AQ848" s="383"/>
      <c r="AR848" s="507"/>
      <c r="AS848" s="514"/>
      <c r="AT848" s="514"/>
    </row>
    <row r="849">
      <c r="A849" s="382"/>
      <c r="B849" s="418"/>
      <c r="C849" s="383"/>
      <c r="D849" s="507"/>
      <c r="E849" s="382"/>
      <c r="F849" s="418"/>
      <c r="G849" s="383"/>
      <c r="H849" s="507"/>
      <c r="I849" s="382"/>
      <c r="J849" s="418"/>
      <c r="K849" s="383"/>
      <c r="L849" s="507"/>
      <c r="M849" s="382"/>
      <c r="N849" s="418"/>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8"/>
      <c r="AM849" s="383"/>
      <c r="AN849" s="507"/>
      <c r="AO849" s="382"/>
      <c r="AP849" s="418"/>
      <c r="AQ849" s="383"/>
      <c r="AR849" s="507"/>
      <c r="AS849" s="514"/>
      <c r="AT849" s="514"/>
    </row>
    <row r="850">
      <c r="A850" s="382"/>
      <c r="B850" s="418"/>
      <c r="C850" s="383"/>
      <c r="D850" s="507"/>
      <c r="E850" s="382"/>
      <c r="F850" s="418"/>
      <c r="G850" s="383"/>
      <c r="H850" s="507"/>
      <c r="I850" s="382"/>
      <c r="J850" s="418"/>
      <c r="K850" s="383"/>
      <c r="L850" s="507"/>
      <c r="M850" s="382"/>
      <c r="N850" s="418"/>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8"/>
      <c r="AM850" s="383"/>
      <c r="AN850" s="507"/>
      <c r="AO850" s="382"/>
      <c r="AP850" s="418"/>
      <c r="AQ850" s="383"/>
      <c r="AR850" s="507"/>
      <c r="AS850" s="514"/>
      <c r="AT850" s="514"/>
    </row>
    <row r="851">
      <c r="A851" s="382"/>
      <c r="B851" s="418"/>
      <c r="C851" s="383"/>
      <c r="D851" s="507"/>
      <c r="E851" s="382"/>
      <c r="F851" s="418"/>
      <c r="G851" s="383"/>
      <c r="H851" s="507"/>
      <c r="I851" s="382"/>
      <c r="J851" s="418"/>
      <c r="K851" s="383"/>
      <c r="L851" s="507"/>
      <c r="M851" s="382"/>
      <c r="N851" s="418"/>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8"/>
      <c r="AM851" s="383"/>
      <c r="AN851" s="507"/>
      <c r="AO851" s="382"/>
      <c r="AP851" s="418"/>
      <c r="AQ851" s="383"/>
      <c r="AR851" s="507"/>
      <c r="AS851" s="514"/>
      <c r="AT851" s="514"/>
    </row>
    <row r="852">
      <c r="A852" s="382"/>
      <c r="B852" s="418"/>
      <c r="C852" s="383"/>
      <c r="D852" s="507"/>
      <c r="E852" s="382"/>
      <c r="F852" s="418"/>
      <c r="G852" s="383"/>
      <c r="H852" s="507"/>
      <c r="I852" s="382"/>
      <c r="J852" s="418"/>
      <c r="K852" s="383"/>
      <c r="L852" s="507"/>
      <c r="M852" s="382"/>
      <c r="N852" s="418"/>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8"/>
      <c r="AM852" s="383"/>
      <c r="AN852" s="507"/>
      <c r="AO852" s="382"/>
      <c r="AP852" s="418"/>
      <c r="AQ852" s="383"/>
      <c r="AR852" s="507"/>
      <c r="AS852" s="514"/>
      <c r="AT852" s="514"/>
    </row>
    <row r="853">
      <c r="A853" s="382"/>
      <c r="B853" s="418"/>
      <c r="C853" s="383"/>
      <c r="D853" s="507"/>
      <c r="E853" s="382"/>
      <c r="F853" s="418"/>
      <c r="G853" s="383"/>
      <c r="H853" s="507"/>
      <c r="I853" s="382"/>
      <c r="J853" s="418"/>
      <c r="K853" s="383"/>
      <c r="L853" s="507"/>
      <c r="M853" s="382"/>
      <c r="N853" s="418"/>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8"/>
      <c r="AM853" s="383"/>
      <c r="AN853" s="507"/>
      <c r="AO853" s="382"/>
      <c r="AP853" s="418"/>
      <c r="AQ853" s="383"/>
      <c r="AR853" s="507"/>
      <c r="AS853" s="514"/>
      <c r="AT853" s="514"/>
    </row>
    <row r="854">
      <c r="A854" s="382"/>
      <c r="B854" s="418"/>
      <c r="C854" s="383"/>
      <c r="D854" s="507"/>
      <c r="E854" s="382"/>
      <c r="F854" s="418"/>
      <c r="G854" s="383"/>
      <c r="H854" s="507"/>
      <c r="I854" s="382"/>
      <c r="J854" s="418"/>
      <c r="K854" s="383"/>
      <c r="L854" s="507"/>
      <c r="M854" s="382"/>
      <c r="N854" s="418"/>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8"/>
      <c r="AM854" s="383"/>
      <c r="AN854" s="507"/>
      <c r="AO854" s="382"/>
      <c r="AP854" s="418"/>
      <c r="AQ854" s="383"/>
      <c r="AR854" s="507"/>
      <c r="AS854" s="514"/>
      <c r="AT854" s="514"/>
    </row>
    <row r="855">
      <c r="A855" s="382"/>
      <c r="B855" s="418"/>
      <c r="C855" s="383"/>
      <c r="D855" s="507"/>
      <c r="E855" s="382"/>
      <c r="F855" s="418"/>
      <c r="G855" s="383"/>
      <c r="H855" s="507"/>
      <c r="I855" s="382"/>
      <c r="J855" s="418"/>
      <c r="K855" s="383"/>
      <c r="L855" s="507"/>
      <c r="M855" s="382"/>
      <c r="N855" s="418"/>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8"/>
      <c r="AM855" s="383"/>
      <c r="AN855" s="507"/>
      <c r="AO855" s="382"/>
      <c r="AP855" s="418"/>
      <c r="AQ855" s="383"/>
      <c r="AR855" s="507"/>
      <c r="AS855" s="514"/>
      <c r="AT855" s="514"/>
    </row>
    <row r="856">
      <c r="A856" s="382"/>
      <c r="B856" s="418"/>
      <c r="C856" s="383"/>
      <c r="D856" s="507"/>
      <c r="E856" s="382"/>
      <c r="F856" s="418"/>
      <c r="G856" s="383"/>
      <c r="H856" s="507"/>
      <c r="I856" s="382"/>
      <c r="J856" s="418"/>
      <c r="K856" s="383"/>
      <c r="L856" s="507"/>
      <c r="M856" s="382"/>
      <c r="N856" s="418"/>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8"/>
      <c r="AM856" s="383"/>
      <c r="AN856" s="507"/>
      <c r="AO856" s="382"/>
      <c r="AP856" s="418"/>
      <c r="AQ856" s="383"/>
      <c r="AR856" s="507"/>
      <c r="AS856" s="514"/>
      <c r="AT856" s="514"/>
    </row>
    <row r="857">
      <c r="A857" s="382"/>
      <c r="B857" s="418"/>
      <c r="C857" s="383"/>
      <c r="D857" s="507"/>
      <c r="E857" s="382"/>
      <c r="F857" s="418"/>
      <c r="G857" s="383"/>
      <c r="H857" s="507"/>
      <c r="I857" s="382"/>
      <c r="J857" s="418"/>
      <c r="K857" s="383"/>
      <c r="L857" s="507"/>
      <c r="M857" s="382"/>
      <c r="N857" s="418"/>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8"/>
      <c r="AM857" s="383"/>
      <c r="AN857" s="507"/>
      <c r="AO857" s="382"/>
      <c r="AP857" s="418"/>
      <c r="AQ857" s="383"/>
      <c r="AR857" s="507"/>
      <c r="AS857" s="514"/>
      <c r="AT857" s="514"/>
    </row>
    <row r="858">
      <c r="A858" s="382"/>
      <c r="B858" s="418"/>
      <c r="C858" s="383"/>
      <c r="D858" s="507"/>
      <c r="E858" s="382"/>
      <c r="F858" s="418"/>
      <c r="G858" s="383"/>
      <c r="H858" s="507"/>
      <c r="I858" s="382"/>
      <c r="J858" s="418"/>
      <c r="K858" s="383"/>
      <c r="L858" s="507"/>
      <c r="M858" s="382"/>
      <c r="N858" s="418"/>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8"/>
      <c r="AM858" s="383"/>
      <c r="AN858" s="507"/>
      <c r="AO858" s="382"/>
      <c r="AP858" s="418"/>
      <c r="AQ858" s="383"/>
      <c r="AR858" s="507"/>
      <c r="AS858" s="514"/>
      <c r="AT858" s="514"/>
    </row>
    <row r="859">
      <c r="A859" s="382"/>
      <c r="B859" s="418"/>
      <c r="C859" s="383"/>
      <c r="D859" s="507"/>
      <c r="E859" s="382"/>
      <c r="F859" s="418"/>
      <c r="G859" s="383"/>
      <c r="H859" s="507"/>
      <c r="I859" s="382"/>
      <c r="J859" s="418"/>
      <c r="K859" s="383"/>
      <c r="L859" s="507"/>
      <c r="M859" s="382"/>
      <c r="N859" s="418"/>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8"/>
      <c r="AM859" s="383"/>
      <c r="AN859" s="507"/>
      <c r="AO859" s="382"/>
      <c r="AP859" s="418"/>
      <c r="AQ859" s="383"/>
      <c r="AR859" s="507"/>
      <c r="AS859" s="514"/>
      <c r="AT859" s="514"/>
    </row>
    <row r="860">
      <c r="A860" s="382"/>
      <c r="B860" s="418"/>
      <c r="C860" s="383"/>
      <c r="D860" s="507"/>
      <c r="E860" s="382"/>
      <c r="F860" s="418"/>
      <c r="G860" s="383"/>
      <c r="H860" s="507"/>
      <c r="I860" s="382"/>
      <c r="J860" s="418"/>
      <c r="K860" s="383"/>
      <c r="L860" s="507"/>
      <c r="M860" s="382"/>
      <c r="N860" s="418"/>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8"/>
      <c r="AM860" s="383"/>
      <c r="AN860" s="507"/>
      <c r="AO860" s="382"/>
      <c r="AP860" s="418"/>
      <c r="AQ860" s="383"/>
      <c r="AR860" s="507"/>
      <c r="AS860" s="514"/>
      <c r="AT860" s="514"/>
    </row>
    <row r="861">
      <c r="A861" s="382"/>
      <c r="B861" s="418"/>
      <c r="C861" s="383"/>
      <c r="D861" s="507"/>
      <c r="E861" s="382"/>
      <c r="F861" s="418"/>
      <c r="G861" s="383"/>
      <c r="H861" s="507"/>
      <c r="I861" s="382"/>
      <c r="J861" s="418"/>
      <c r="K861" s="383"/>
      <c r="L861" s="507"/>
      <c r="M861" s="382"/>
      <c r="N861" s="418"/>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8"/>
      <c r="AM861" s="383"/>
      <c r="AN861" s="507"/>
      <c r="AO861" s="382"/>
      <c r="AP861" s="418"/>
      <c r="AQ861" s="383"/>
      <c r="AR861" s="507"/>
      <c r="AS861" s="514"/>
      <c r="AT861" s="514"/>
    </row>
    <row r="862">
      <c r="A862" s="382"/>
      <c r="B862" s="418"/>
      <c r="C862" s="383"/>
      <c r="D862" s="507"/>
      <c r="E862" s="382"/>
      <c r="F862" s="418"/>
      <c r="G862" s="383"/>
      <c r="H862" s="507"/>
      <c r="I862" s="382"/>
      <c r="J862" s="418"/>
      <c r="K862" s="383"/>
      <c r="L862" s="507"/>
      <c r="M862" s="382"/>
      <c r="N862" s="418"/>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8"/>
      <c r="AM862" s="383"/>
      <c r="AN862" s="507"/>
      <c r="AO862" s="382"/>
      <c r="AP862" s="418"/>
      <c r="AQ862" s="383"/>
      <c r="AR862" s="507"/>
      <c r="AS862" s="514"/>
      <c r="AT862" s="514"/>
    </row>
    <row r="863">
      <c r="A863" s="382"/>
      <c r="B863" s="418"/>
      <c r="C863" s="383"/>
      <c r="D863" s="507"/>
      <c r="E863" s="382"/>
      <c r="F863" s="418"/>
      <c r="G863" s="383"/>
      <c r="H863" s="507"/>
      <c r="I863" s="382"/>
      <c r="J863" s="418"/>
      <c r="K863" s="383"/>
      <c r="L863" s="507"/>
      <c r="M863" s="382"/>
      <c r="N863" s="418"/>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8"/>
      <c r="AM863" s="383"/>
      <c r="AN863" s="507"/>
      <c r="AO863" s="382"/>
      <c r="AP863" s="418"/>
      <c r="AQ863" s="383"/>
      <c r="AR863" s="507"/>
      <c r="AS863" s="514"/>
      <c r="AT863" s="514"/>
    </row>
    <row r="864">
      <c r="A864" s="382"/>
      <c r="B864" s="418"/>
      <c r="C864" s="383"/>
      <c r="D864" s="507"/>
      <c r="E864" s="382"/>
      <c r="F864" s="418"/>
      <c r="G864" s="383"/>
      <c r="H864" s="507"/>
      <c r="I864" s="382"/>
      <c r="J864" s="418"/>
      <c r="K864" s="383"/>
      <c r="L864" s="507"/>
      <c r="M864" s="382"/>
      <c r="N864" s="418"/>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8"/>
      <c r="AM864" s="383"/>
      <c r="AN864" s="507"/>
      <c r="AO864" s="382"/>
      <c r="AP864" s="418"/>
      <c r="AQ864" s="383"/>
      <c r="AR864" s="507"/>
      <c r="AS864" s="514"/>
      <c r="AT864" s="514"/>
    </row>
    <row r="865">
      <c r="A865" s="382"/>
      <c r="B865" s="418"/>
      <c r="C865" s="383"/>
      <c r="D865" s="507"/>
      <c r="E865" s="382"/>
      <c r="F865" s="418"/>
      <c r="G865" s="383"/>
      <c r="H865" s="507"/>
      <c r="I865" s="382"/>
      <c r="J865" s="418"/>
      <c r="K865" s="383"/>
      <c r="L865" s="507"/>
      <c r="M865" s="382"/>
      <c r="N865" s="418"/>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8"/>
      <c r="AM865" s="383"/>
      <c r="AN865" s="507"/>
      <c r="AO865" s="382"/>
      <c r="AP865" s="418"/>
      <c r="AQ865" s="383"/>
      <c r="AR865" s="507"/>
      <c r="AS865" s="514"/>
      <c r="AT865" s="514"/>
    </row>
    <row r="866">
      <c r="A866" s="382"/>
      <c r="B866" s="418"/>
      <c r="C866" s="383"/>
      <c r="D866" s="507"/>
      <c r="E866" s="382"/>
      <c r="F866" s="418"/>
      <c r="G866" s="383"/>
      <c r="H866" s="507"/>
      <c r="I866" s="382"/>
      <c r="J866" s="418"/>
      <c r="K866" s="383"/>
      <c r="L866" s="507"/>
      <c r="M866" s="382"/>
      <c r="N866" s="418"/>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8"/>
      <c r="AM866" s="383"/>
      <c r="AN866" s="507"/>
      <c r="AO866" s="382"/>
      <c r="AP866" s="418"/>
      <c r="AQ866" s="383"/>
      <c r="AR866" s="507"/>
      <c r="AS866" s="514"/>
      <c r="AT866" s="514"/>
    </row>
    <row r="867">
      <c r="A867" s="382"/>
      <c r="B867" s="418"/>
      <c r="C867" s="383"/>
      <c r="D867" s="507"/>
      <c r="E867" s="382"/>
      <c r="F867" s="418"/>
      <c r="G867" s="383"/>
      <c r="H867" s="507"/>
      <c r="I867" s="382"/>
      <c r="J867" s="418"/>
      <c r="K867" s="383"/>
      <c r="L867" s="507"/>
      <c r="M867" s="382"/>
      <c r="N867" s="418"/>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8"/>
      <c r="AM867" s="383"/>
      <c r="AN867" s="507"/>
      <c r="AO867" s="382"/>
      <c r="AP867" s="418"/>
      <c r="AQ867" s="383"/>
      <c r="AR867" s="507"/>
      <c r="AS867" s="514"/>
      <c r="AT867" s="514"/>
    </row>
    <row r="868">
      <c r="A868" s="382"/>
      <c r="B868" s="418"/>
      <c r="C868" s="383"/>
      <c r="D868" s="507"/>
      <c r="E868" s="382"/>
      <c r="F868" s="418"/>
      <c r="G868" s="383"/>
      <c r="H868" s="507"/>
      <c r="I868" s="382"/>
      <c r="J868" s="418"/>
      <c r="K868" s="383"/>
      <c r="L868" s="507"/>
      <c r="M868" s="382"/>
      <c r="N868" s="418"/>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8"/>
      <c r="AM868" s="383"/>
      <c r="AN868" s="507"/>
      <c r="AO868" s="382"/>
      <c r="AP868" s="418"/>
      <c r="AQ868" s="383"/>
      <c r="AR868" s="507"/>
      <c r="AS868" s="514"/>
      <c r="AT868" s="514"/>
    </row>
    <row r="869">
      <c r="A869" s="382"/>
      <c r="B869" s="418"/>
      <c r="C869" s="383"/>
      <c r="D869" s="507"/>
      <c r="E869" s="382"/>
      <c r="F869" s="418"/>
      <c r="G869" s="383"/>
      <c r="H869" s="507"/>
      <c r="I869" s="382"/>
      <c r="J869" s="418"/>
      <c r="K869" s="383"/>
      <c r="L869" s="507"/>
      <c r="M869" s="382"/>
      <c r="N869" s="418"/>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8"/>
      <c r="AM869" s="383"/>
      <c r="AN869" s="507"/>
      <c r="AO869" s="382"/>
      <c r="AP869" s="418"/>
      <c r="AQ869" s="383"/>
      <c r="AR869" s="507"/>
      <c r="AS869" s="514"/>
      <c r="AT869" s="514"/>
    </row>
    <row r="870">
      <c r="A870" s="382"/>
      <c r="B870" s="418"/>
      <c r="C870" s="383"/>
      <c r="D870" s="507"/>
      <c r="E870" s="382"/>
      <c r="F870" s="418"/>
      <c r="G870" s="383"/>
      <c r="H870" s="507"/>
      <c r="I870" s="382"/>
      <c r="J870" s="418"/>
      <c r="K870" s="383"/>
      <c r="L870" s="507"/>
      <c r="M870" s="382"/>
      <c r="N870" s="418"/>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8"/>
      <c r="AM870" s="383"/>
      <c r="AN870" s="507"/>
      <c r="AO870" s="382"/>
      <c r="AP870" s="418"/>
      <c r="AQ870" s="383"/>
      <c r="AR870" s="507"/>
      <c r="AS870" s="514"/>
      <c r="AT870" s="514"/>
    </row>
    <row r="871">
      <c r="A871" s="382"/>
      <c r="B871" s="418"/>
      <c r="C871" s="383"/>
      <c r="D871" s="507"/>
      <c r="E871" s="382"/>
      <c r="F871" s="418"/>
      <c r="G871" s="383"/>
      <c r="H871" s="507"/>
      <c r="I871" s="382"/>
      <c r="J871" s="418"/>
      <c r="K871" s="383"/>
      <c r="L871" s="507"/>
      <c r="M871" s="382"/>
      <c r="N871" s="418"/>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8"/>
      <c r="AM871" s="383"/>
      <c r="AN871" s="507"/>
      <c r="AO871" s="382"/>
      <c r="AP871" s="418"/>
      <c r="AQ871" s="383"/>
      <c r="AR871" s="507"/>
      <c r="AS871" s="514"/>
      <c r="AT871" s="514"/>
    </row>
    <row r="872">
      <c r="A872" s="382"/>
      <c r="B872" s="418"/>
      <c r="C872" s="383"/>
      <c r="D872" s="507"/>
      <c r="E872" s="382"/>
      <c r="F872" s="418"/>
      <c r="G872" s="383"/>
      <c r="H872" s="507"/>
      <c r="I872" s="382"/>
      <c r="J872" s="418"/>
      <c r="K872" s="383"/>
      <c r="L872" s="507"/>
      <c r="M872" s="382"/>
      <c r="N872" s="418"/>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8"/>
      <c r="AM872" s="383"/>
      <c r="AN872" s="507"/>
      <c r="AO872" s="382"/>
      <c r="AP872" s="418"/>
      <c r="AQ872" s="383"/>
      <c r="AR872" s="507"/>
      <c r="AS872" s="514"/>
      <c r="AT872" s="514"/>
    </row>
    <row r="873">
      <c r="A873" s="382"/>
      <c r="B873" s="418"/>
      <c r="C873" s="383"/>
      <c r="D873" s="507"/>
      <c r="E873" s="382"/>
      <c r="F873" s="418"/>
      <c r="G873" s="383"/>
      <c r="H873" s="507"/>
      <c r="I873" s="382"/>
      <c r="J873" s="418"/>
      <c r="K873" s="383"/>
      <c r="L873" s="507"/>
      <c r="M873" s="382"/>
      <c r="N873" s="418"/>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8"/>
      <c r="AM873" s="383"/>
      <c r="AN873" s="507"/>
      <c r="AO873" s="382"/>
      <c r="AP873" s="418"/>
      <c r="AQ873" s="383"/>
      <c r="AR873" s="507"/>
      <c r="AS873" s="514"/>
      <c r="AT873" s="514"/>
    </row>
    <row r="874">
      <c r="A874" s="382"/>
      <c r="B874" s="418"/>
      <c r="C874" s="383"/>
      <c r="D874" s="507"/>
      <c r="E874" s="382"/>
      <c r="F874" s="418"/>
      <c r="G874" s="383"/>
      <c r="H874" s="507"/>
      <c r="I874" s="382"/>
      <c r="J874" s="418"/>
      <c r="K874" s="383"/>
      <c r="L874" s="507"/>
      <c r="M874" s="382"/>
      <c r="N874" s="418"/>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8"/>
      <c r="AM874" s="383"/>
      <c r="AN874" s="507"/>
      <c r="AO874" s="382"/>
      <c r="AP874" s="418"/>
      <c r="AQ874" s="383"/>
      <c r="AR874" s="507"/>
      <c r="AS874" s="514"/>
      <c r="AT874" s="514"/>
    </row>
    <row r="875">
      <c r="A875" s="382"/>
      <c r="B875" s="418"/>
      <c r="C875" s="383"/>
      <c r="D875" s="507"/>
      <c r="E875" s="382"/>
      <c r="F875" s="418"/>
      <c r="G875" s="383"/>
      <c r="H875" s="507"/>
      <c r="I875" s="382"/>
      <c r="J875" s="418"/>
      <c r="K875" s="383"/>
      <c r="L875" s="507"/>
      <c r="M875" s="382"/>
      <c r="N875" s="418"/>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8"/>
      <c r="AM875" s="383"/>
      <c r="AN875" s="507"/>
      <c r="AO875" s="382"/>
      <c r="AP875" s="418"/>
      <c r="AQ875" s="383"/>
      <c r="AR875" s="507"/>
      <c r="AS875" s="514"/>
      <c r="AT875" s="514"/>
    </row>
    <row r="876">
      <c r="A876" s="382"/>
      <c r="B876" s="418"/>
      <c r="C876" s="383"/>
      <c r="D876" s="507"/>
      <c r="E876" s="382"/>
      <c r="F876" s="418"/>
      <c r="G876" s="383"/>
      <c r="H876" s="507"/>
      <c r="I876" s="382"/>
      <c r="J876" s="418"/>
      <c r="K876" s="383"/>
      <c r="L876" s="507"/>
      <c r="M876" s="382"/>
      <c r="N876" s="418"/>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8"/>
      <c r="AM876" s="383"/>
      <c r="AN876" s="507"/>
      <c r="AO876" s="382"/>
      <c r="AP876" s="418"/>
      <c r="AQ876" s="383"/>
      <c r="AR876" s="507"/>
      <c r="AS876" s="514"/>
      <c r="AT876" s="514"/>
    </row>
    <row r="877">
      <c r="A877" s="382"/>
      <c r="B877" s="418"/>
      <c r="C877" s="383"/>
      <c r="D877" s="507"/>
      <c r="E877" s="382"/>
      <c r="F877" s="418"/>
      <c r="G877" s="383"/>
      <c r="H877" s="507"/>
      <c r="I877" s="382"/>
      <c r="J877" s="418"/>
      <c r="K877" s="383"/>
      <c r="L877" s="507"/>
      <c r="M877" s="382"/>
      <c r="N877" s="418"/>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8"/>
      <c r="AM877" s="383"/>
      <c r="AN877" s="507"/>
      <c r="AO877" s="382"/>
      <c r="AP877" s="418"/>
      <c r="AQ877" s="383"/>
      <c r="AR877" s="507"/>
      <c r="AS877" s="514"/>
      <c r="AT877" s="514"/>
    </row>
    <row r="878">
      <c r="A878" s="382"/>
      <c r="B878" s="418"/>
      <c r="C878" s="383"/>
      <c r="D878" s="507"/>
      <c r="E878" s="382"/>
      <c r="F878" s="418"/>
      <c r="G878" s="383"/>
      <c r="H878" s="507"/>
      <c r="I878" s="382"/>
      <c r="J878" s="418"/>
      <c r="K878" s="383"/>
      <c r="L878" s="507"/>
      <c r="M878" s="382"/>
      <c r="N878" s="418"/>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8"/>
      <c r="AM878" s="383"/>
      <c r="AN878" s="507"/>
      <c r="AO878" s="382"/>
      <c r="AP878" s="418"/>
      <c r="AQ878" s="383"/>
      <c r="AR878" s="507"/>
      <c r="AS878" s="514"/>
      <c r="AT878" s="514"/>
    </row>
    <row r="879">
      <c r="A879" s="382"/>
      <c r="B879" s="418"/>
      <c r="C879" s="383"/>
      <c r="D879" s="507"/>
      <c r="E879" s="382"/>
      <c r="F879" s="418"/>
      <c r="G879" s="383"/>
      <c r="H879" s="507"/>
      <c r="I879" s="382"/>
      <c r="J879" s="418"/>
      <c r="K879" s="383"/>
      <c r="L879" s="507"/>
      <c r="M879" s="382"/>
      <c r="N879" s="418"/>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8"/>
      <c r="AM879" s="383"/>
      <c r="AN879" s="507"/>
      <c r="AO879" s="382"/>
      <c r="AP879" s="418"/>
      <c r="AQ879" s="383"/>
      <c r="AR879" s="507"/>
      <c r="AS879" s="514"/>
      <c r="AT879" s="514"/>
    </row>
    <row r="880">
      <c r="A880" s="382"/>
      <c r="B880" s="418"/>
      <c r="C880" s="383"/>
      <c r="D880" s="507"/>
      <c r="E880" s="382"/>
      <c r="F880" s="418"/>
      <c r="G880" s="383"/>
      <c r="H880" s="507"/>
      <c r="I880" s="382"/>
      <c r="J880" s="418"/>
      <c r="K880" s="383"/>
      <c r="L880" s="507"/>
      <c r="M880" s="382"/>
      <c r="N880" s="418"/>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8"/>
      <c r="AM880" s="383"/>
      <c r="AN880" s="507"/>
      <c r="AO880" s="382"/>
      <c r="AP880" s="418"/>
      <c r="AQ880" s="383"/>
      <c r="AR880" s="507"/>
      <c r="AS880" s="514"/>
      <c r="AT880" s="514"/>
    </row>
    <row r="881">
      <c r="A881" s="382"/>
      <c r="B881" s="418"/>
      <c r="C881" s="383"/>
      <c r="D881" s="507"/>
      <c r="E881" s="382"/>
      <c r="F881" s="418"/>
      <c r="G881" s="383"/>
      <c r="H881" s="507"/>
      <c r="I881" s="382"/>
      <c r="J881" s="418"/>
      <c r="K881" s="383"/>
      <c r="L881" s="507"/>
      <c r="M881" s="382"/>
      <c r="N881" s="418"/>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8"/>
      <c r="AM881" s="383"/>
      <c r="AN881" s="507"/>
      <c r="AO881" s="382"/>
      <c r="AP881" s="418"/>
      <c r="AQ881" s="383"/>
      <c r="AR881" s="507"/>
      <c r="AS881" s="514"/>
      <c r="AT881" s="514"/>
    </row>
    <row r="882">
      <c r="A882" s="382"/>
      <c r="B882" s="418"/>
      <c r="C882" s="383"/>
      <c r="D882" s="507"/>
      <c r="E882" s="382"/>
      <c r="F882" s="418"/>
      <c r="G882" s="383"/>
      <c r="H882" s="507"/>
      <c r="I882" s="382"/>
      <c r="J882" s="418"/>
      <c r="K882" s="383"/>
      <c r="L882" s="507"/>
      <c r="M882" s="382"/>
      <c r="N882" s="418"/>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8"/>
      <c r="AM882" s="383"/>
      <c r="AN882" s="507"/>
      <c r="AO882" s="382"/>
      <c r="AP882" s="418"/>
      <c r="AQ882" s="383"/>
      <c r="AR882" s="507"/>
      <c r="AS882" s="514"/>
      <c r="AT882" s="514"/>
    </row>
    <row r="883">
      <c r="A883" s="382"/>
      <c r="B883" s="418"/>
      <c r="C883" s="383"/>
      <c r="D883" s="507"/>
      <c r="E883" s="382"/>
      <c r="F883" s="418"/>
      <c r="G883" s="383"/>
      <c r="H883" s="507"/>
      <c r="I883" s="382"/>
      <c r="J883" s="418"/>
      <c r="K883" s="383"/>
      <c r="L883" s="507"/>
      <c r="M883" s="382"/>
      <c r="N883" s="418"/>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8"/>
      <c r="AM883" s="383"/>
      <c r="AN883" s="507"/>
      <c r="AO883" s="382"/>
      <c r="AP883" s="418"/>
      <c r="AQ883" s="383"/>
      <c r="AR883" s="507"/>
      <c r="AS883" s="514"/>
      <c r="AT883" s="514"/>
    </row>
    <row r="884">
      <c r="A884" s="382"/>
      <c r="B884" s="418"/>
      <c r="C884" s="383"/>
      <c r="D884" s="507"/>
      <c r="E884" s="382"/>
      <c r="F884" s="418"/>
      <c r="G884" s="383"/>
      <c r="H884" s="507"/>
      <c r="I884" s="382"/>
      <c r="J884" s="418"/>
      <c r="K884" s="383"/>
      <c r="L884" s="507"/>
      <c r="M884" s="382"/>
      <c r="N884" s="418"/>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8"/>
      <c r="AM884" s="383"/>
      <c r="AN884" s="507"/>
      <c r="AO884" s="382"/>
      <c r="AP884" s="418"/>
      <c r="AQ884" s="383"/>
      <c r="AR884" s="507"/>
      <c r="AS884" s="514"/>
      <c r="AT884" s="514"/>
    </row>
    <row r="885">
      <c r="A885" s="382"/>
      <c r="B885" s="418"/>
      <c r="C885" s="383"/>
      <c r="D885" s="507"/>
      <c r="E885" s="382"/>
      <c r="F885" s="418"/>
      <c r="G885" s="383"/>
      <c r="H885" s="507"/>
      <c r="I885" s="382"/>
      <c r="J885" s="418"/>
      <c r="K885" s="383"/>
      <c r="L885" s="507"/>
      <c r="M885" s="382"/>
      <c r="N885" s="418"/>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8"/>
      <c r="AM885" s="383"/>
      <c r="AN885" s="507"/>
      <c r="AO885" s="382"/>
      <c r="AP885" s="418"/>
      <c r="AQ885" s="383"/>
      <c r="AR885" s="507"/>
      <c r="AS885" s="514"/>
      <c r="AT885" s="514"/>
    </row>
    <row r="886">
      <c r="A886" s="382"/>
      <c r="B886" s="418"/>
      <c r="C886" s="383"/>
      <c r="D886" s="507"/>
      <c r="E886" s="382"/>
      <c r="F886" s="418"/>
      <c r="G886" s="383"/>
      <c r="H886" s="507"/>
      <c r="I886" s="382"/>
      <c r="J886" s="418"/>
      <c r="K886" s="383"/>
      <c r="L886" s="507"/>
      <c r="M886" s="382"/>
      <c r="N886" s="418"/>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8"/>
      <c r="AM886" s="383"/>
      <c r="AN886" s="507"/>
      <c r="AO886" s="382"/>
      <c r="AP886" s="418"/>
      <c r="AQ886" s="383"/>
      <c r="AR886" s="507"/>
      <c r="AS886" s="514"/>
      <c r="AT886" s="514"/>
    </row>
    <row r="887">
      <c r="A887" s="382"/>
      <c r="B887" s="418"/>
      <c r="C887" s="383"/>
      <c r="D887" s="507"/>
      <c r="E887" s="382"/>
      <c r="F887" s="418"/>
      <c r="G887" s="383"/>
      <c r="H887" s="507"/>
      <c r="I887" s="382"/>
      <c r="J887" s="418"/>
      <c r="K887" s="383"/>
      <c r="L887" s="507"/>
      <c r="M887" s="382"/>
      <c r="N887" s="418"/>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8"/>
      <c r="AM887" s="383"/>
      <c r="AN887" s="507"/>
      <c r="AO887" s="382"/>
      <c r="AP887" s="418"/>
      <c r="AQ887" s="383"/>
      <c r="AR887" s="507"/>
      <c r="AS887" s="514"/>
      <c r="AT887" s="514"/>
    </row>
    <row r="888">
      <c r="A888" s="382"/>
      <c r="B888" s="418"/>
      <c r="C888" s="383"/>
      <c r="D888" s="507"/>
      <c r="E888" s="382"/>
      <c r="F888" s="418"/>
      <c r="G888" s="383"/>
      <c r="H888" s="507"/>
      <c r="I888" s="382"/>
      <c r="J888" s="418"/>
      <c r="K888" s="383"/>
      <c r="L888" s="507"/>
      <c r="M888" s="382"/>
      <c r="N888" s="418"/>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8"/>
      <c r="AM888" s="383"/>
      <c r="AN888" s="507"/>
      <c r="AO888" s="382"/>
      <c r="AP888" s="418"/>
      <c r="AQ888" s="383"/>
      <c r="AR888" s="507"/>
      <c r="AS888" s="514"/>
      <c r="AT888" s="514"/>
    </row>
    <row r="889">
      <c r="A889" s="382"/>
      <c r="B889" s="418"/>
      <c r="C889" s="383"/>
      <c r="D889" s="507"/>
      <c r="E889" s="382"/>
      <c r="F889" s="418"/>
      <c r="G889" s="383"/>
      <c r="H889" s="507"/>
      <c r="I889" s="382"/>
      <c r="J889" s="418"/>
      <c r="K889" s="383"/>
      <c r="L889" s="507"/>
      <c r="M889" s="382"/>
      <c r="N889" s="418"/>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8"/>
      <c r="AM889" s="383"/>
      <c r="AN889" s="507"/>
      <c r="AO889" s="382"/>
      <c r="AP889" s="418"/>
      <c r="AQ889" s="383"/>
      <c r="AR889" s="507"/>
      <c r="AS889" s="514"/>
      <c r="AT889" s="514"/>
    </row>
    <row r="890">
      <c r="A890" s="382"/>
      <c r="B890" s="418"/>
      <c r="C890" s="383"/>
      <c r="D890" s="507"/>
      <c r="E890" s="382"/>
      <c r="F890" s="418"/>
      <c r="G890" s="383"/>
      <c r="H890" s="507"/>
      <c r="I890" s="382"/>
      <c r="J890" s="418"/>
      <c r="K890" s="383"/>
      <c r="L890" s="507"/>
      <c r="M890" s="382"/>
      <c r="N890" s="418"/>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8"/>
      <c r="AM890" s="383"/>
      <c r="AN890" s="507"/>
      <c r="AO890" s="382"/>
      <c r="AP890" s="418"/>
      <c r="AQ890" s="383"/>
      <c r="AR890" s="507"/>
      <c r="AS890" s="514"/>
      <c r="AT890" s="514"/>
    </row>
    <row r="891">
      <c r="A891" s="382"/>
      <c r="B891" s="418"/>
      <c r="C891" s="383"/>
      <c r="D891" s="507"/>
      <c r="E891" s="382"/>
      <c r="F891" s="418"/>
      <c r="G891" s="383"/>
      <c r="H891" s="507"/>
      <c r="I891" s="382"/>
      <c r="J891" s="418"/>
      <c r="K891" s="383"/>
      <c r="L891" s="507"/>
      <c r="M891" s="382"/>
      <c r="N891" s="418"/>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8"/>
      <c r="AM891" s="383"/>
      <c r="AN891" s="507"/>
      <c r="AO891" s="382"/>
      <c r="AP891" s="418"/>
      <c r="AQ891" s="383"/>
      <c r="AR891" s="507"/>
      <c r="AS891" s="514"/>
      <c r="AT891" s="514"/>
    </row>
    <row r="892">
      <c r="A892" s="382"/>
      <c r="B892" s="418"/>
      <c r="C892" s="383"/>
      <c r="D892" s="507"/>
      <c r="E892" s="382"/>
      <c r="F892" s="418"/>
      <c r="G892" s="383"/>
      <c r="H892" s="507"/>
      <c r="I892" s="382"/>
      <c r="J892" s="418"/>
      <c r="K892" s="383"/>
      <c r="L892" s="507"/>
      <c r="M892" s="382"/>
      <c r="N892" s="418"/>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8"/>
      <c r="AM892" s="383"/>
      <c r="AN892" s="507"/>
      <c r="AO892" s="382"/>
      <c r="AP892" s="418"/>
      <c r="AQ892" s="383"/>
      <c r="AR892" s="507"/>
      <c r="AS892" s="514"/>
      <c r="AT892" s="514"/>
    </row>
    <row r="893">
      <c r="A893" s="382"/>
      <c r="B893" s="418"/>
      <c r="C893" s="383"/>
      <c r="D893" s="507"/>
      <c r="E893" s="382"/>
      <c r="F893" s="418"/>
      <c r="G893" s="383"/>
      <c r="H893" s="507"/>
      <c r="I893" s="382"/>
      <c r="J893" s="418"/>
      <c r="K893" s="383"/>
      <c r="L893" s="507"/>
      <c r="M893" s="382"/>
      <c r="N893" s="418"/>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8"/>
      <c r="AM893" s="383"/>
      <c r="AN893" s="507"/>
      <c r="AO893" s="382"/>
      <c r="AP893" s="418"/>
      <c r="AQ893" s="383"/>
      <c r="AR893" s="507"/>
      <c r="AS893" s="514"/>
      <c r="AT893" s="514"/>
    </row>
    <row r="894">
      <c r="A894" s="382"/>
      <c r="B894" s="418"/>
      <c r="C894" s="383"/>
      <c r="D894" s="507"/>
      <c r="E894" s="382"/>
      <c r="F894" s="418"/>
      <c r="G894" s="383"/>
      <c r="H894" s="507"/>
      <c r="I894" s="382"/>
      <c r="J894" s="418"/>
      <c r="K894" s="383"/>
      <c r="L894" s="507"/>
      <c r="M894" s="382"/>
      <c r="N894" s="418"/>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8"/>
      <c r="AM894" s="383"/>
      <c r="AN894" s="507"/>
      <c r="AO894" s="382"/>
      <c r="AP894" s="418"/>
      <c r="AQ894" s="383"/>
      <c r="AR894" s="507"/>
      <c r="AS894" s="514"/>
      <c r="AT894" s="514"/>
    </row>
    <row r="895">
      <c r="A895" s="382"/>
      <c r="B895" s="418"/>
      <c r="C895" s="383"/>
      <c r="D895" s="507"/>
      <c r="E895" s="382"/>
      <c r="F895" s="418"/>
      <c r="G895" s="383"/>
      <c r="H895" s="507"/>
      <c r="I895" s="382"/>
      <c r="J895" s="418"/>
      <c r="K895" s="383"/>
      <c r="L895" s="507"/>
      <c r="M895" s="382"/>
      <c r="N895" s="418"/>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8"/>
      <c r="AM895" s="383"/>
      <c r="AN895" s="507"/>
      <c r="AO895" s="382"/>
      <c r="AP895" s="418"/>
      <c r="AQ895" s="383"/>
      <c r="AR895" s="507"/>
      <c r="AS895" s="514"/>
      <c r="AT895" s="514"/>
    </row>
    <row r="896">
      <c r="A896" s="382"/>
      <c r="B896" s="418"/>
      <c r="C896" s="383"/>
      <c r="D896" s="507"/>
      <c r="E896" s="382"/>
      <c r="F896" s="418"/>
      <c r="G896" s="383"/>
      <c r="H896" s="507"/>
      <c r="I896" s="382"/>
      <c r="J896" s="418"/>
      <c r="K896" s="383"/>
      <c r="L896" s="507"/>
      <c r="M896" s="382"/>
      <c r="N896" s="418"/>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8"/>
      <c r="AM896" s="383"/>
      <c r="AN896" s="507"/>
      <c r="AO896" s="382"/>
      <c r="AP896" s="418"/>
      <c r="AQ896" s="383"/>
      <c r="AR896" s="507"/>
      <c r="AS896" s="514"/>
      <c r="AT896" s="514"/>
    </row>
    <row r="897">
      <c r="A897" s="382"/>
      <c r="B897" s="418"/>
      <c r="C897" s="383"/>
      <c r="D897" s="507"/>
      <c r="E897" s="382"/>
      <c r="F897" s="418"/>
      <c r="G897" s="383"/>
      <c r="H897" s="507"/>
      <c r="I897" s="382"/>
      <c r="J897" s="418"/>
      <c r="K897" s="383"/>
      <c r="L897" s="507"/>
      <c r="M897" s="382"/>
      <c r="N897" s="418"/>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8"/>
      <c r="AM897" s="383"/>
      <c r="AN897" s="507"/>
      <c r="AO897" s="382"/>
      <c r="AP897" s="418"/>
      <c r="AQ897" s="383"/>
      <c r="AR897" s="507"/>
      <c r="AS897" s="514"/>
      <c r="AT897" s="514"/>
    </row>
    <row r="898">
      <c r="A898" s="382"/>
      <c r="B898" s="418"/>
      <c r="C898" s="383"/>
      <c r="D898" s="507"/>
      <c r="E898" s="382"/>
      <c r="F898" s="418"/>
      <c r="G898" s="383"/>
      <c r="H898" s="507"/>
      <c r="I898" s="382"/>
      <c r="J898" s="418"/>
      <c r="K898" s="383"/>
      <c r="L898" s="507"/>
      <c r="M898" s="382"/>
      <c r="N898" s="418"/>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8"/>
      <c r="AM898" s="383"/>
      <c r="AN898" s="507"/>
      <c r="AO898" s="382"/>
      <c r="AP898" s="418"/>
      <c r="AQ898" s="383"/>
      <c r="AR898" s="507"/>
      <c r="AS898" s="514"/>
      <c r="AT898" s="514"/>
    </row>
    <row r="899">
      <c r="A899" s="382"/>
      <c r="B899" s="418"/>
      <c r="C899" s="383"/>
      <c r="D899" s="507"/>
      <c r="E899" s="382"/>
      <c r="F899" s="418"/>
      <c r="G899" s="383"/>
      <c r="H899" s="507"/>
      <c r="I899" s="382"/>
      <c r="J899" s="418"/>
      <c r="K899" s="383"/>
      <c r="L899" s="507"/>
      <c r="M899" s="382"/>
      <c r="N899" s="418"/>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8"/>
      <c r="AM899" s="383"/>
      <c r="AN899" s="507"/>
      <c r="AO899" s="382"/>
      <c r="AP899" s="418"/>
      <c r="AQ899" s="383"/>
      <c r="AR899" s="507"/>
      <c r="AS899" s="514"/>
      <c r="AT899" s="514"/>
    </row>
    <row r="900">
      <c r="A900" s="382"/>
      <c r="B900" s="418"/>
      <c r="C900" s="383"/>
      <c r="D900" s="507"/>
      <c r="E900" s="382"/>
      <c r="F900" s="418"/>
      <c r="G900" s="383"/>
      <c r="H900" s="507"/>
      <c r="I900" s="382"/>
      <c r="J900" s="418"/>
      <c r="K900" s="383"/>
      <c r="L900" s="507"/>
      <c r="M900" s="382"/>
      <c r="N900" s="418"/>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8"/>
      <c r="AM900" s="383"/>
      <c r="AN900" s="507"/>
      <c r="AO900" s="382"/>
      <c r="AP900" s="418"/>
      <c r="AQ900" s="383"/>
      <c r="AR900" s="507"/>
      <c r="AS900" s="514"/>
      <c r="AT900" s="514"/>
    </row>
    <row r="901">
      <c r="A901" s="382"/>
      <c r="B901" s="418"/>
      <c r="C901" s="383"/>
      <c r="D901" s="507"/>
      <c r="E901" s="382"/>
      <c r="F901" s="418"/>
      <c r="G901" s="383"/>
      <c r="H901" s="507"/>
      <c r="I901" s="382"/>
      <c r="J901" s="418"/>
      <c r="K901" s="383"/>
      <c r="L901" s="507"/>
      <c r="M901" s="382"/>
      <c r="N901" s="418"/>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8"/>
      <c r="AM901" s="383"/>
      <c r="AN901" s="507"/>
      <c r="AO901" s="382"/>
      <c r="AP901" s="418"/>
      <c r="AQ901" s="383"/>
      <c r="AR901" s="507"/>
      <c r="AS901" s="514"/>
      <c r="AT901" s="514"/>
    </row>
    <row r="902">
      <c r="A902" s="382"/>
      <c r="B902" s="418"/>
      <c r="C902" s="383"/>
      <c r="D902" s="507"/>
      <c r="E902" s="382"/>
      <c r="F902" s="418"/>
      <c r="G902" s="383"/>
      <c r="H902" s="507"/>
      <c r="I902" s="382"/>
      <c r="J902" s="418"/>
      <c r="K902" s="383"/>
      <c r="L902" s="507"/>
      <c r="M902" s="382"/>
      <c r="N902" s="418"/>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8"/>
      <c r="AM902" s="383"/>
      <c r="AN902" s="507"/>
      <c r="AO902" s="382"/>
      <c r="AP902" s="418"/>
      <c r="AQ902" s="383"/>
      <c r="AR902" s="507"/>
      <c r="AS902" s="514"/>
      <c r="AT902" s="514"/>
    </row>
    <row r="903">
      <c r="A903" s="382"/>
      <c r="B903" s="418"/>
      <c r="C903" s="383"/>
      <c r="D903" s="507"/>
      <c r="E903" s="382"/>
      <c r="F903" s="418"/>
      <c r="G903" s="383"/>
      <c r="H903" s="507"/>
      <c r="I903" s="382"/>
      <c r="J903" s="418"/>
      <c r="K903" s="383"/>
      <c r="L903" s="507"/>
      <c r="M903" s="382"/>
      <c r="N903" s="418"/>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8"/>
      <c r="AM903" s="383"/>
      <c r="AN903" s="507"/>
      <c r="AO903" s="382"/>
      <c r="AP903" s="418"/>
      <c r="AQ903" s="383"/>
      <c r="AR903" s="507"/>
      <c r="AS903" s="514"/>
      <c r="AT903" s="514"/>
    </row>
    <row r="904">
      <c r="A904" s="382"/>
      <c r="B904" s="418"/>
      <c r="C904" s="383"/>
      <c r="D904" s="507"/>
      <c r="E904" s="382"/>
      <c r="F904" s="418"/>
      <c r="G904" s="383"/>
      <c r="H904" s="507"/>
      <c r="I904" s="382"/>
      <c r="J904" s="418"/>
      <c r="K904" s="383"/>
      <c r="L904" s="507"/>
      <c r="M904" s="382"/>
      <c r="N904" s="418"/>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8"/>
      <c r="AM904" s="383"/>
      <c r="AN904" s="507"/>
      <c r="AO904" s="382"/>
      <c r="AP904" s="418"/>
      <c r="AQ904" s="383"/>
      <c r="AR904" s="507"/>
      <c r="AS904" s="514"/>
      <c r="AT904" s="514"/>
    </row>
    <row r="905">
      <c r="A905" s="382"/>
      <c r="B905" s="418"/>
      <c r="C905" s="383"/>
      <c r="D905" s="507"/>
      <c r="E905" s="382"/>
      <c r="F905" s="418"/>
      <c r="G905" s="383"/>
      <c r="H905" s="507"/>
      <c r="I905" s="382"/>
      <c r="J905" s="418"/>
      <c r="K905" s="383"/>
      <c r="L905" s="507"/>
      <c r="M905" s="382"/>
      <c r="N905" s="418"/>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8"/>
      <c r="AM905" s="383"/>
      <c r="AN905" s="507"/>
      <c r="AO905" s="382"/>
      <c r="AP905" s="418"/>
      <c r="AQ905" s="383"/>
      <c r="AR905" s="507"/>
      <c r="AS905" s="514"/>
      <c r="AT905" s="514"/>
    </row>
    <row r="906">
      <c r="A906" s="382"/>
      <c r="B906" s="418"/>
      <c r="C906" s="383"/>
      <c r="D906" s="507"/>
      <c r="E906" s="382"/>
      <c r="F906" s="418"/>
      <c r="G906" s="383"/>
      <c r="H906" s="507"/>
      <c r="I906" s="382"/>
      <c r="J906" s="418"/>
      <c r="K906" s="383"/>
      <c r="L906" s="507"/>
      <c r="M906" s="382"/>
      <c r="N906" s="418"/>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8"/>
      <c r="AM906" s="383"/>
      <c r="AN906" s="507"/>
      <c r="AO906" s="382"/>
      <c r="AP906" s="418"/>
      <c r="AQ906" s="383"/>
      <c r="AR906" s="507"/>
      <c r="AS906" s="514"/>
      <c r="AT906" s="514"/>
    </row>
    <row r="907">
      <c r="A907" s="382"/>
      <c r="B907" s="418"/>
      <c r="C907" s="383"/>
      <c r="D907" s="507"/>
      <c r="E907" s="382"/>
      <c r="F907" s="418"/>
      <c r="G907" s="383"/>
      <c r="H907" s="507"/>
      <c r="I907" s="382"/>
      <c r="J907" s="418"/>
      <c r="K907" s="383"/>
      <c r="L907" s="507"/>
      <c r="M907" s="382"/>
      <c r="N907" s="418"/>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8"/>
      <c r="AM907" s="383"/>
      <c r="AN907" s="507"/>
      <c r="AO907" s="382"/>
      <c r="AP907" s="418"/>
      <c r="AQ907" s="383"/>
      <c r="AR907" s="507"/>
      <c r="AS907" s="514"/>
      <c r="AT907" s="514"/>
    </row>
    <row r="908">
      <c r="A908" s="382"/>
      <c r="B908" s="418"/>
      <c r="C908" s="383"/>
      <c r="D908" s="507"/>
      <c r="E908" s="382"/>
      <c r="F908" s="418"/>
      <c r="G908" s="383"/>
      <c r="H908" s="507"/>
      <c r="I908" s="382"/>
      <c r="J908" s="418"/>
      <c r="K908" s="383"/>
      <c r="L908" s="507"/>
      <c r="M908" s="382"/>
      <c r="N908" s="418"/>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8"/>
      <c r="AM908" s="383"/>
      <c r="AN908" s="507"/>
      <c r="AO908" s="382"/>
      <c r="AP908" s="418"/>
      <c r="AQ908" s="383"/>
      <c r="AR908" s="507"/>
      <c r="AS908" s="514"/>
      <c r="AT908" s="514"/>
    </row>
    <row r="909">
      <c r="A909" s="382"/>
      <c r="B909" s="418"/>
      <c r="C909" s="383"/>
      <c r="D909" s="507"/>
      <c r="E909" s="382"/>
      <c r="F909" s="418"/>
      <c r="G909" s="383"/>
      <c r="H909" s="507"/>
      <c r="I909" s="382"/>
      <c r="J909" s="418"/>
      <c r="K909" s="383"/>
      <c r="L909" s="507"/>
      <c r="M909" s="382"/>
      <c r="N909" s="418"/>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8"/>
      <c r="AM909" s="383"/>
      <c r="AN909" s="507"/>
      <c r="AO909" s="382"/>
      <c r="AP909" s="418"/>
      <c r="AQ909" s="383"/>
      <c r="AR909" s="507"/>
      <c r="AS909" s="514"/>
      <c r="AT909" s="514"/>
    </row>
    <row r="910">
      <c r="A910" s="382"/>
      <c r="B910" s="418"/>
      <c r="C910" s="383"/>
      <c r="D910" s="507"/>
      <c r="E910" s="382"/>
      <c r="F910" s="418"/>
      <c r="G910" s="383"/>
      <c r="H910" s="507"/>
      <c r="I910" s="382"/>
      <c r="J910" s="418"/>
      <c r="K910" s="383"/>
      <c r="L910" s="507"/>
      <c r="M910" s="382"/>
      <c r="N910" s="418"/>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8"/>
      <c r="AM910" s="383"/>
      <c r="AN910" s="507"/>
      <c r="AO910" s="382"/>
      <c r="AP910" s="418"/>
      <c r="AQ910" s="383"/>
      <c r="AR910" s="507"/>
      <c r="AS910" s="514"/>
      <c r="AT910" s="514"/>
    </row>
    <row r="911">
      <c r="A911" s="382"/>
      <c r="B911" s="418"/>
      <c r="C911" s="383"/>
      <c r="D911" s="507"/>
      <c r="E911" s="382"/>
      <c r="F911" s="418"/>
      <c r="G911" s="383"/>
      <c r="H911" s="507"/>
      <c r="I911" s="382"/>
      <c r="J911" s="418"/>
      <c r="K911" s="383"/>
      <c r="L911" s="507"/>
      <c r="M911" s="382"/>
      <c r="N911" s="418"/>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8"/>
      <c r="AM911" s="383"/>
      <c r="AN911" s="507"/>
      <c r="AO911" s="382"/>
      <c r="AP911" s="418"/>
      <c r="AQ911" s="383"/>
      <c r="AR911" s="507"/>
      <c r="AS911" s="514"/>
      <c r="AT911" s="514"/>
    </row>
    <row r="912">
      <c r="A912" s="382"/>
      <c r="B912" s="418"/>
      <c r="C912" s="383"/>
      <c r="D912" s="507"/>
      <c r="E912" s="382"/>
      <c r="F912" s="418"/>
      <c r="G912" s="383"/>
      <c r="H912" s="507"/>
      <c r="I912" s="382"/>
      <c r="J912" s="418"/>
      <c r="K912" s="383"/>
      <c r="L912" s="507"/>
      <c r="M912" s="382"/>
      <c r="N912" s="418"/>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8"/>
      <c r="AM912" s="383"/>
      <c r="AN912" s="507"/>
      <c r="AO912" s="382"/>
      <c r="AP912" s="418"/>
      <c r="AQ912" s="383"/>
      <c r="AR912" s="507"/>
      <c r="AS912" s="514"/>
      <c r="AT912" s="514"/>
    </row>
    <row r="913">
      <c r="A913" s="382"/>
      <c r="B913" s="418"/>
      <c r="C913" s="383"/>
      <c r="D913" s="507"/>
      <c r="E913" s="382"/>
      <c r="F913" s="418"/>
      <c r="G913" s="383"/>
      <c r="H913" s="507"/>
      <c r="I913" s="382"/>
      <c r="J913" s="418"/>
      <c r="K913" s="383"/>
      <c r="L913" s="507"/>
      <c r="M913" s="382"/>
      <c r="N913" s="418"/>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8"/>
      <c r="AM913" s="383"/>
      <c r="AN913" s="507"/>
      <c r="AO913" s="382"/>
      <c r="AP913" s="418"/>
      <c r="AQ913" s="383"/>
      <c r="AR913" s="507"/>
      <c r="AS913" s="514"/>
      <c r="AT913" s="514"/>
    </row>
    <row r="914">
      <c r="A914" s="382"/>
      <c r="B914" s="418"/>
      <c r="C914" s="383"/>
      <c r="D914" s="507"/>
      <c r="E914" s="382"/>
      <c r="F914" s="418"/>
      <c r="G914" s="383"/>
      <c r="H914" s="507"/>
      <c r="I914" s="382"/>
      <c r="J914" s="418"/>
      <c r="K914" s="383"/>
      <c r="L914" s="507"/>
      <c r="M914" s="382"/>
      <c r="N914" s="418"/>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8"/>
      <c r="AM914" s="383"/>
      <c r="AN914" s="507"/>
      <c r="AO914" s="382"/>
      <c r="AP914" s="418"/>
      <c r="AQ914" s="383"/>
      <c r="AR914" s="507"/>
      <c r="AS914" s="514"/>
      <c r="AT914" s="514"/>
    </row>
    <row r="915">
      <c r="A915" s="382"/>
      <c r="B915" s="418"/>
      <c r="C915" s="383"/>
      <c r="D915" s="507"/>
      <c r="E915" s="382"/>
      <c r="F915" s="418"/>
      <c r="G915" s="383"/>
      <c r="H915" s="507"/>
      <c r="I915" s="382"/>
      <c r="J915" s="418"/>
      <c r="K915" s="383"/>
      <c r="L915" s="507"/>
      <c r="M915" s="382"/>
      <c r="N915" s="418"/>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8"/>
      <c r="AM915" s="383"/>
      <c r="AN915" s="507"/>
      <c r="AO915" s="382"/>
      <c r="AP915" s="418"/>
      <c r="AQ915" s="383"/>
      <c r="AR915" s="507"/>
      <c r="AS915" s="514"/>
      <c r="AT915" s="514"/>
    </row>
    <row r="916">
      <c r="A916" s="382"/>
      <c r="B916" s="418"/>
      <c r="C916" s="383"/>
      <c r="D916" s="507"/>
      <c r="E916" s="382"/>
      <c r="F916" s="418"/>
      <c r="G916" s="383"/>
      <c r="H916" s="507"/>
      <c r="I916" s="382"/>
      <c r="J916" s="418"/>
      <c r="K916" s="383"/>
      <c r="L916" s="507"/>
      <c r="M916" s="382"/>
      <c r="N916" s="418"/>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8"/>
      <c r="AM916" s="383"/>
      <c r="AN916" s="507"/>
      <c r="AO916" s="382"/>
      <c r="AP916" s="418"/>
      <c r="AQ916" s="383"/>
      <c r="AR916" s="507"/>
      <c r="AS916" s="514"/>
      <c r="AT916" s="514"/>
    </row>
    <row r="917">
      <c r="A917" s="382"/>
      <c r="B917" s="418"/>
      <c r="C917" s="383"/>
      <c r="D917" s="507"/>
      <c r="E917" s="382"/>
      <c r="F917" s="418"/>
      <c r="G917" s="383"/>
      <c r="H917" s="507"/>
      <c r="I917" s="382"/>
      <c r="J917" s="418"/>
      <c r="K917" s="383"/>
      <c r="L917" s="507"/>
      <c r="M917" s="382"/>
      <c r="N917" s="418"/>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8"/>
      <c r="AM917" s="383"/>
      <c r="AN917" s="507"/>
      <c r="AO917" s="382"/>
      <c r="AP917" s="418"/>
      <c r="AQ917" s="383"/>
      <c r="AR917" s="507"/>
      <c r="AS917" s="514"/>
      <c r="AT917" s="514"/>
    </row>
    <row r="918">
      <c r="A918" s="382"/>
      <c r="B918" s="418"/>
      <c r="C918" s="383"/>
      <c r="D918" s="507"/>
      <c r="E918" s="382"/>
      <c r="F918" s="418"/>
      <c r="G918" s="383"/>
      <c r="H918" s="507"/>
      <c r="I918" s="382"/>
      <c r="J918" s="418"/>
      <c r="K918" s="383"/>
      <c r="L918" s="507"/>
      <c r="M918" s="382"/>
      <c r="N918" s="418"/>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8"/>
      <c r="AM918" s="383"/>
      <c r="AN918" s="507"/>
      <c r="AO918" s="382"/>
      <c r="AP918" s="418"/>
      <c r="AQ918" s="383"/>
      <c r="AR918" s="507"/>
      <c r="AS918" s="514"/>
      <c r="AT918" s="514"/>
    </row>
    <row r="919">
      <c r="A919" s="382"/>
      <c r="B919" s="418"/>
      <c r="C919" s="383"/>
      <c r="D919" s="507"/>
      <c r="E919" s="382"/>
      <c r="F919" s="418"/>
      <c r="G919" s="383"/>
      <c r="H919" s="507"/>
      <c r="I919" s="382"/>
      <c r="J919" s="418"/>
      <c r="K919" s="383"/>
      <c r="L919" s="507"/>
      <c r="M919" s="382"/>
      <c r="N919" s="418"/>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8"/>
      <c r="AM919" s="383"/>
      <c r="AN919" s="507"/>
      <c r="AO919" s="382"/>
      <c r="AP919" s="418"/>
      <c r="AQ919" s="383"/>
      <c r="AR919" s="507"/>
      <c r="AS919" s="514"/>
      <c r="AT919" s="514"/>
    </row>
    <row r="920">
      <c r="A920" s="382"/>
      <c r="B920" s="418"/>
      <c r="C920" s="383"/>
      <c r="D920" s="507"/>
      <c r="E920" s="382"/>
      <c r="F920" s="418"/>
      <c r="G920" s="383"/>
      <c r="H920" s="507"/>
      <c r="I920" s="382"/>
      <c r="J920" s="418"/>
      <c r="K920" s="383"/>
      <c r="L920" s="507"/>
      <c r="M920" s="382"/>
      <c r="N920" s="418"/>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8"/>
      <c r="AM920" s="383"/>
      <c r="AN920" s="507"/>
      <c r="AO920" s="382"/>
      <c r="AP920" s="418"/>
      <c r="AQ920" s="383"/>
      <c r="AR920" s="507"/>
      <c r="AS920" s="514"/>
      <c r="AT920" s="514"/>
    </row>
    <row r="921">
      <c r="A921" s="382"/>
      <c r="B921" s="418"/>
      <c r="C921" s="383"/>
      <c r="D921" s="507"/>
      <c r="E921" s="382"/>
      <c r="F921" s="418"/>
      <c r="G921" s="383"/>
      <c r="H921" s="507"/>
      <c r="I921" s="382"/>
      <c r="J921" s="418"/>
      <c r="K921" s="383"/>
      <c r="L921" s="507"/>
      <c r="M921" s="382"/>
      <c r="N921" s="418"/>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8"/>
      <c r="AM921" s="383"/>
      <c r="AN921" s="507"/>
      <c r="AO921" s="382"/>
      <c r="AP921" s="418"/>
      <c r="AQ921" s="383"/>
      <c r="AR921" s="507"/>
      <c r="AS921" s="514"/>
      <c r="AT921" s="514"/>
    </row>
    <row r="922">
      <c r="A922" s="382"/>
      <c r="B922" s="418"/>
      <c r="C922" s="383"/>
      <c r="D922" s="507"/>
      <c r="E922" s="382"/>
      <c r="F922" s="418"/>
      <c r="G922" s="383"/>
      <c r="H922" s="507"/>
      <c r="I922" s="382"/>
      <c r="J922" s="418"/>
      <c r="K922" s="383"/>
      <c r="L922" s="507"/>
      <c r="M922" s="382"/>
      <c r="N922" s="418"/>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8"/>
      <c r="AM922" s="383"/>
      <c r="AN922" s="507"/>
      <c r="AO922" s="382"/>
      <c r="AP922" s="418"/>
      <c r="AQ922" s="383"/>
      <c r="AR922" s="507"/>
      <c r="AS922" s="514"/>
      <c r="AT922" s="514"/>
    </row>
    <row r="923">
      <c r="A923" s="382"/>
      <c r="B923" s="418"/>
      <c r="C923" s="383"/>
      <c r="D923" s="507"/>
      <c r="E923" s="382"/>
      <c r="F923" s="418"/>
      <c r="G923" s="383"/>
      <c r="H923" s="507"/>
      <c r="I923" s="382"/>
      <c r="J923" s="418"/>
      <c r="K923" s="383"/>
      <c r="L923" s="507"/>
      <c r="M923" s="382"/>
      <c r="N923" s="418"/>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8"/>
      <c r="AM923" s="383"/>
      <c r="AN923" s="507"/>
      <c r="AO923" s="382"/>
      <c r="AP923" s="418"/>
      <c r="AQ923" s="383"/>
      <c r="AR923" s="507"/>
      <c r="AS923" s="514"/>
      <c r="AT923" s="514"/>
    </row>
    <row r="924">
      <c r="A924" s="382"/>
      <c r="B924" s="418"/>
      <c r="C924" s="383"/>
      <c r="D924" s="507"/>
      <c r="E924" s="382"/>
      <c r="F924" s="418"/>
      <c r="G924" s="383"/>
      <c r="H924" s="507"/>
      <c r="I924" s="382"/>
      <c r="J924" s="418"/>
      <c r="K924" s="383"/>
      <c r="L924" s="507"/>
      <c r="M924" s="382"/>
      <c r="N924" s="418"/>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8"/>
      <c r="AM924" s="383"/>
      <c r="AN924" s="507"/>
      <c r="AO924" s="382"/>
      <c r="AP924" s="418"/>
      <c r="AQ924" s="383"/>
      <c r="AR924" s="507"/>
      <c r="AS924" s="514"/>
      <c r="AT924" s="514"/>
    </row>
    <row r="925">
      <c r="A925" s="382"/>
      <c r="B925" s="418"/>
      <c r="C925" s="383"/>
      <c r="D925" s="507"/>
      <c r="E925" s="382"/>
      <c r="F925" s="418"/>
      <c r="G925" s="383"/>
      <c r="H925" s="507"/>
      <c r="I925" s="382"/>
      <c r="J925" s="418"/>
      <c r="K925" s="383"/>
      <c r="L925" s="507"/>
      <c r="M925" s="382"/>
      <c r="N925" s="418"/>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8"/>
      <c r="AM925" s="383"/>
      <c r="AN925" s="507"/>
      <c r="AO925" s="382"/>
      <c r="AP925" s="418"/>
      <c r="AQ925" s="383"/>
      <c r="AR925" s="507"/>
      <c r="AS925" s="514"/>
      <c r="AT925" s="514"/>
    </row>
    <row r="926">
      <c r="A926" s="382"/>
      <c r="B926" s="418"/>
      <c r="C926" s="383"/>
      <c r="D926" s="507"/>
      <c r="E926" s="382"/>
      <c r="F926" s="418"/>
      <c r="G926" s="383"/>
      <c r="H926" s="507"/>
      <c r="I926" s="382"/>
      <c r="J926" s="418"/>
      <c r="K926" s="383"/>
      <c r="L926" s="507"/>
      <c r="M926" s="382"/>
      <c r="N926" s="418"/>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8"/>
      <c r="AM926" s="383"/>
      <c r="AN926" s="507"/>
      <c r="AO926" s="382"/>
      <c r="AP926" s="418"/>
      <c r="AQ926" s="383"/>
      <c r="AR926" s="507"/>
      <c r="AS926" s="514"/>
      <c r="AT926" s="514"/>
    </row>
    <row r="927">
      <c r="A927" s="382"/>
      <c r="B927" s="418"/>
      <c r="C927" s="383"/>
      <c r="D927" s="507"/>
      <c r="E927" s="382"/>
      <c r="F927" s="418"/>
      <c r="G927" s="383"/>
      <c r="H927" s="507"/>
      <c r="I927" s="382"/>
      <c r="J927" s="418"/>
      <c r="K927" s="383"/>
      <c r="L927" s="507"/>
      <c r="M927" s="382"/>
      <c r="N927" s="418"/>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8"/>
      <c r="AM927" s="383"/>
      <c r="AN927" s="507"/>
      <c r="AO927" s="382"/>
      <c r="AP927" s="418"/>
      <c r="AQ927" s="383"/>
      <c r="AR927" s="507"/>
      <c r="AS927" s="514"/>
      <c r="AT927" s="514"/>
    </row>
    <row r="928">
      <c r="A928" s="382"/>
      <c r="B928" s="418"/>
      <c r="C928" s="383"/>
      <c r="D928" s="507"/>
      <c r="E928" s="382"/>
      <c r="F928" s="418"/>
      <c r="G928" s="383"/>
      <c r="H928" s="507"/>
      <c r="I928" s="382"/>
      <c r="J928" s="418"/>
      <c r="K928" s="383"/>
      <c r="L928" s="507"/>
      <c r="M928" s="382"/>
      <c r="N928" s="418"/>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8"/>
      <c r="AM928" s="383"/>
      <c r="AN928" s="507"/>
      <c r="AO928" s="382"/>
      <c r="AP928" s="418"/>
      <c r="AQ928" s="383"/>
      <c r="AR928" s="507"/>
      <c r="AS928" s="514"/>
      <c r="AT928" s="514"/>
    </row>
    <row r="929">
      <c r="A929" s="382"/>
      <c r="B929" s="418"/>
      <c r="C929" s="383"/>
      <c r="D929" s="507"/>
      <c r="E929" s="382"/>
      <c r="F929" s="418"/>
      <c r="G929" s="383"/>
      <c r="H929" s="507"/>
      <c r="I929" s="382"/>
      <c r="J929" s="418"/>
      <c r="K929" s="383"/>
      <c r="L929" s="507"/>
      <c r="M929" s="382"/>
      <c r="N929" s="418"/>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8"/>
      <c r="AM929" s="383"/>
      <c r="AN929" s="507"/>
      <c r="AO929" s="382"/>
      <c r="AP929" s="418"/>
      <c r="AQ929" s="383"/>
      <c r="AR929" s="507"/>
      <c r="AS929" s="514"/>
      <c r="AT929" s="514"/>
    </row>
    <row r="930">
      <c r="A930" s="382"/>
      <c r="B930" s="418"/>
      <c r="C930" s="383"/>
      <c r="D930" s="507"/>
      <c r="E930" s="382"/>
      <c r="F930" s="418"/>
      <c r="G930" s="383"/>
      <c r="H930" s="507"/>
      <c r="I930" s="382"/>
      <c r="J930" s="418"/>
      <c r="K930" s="383"/>
      <c r="L930" s="507"/>
      <c r="M930" s="382"/>
      <c r="N930" s="418"/>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8"/>
      <c r="AM930" s="383"/>
      <c r="AN930" s="507"/>
      <c r="AO930" s="382"/>
      <c r="AP930" s="418"/>
      <c r="AQ930" s="383"/>
      <c r="AR930" s="507"/>
      <c r="AS930" s="514"/>
      <c r="AT930" s="514"/>
    </row>
    <row r="931">
      <c r="A931" s="382"/>
      <c r="B931" s="418"/>
      <c r="C931" s="383"/>
      <c r="D931" s="507"/>
      <c r="E931" s="382"/>
      <c r="F931" s="418"/>
      <c r="G931" s="383"/>
      <c r="H931" s="507"/>
      <c r="I931" s="382"/>
      <c r="J931" s="418"/>
      <c r="K931" s="383"/>
      <c r="L931" s="507"/>
      <c r="M931" s="382"/>
      <c r="N931" s="418"/>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8"/>
      <c r="AM931" s="383"/>
      <c r="AN931" s="507"/>
      <c r="AO931" s="382"/>
      <c r="AP931" s="418"/>
      <c r="AQ931" s="383"/>
      <c r="AR931" s="507"/>
      <c r="AS931" s="514"/>
      <c r="AT931" s="514"/>
    </row>
    <row r="932">
      <c r="A932" s="382"/>
      <c r="B932" s="418"/>
      <c r="C932" s="383"/>
      <c r="D932" s="507"/>
      <c r="E932" s="382"/>
      <c r="F932" s="418"/>
      <c r="G932" s="383"/>
      <c r="H932" s="507"/>
      <c r="I932" s="382"/>
      <c r="J932" s="418"/>
      <c r="K932" s="383"/>
      <c r="L932" s="507"/>
      <c r="M932" s="382"/>
      <c r="N932" s="418"/>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8"/>
      <c r="AM932" s="383"/>
      <c r="AN932" s="507"/>
      <c r="AO932" s="382"/>
      <c r="AP932" s="418"/>
      <c r="AQ932" s="383"/>
      <c r="AR932" s="507"/>
      <c r="AS932" s="514"/>
      <c r="AT932" s="514"/>
    </row>
    <row r="933">
      <c r="A933" s="382"/>
      <c r="B933" s="418"/>
      <c r="C933" s="383"/>
      <c r="D933" s="507"/>
      <c r="E933" s="382"/>
      <c r="F933" s="418"/>
      <c r="G933" s="383"/>
      <c r="H933" s="507"/>
      <c r="I933" s="382"/>
      <c r="J933" s="418"/>
      <c r="K933" s="383"/>
      <c r="L933" s="507"/>
      <c r="M933" s="382"/>
      <c r="N933" s="418"/>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8"/>
      <c r="AM933" s="383"/>
      <c r="AN933" s="507"/>
      <c r="AO933" s="382"/>
      <c r="AP933" s="418"/>
      <c r="AQ933" s="383"/>
      <c r="AR933" s="507"/>
      <c r="AS933" s="514"/>
      <c r="AT933" s="514"/>
    </row>
    <row r="934">
      <c r="A934" s="382"/>
      <c r="B934" s="418"/>
      <c r="C934" s="383"/>
      <c r="D934" s="507"/>
      <c r="E934" s="382"/>
      <c r="F934" s="418"/>
      <c r="G934" s="383"/>
      <c r="H934" s="507"/>
      <c r="I934" s="382"/>
      <c r="J934" s="418"/>
      <c r="K934" s="383"/>
      <c r="L934" s="507"/>
      <c r="M934" s="382"/>
      <c r="N934" s="418"/>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8"/>
      <c r="AM934" s="383"/>
      <c r="AN934" s="507"/>
      <c r="AO934" s="382"/>
      <c r="AP934" s="418"/>
      <c r="AQ934" s="383"/>
      <c r="AR934" s="507"/>
      <c r="AS934" s="514"/>
      <c r="AT934" s="514"/>
    </row>
    <row r="935">
      <c r="A935" s="382"/>
      <c r="B935" s="418"/>
      <c r="C935" s="383"/>
      <c r="D935" s="507"/>
      <c r="E935" s="382"/>
      <c r="F935" s="418"/>
      <c r="G935" s="383"/>
      <c r="H935" s="507"/>
      <c r="I935" s="382"/>
      <c r="J935" s="418"/>
      <c r="K935" s="383"/>
      <c r="L935" s="507"/>
      <c r="M935" s="382"/>
      <c r="N935" s="418"/>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8"/>
      <c r="AM935" s="383"/>
      <c r="AN935" s="507"/>
      <c r="AO935" s="382"/>
      <c r="AP935" s="418"/>
      <c r="AQ935" s="383"/>
      <c r="AR935" s="507"/>
      <c r="AS935" s="514"/>
      <c r="AT935" s="514"/>
    </row>
    <row r="936">
      <c r="A936" s="382"/>
      <c r="B936" s="418"/>
      <c r="C936" s="383"/>
      <c r="D936" s="507"/>
      <c r="E936" s="382"/>
      <c r="F936" s="418"/>
      <c r="G936" s="383"/>
      <c r="H936" s="507"/>
      <c r="I936" s="382"/>
      <c r="J936" s="418"/>
      <c r="K936" s="383"/>
      <c r="L936" s="507"/>
      <c r="M936" s="382"/>
      <c r="N936" s="418"/>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8"/>
      <c r="AM936" s="383"/>
      <c r="AN936" s="507"/>
      <c r="AO936" s="382"/>
      <c r="AP936" s="418"/>
      <c r="AQ936" s="383"/>
      <c r="AR936" s="507"/>
      <c r="AS936" s="514"/>
      <c r="AT936" s="514"/>
    </row>
    <row r="937">
      <c r="A937" s="382"/>
      <c r="B937" s="418"/>
      <c r="C937" s="383"/>
      <c r="D937" s="507"/>
      <c r="E937" s="382"/>
      <c r="F937" s="418"/>
      <c r="G937" s="383"/>
      <c r="H937" s="507"/>
      <c r="I937" s="382"/>
      <c r="J937" s="418"/>
      <c r="K937" s="383"/>
      <c r="L937" s="507"/>
      <c r="M937" s="382"/>
      <c r="N937" s="418"/>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8"/>
      <c r="AM937" s="383"/>
      <c r="AN937" s="507"/>
      <c r="AO937" s="382"/>
      <c r="AP937" s="418"/>
      <c r="AQ937" s="383"/>
      <c r="AR937" s="507"/>
      <c r="AS937" s="514"/>
      <c r="AT937" s="514"/>
    </row>
    <row r="938">
      <c r="A938" s="382"/>
      <c r="B938" s="418"/>
      <c r="C938" s="383"/>
      <c r="D938" s="507"/>
      <c r="E938" s="382"/>
      <c r="F938" s="418"/>
      <c r="G938" s="383"/>
      <c r="H938" s="507"/>
      <c r="I938" s="382"/>
      <c r="J938" s="418"/>
      <c r="K938" s="383"/>
      <c r="L938" s="507"/>
      <c r="M938" s="382"/>
      <c r="N938" s="418"/>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8"/>
      <c r="AM938" s="383"/>
      <c r="AN938" s="507"/>
      <c r="AO938" s="382"/>
      <c r="AP938" s="418"/>
      <c r="AQ938" s="383"/>
      <c r="AR938" s="507"/>
      <c r="AS938" s="514"/>
      <c r="AT938" s="514"/>
    </row>
    <row r="939">
      <c r="A939" s="382"/>
      <c r="B939" s="418"/>
      <c r="C939" s="383"/>
      <c r="D939" s="507"/>
      <c r="E939" s="382"/>
      <c r="F939" s="418"/>
      <c r="G939" s="383"/>
      <c r="H939" s="507"/>
      <c r="I939" s="382"/>
      <c r="J939" s="418"/>
      <c r="K939" s="383"/>
      <c r="L939" s="507"/>
      <c r="M939" s="382"/>
      <c r="N939" s="418"/>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8"/>
      <c r="AM939" s="383"/>
      <c r="AN939" s="507"/>
      <c r="AO939" s="382"/>
      <c r="AP939" s="418"/>
      <c r="AQ939" s="383"/>
      <c r="AR939" s="507"/>
      <c r="AS939" s="514"/>
      <c r="AT939" s="514"/>
    </row>
    <row r="940">
      <c r="A940" s="382"/>
      <c r="B940" s="418"/>
      <c r="C940" s="383"/>
      <c r="D940" s="507"/>
      <c r="E940" s="382"/>
      <c r="F940" s="418"/>
      <c r="G940" s="383"/>
      <c r="H940" s="507"/>
      <c r="I940" s="382"/>
      <c r="J940" s="418"/>
      <c r="K940" s="383"/>
      <c r="L940" s="507"/>
      <c r="M940" s="382"/>
      <c r="N940" s="418"/>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8"/>
      <c r="AM940" s="383"/>
      <c r="AN940" s="507"/>
      <c r="AO940" s="382"/>
      <c r="AP940" s="418"/>
      <c r="AQ940" s="383"/>
      <c r="AR940" s="507"/>
      <c r="AS940" s="514"/>
      <c r="AT940" s="514"/>
    </row>
    <row r="941">
      <c r="A941" s="382"/>
      <c r="B941" s="418"/>
      <c r="C941" s="383"/>
      <c r="D941" s="507"/>
      <c r="E941" s="382"/>
      <c r="F941" s="418"/>
      <c r="G941" s="383"/>
      <c r="H941" s="507"/>
      <c r="I941" s="382"/>
      <c r="J941" s="418"/>
      <c r="K941" s="383"/>
      <c r="L941" s="507"/>
      <c r="M941" s="382"/>
      <c r="N941" s="418"/>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8"/>
      <c r="AM941" s="383"/>
      <c r="AN941" s="507"/>
      <c r="AO941" s="382"/>
      <c r="AP941" s="418"/>
      <c r="AQ941" s="383"/>
      <c r="AR941" s="507"/>
      <c r="AS941" s="514"/>
      <c r="AT941" s="514"/>
    </row>
    <row r="942">
      <c r="A942" s="382"/>
      <c r="B942" s="418"/>
      <c r="C942" s="383"/>
      <c r="D942" s="507"/>
      <c r="E942" s="382"/>
      <c r="F942" s="418"/>
      <c r="G942" s="383"/>
      <c r="H942" s="507"/>
      <c r="I942" s="382"/>
      <c r="J942" s="418"/>
      <c r="K942" s="383"/>
      <c r="L942" s="507"/>
      <c r="M942" s="382"/>
      <c r="N942" s="418"/>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8"/>
      <c r="AM942" s="383"/>
      <c r="AN942" s="507"/>
      <c r="AO942" s="382"/>
      <c r="AP942" s="418"/>
      <c r="AQ942" s="383"/>
      <c r="AR942" s="507"/>
      <c r="AS942" s="514"/>
      <c r="AT942" s="514"/>
    </row>
    <row r="943">
      <c r="A943" s="382"/>
      <c r="B943" s="418"/>
      <c r="C943" s="383"/>
      <c r="D943" s="507"/>
      <c r="E943" s="382"/>
      <c r="F943" s="418"/>
      <c r="G943" s="383"/>
      <c r="H943" s="507"/>
      <c r="I943" s="382"/>
      <c r="J943" s="418"/>
      <c r="K943" s="383"/>
      <c r="L943" s="507"/>
      <c r="M943" s="382"/>
      <c r="N943" s="418"/>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8"/>
      <c r="AM943" s="383"/>
      <c r="AN943" s="507"/>
      <c r="AO943" s="382"/>
      <c r="AP943" s="418"/>
      <c r="AQ943" s="383"/>
      <c r="AR943" s="507"/>
      <c r="AS943" s="514"/>
      <c r="AT943" s="514"/>
    </row>
    <row r="944">
      <c r="A944" s="382"/>
      <c r="B944" s="418"/>
      <c r="C944" s="383"/>
      <c r="D944" s="507"/>
      <c r="E944" s="382"/>
      <c r="F944" s="418"/>
      <c r="G944" s="383"/>
      <c r="H944" s="507"/>
      <c r="I944" s="382"/>
      <c r="J944" s="418"/>
      <c r="K944" s="383"/>
      <c r="L944" s="507"/>
      <c r="M944" s="382"/>
      <c r="N944" s="418"/>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8"/>
      <c r="AM944" s="383"/>
      <c r="AN944" s="507"/>
      <c r="AO944" s="382"/>
      <c r="AP944" s="418"/>
      <c r="AQ944" s="383"/>
      <c r="AR944" s="507"/>
      <c r="AS944" s="514"/>
      <c r="AT944" s="514"/>
    </row>
    <row r="945">
      <c r="A945" s="382"/>
      <c r="B945" s="418"/>
      <c r="C945" s="383"/>
      <c r="D945" s="507"/>
      <c r="E945" s="382"/>
      <c r="F945" s="418"/>
      <c r="G945" s="383"/>
      <c r="H945" s="507"/>
      <c r="I945" s="382"/>
      <c r="J945" s="418"/>
      <c r="K945" s="383"/>
      <c r="L945" s="507"/>
      <c r="M945" s="382"/>
      <c r="N945" s="418"/>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8"/>
      <c r="AM945" s="383"/>
      <c r="AN945" s="507"/>
      <c r="AO945" s="382"/>
      <c r="AP945" s="418"/>
      <c r="AQ945" s="383"/>
      <c r="AR945" s="507"/>
      <c r="AS945" s="514"/>
      <c r="AT945" s="514"/>
    </row>
    <row r="946">
      <c r="A946" s="382"/>
      <c r="B946" s="418"/>
      <c r="C946" s="383"/>
      <c r="D946" s="507"/>
      <c r="E946" s="382"/>
      <c r="F946" s="418"/>
      <c r="G946" s="383"/>
      <c r="H946" s="507"/>
      <c r="I946" s="382"/>
      <c r="J946" s="418"/>
      <c r="K946" s="383"/>
      <c r="L946" s="507"/>
      <c r="M946" s="382"/>
      <c r="N946" s="418"/>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8"/>
      <c r="AM946" s="383"/>
      <c r="AN946" s="507"/>
      <c r="AO946" s="382"/>
      <c r="AP946" s="418"/>
      <c r="AQ946" s="383"/>
      <c r="AR946" s="507"/>
      <c r="AS946" s="514"/>
      <c r="AT946" s="514"/>
    </row>
    <row r="947">
      <c r="A947" s="382"/>
      <c r="B947" s="418"/>
      <c r="C947" s="383"/>
      <c r="D947" s="507"/>
      <c r="E947" s="382"/>
      <c r="F947" s="418"/>
      <c r="G947" s="383"/>
      <c r="H947" s="507"/>
      <c r="I947" s="382"/>
      <c r="J947" s="418"/>
      <c r="K947" s="383"/>
      <c r="L947" s="507"/>
      <c r="M947" s="382"/>
      <c r="N947" s="418"/>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8"/>
      <c r="AM947" s="383"/>
      <c r="AN947" s="507"/>
      <c r="AO947" s="382"/>
      <c r="AP947" s="418"/>
      <c r="AQ947" s="383"/>
      <c r="AR947" s="507"/>
      <c r="AS947" s="514"/>
      <c r="AT947" s="514"/>
    </row>
    <row r="948">
      <c r="A948" s="382"/>
      <c r="B948" s="418"/>
      <c r="C948" s="383"/>
      <c r="D948" s="507"/>
      <c r="E948" s="382"/>
      <c r="F948" s="418"/>
      <c r="G948" s="383"/>
      <c r="H948" s="507"/>
      <c r="I948" s="382"/>
      <c r="J948" s="418"/>
      <c r="K948" s="383"/>
      <c r="L948" s="507"/>
      <c r="M948" s="382"/>
      <c r="N948" s="418"/>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8"/>
      <c r="AM948" s="383"/>
      <c r="AN948" s="507"/>
      <c r="AO948" s="382"/>
      <c r="AP948" s="418"/>
      <c r="AQ948" s="383"/>
      <c r="AR948" s="507"/>
      <c r="AS948" s="514"/>
      <c r="AT948" s="514"/>
    </row>
    <row r="949">
      <c r="A949" s="382"/>
      <c r="B949" s="418"/>
      <c r="C949" s="383"/>
      <c r="D949" s="507"/>
      <c r="E949" s="382"/>
      <c r="F949" s="418"/>
      <c r="G949" s="383"/>
      <c r="H949" s="507"/>
      <c r="I949" s="382"/>
      <c r="J949" s="418"/>
      <c r="K949" s="383"/>
      <c r="L949" s="507"/>
      <c r="M949" s="382"/>
      <c r="N949" s="418"/>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8"/>
      <c r="AM949" s="383"/>
      <c r="AN949" s="507"/>
      <c r="AO949" s="382"/>
      <c r="AP949" s="418"/>
      <c r="AQ949" s="383"/>
      <c r="AR949" s="507"/>
      <c r="AS949" s="514"/>
      <c r="AT949" s="514"/>
    </row>
    <row r="950">
      <c r="A950" s="382"/>
      <c r="B950" s="418"/>
      <c r="C950" s="383"/>
      <c r="D950" s="507"/>
      <c r="E950" s="382"/>
      <c r="F950" s="418"/>
      <c r="G950" s="383"/>
      <c r="H950" s="507"/>
      <c r="I950" s="382"/>
      <c r="J950" s="418"/>
      <c r="K950" s="383"/>
      <c r="L950" s="507"/>
      <c r="M950" s="382"/>
      <c r="N950" s="418"/>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8"/>
      <c r="AM950" s="383"/>
      <c r="AN950" s="507"/>
      <c r="AO950" s="382"/>
      <c r="AP950" s="418"/>
      <c r="AQ950" s="383"/>
      <c r="AR950" s="507"/>
      <c r="AS950" s="514"/>
      <c r="AT950" s="514"/>
    </row>
    <row r="951">
      <c r="A951" s="382"/>
      <c r="B951" s="418"/>
      <c r="C951" s="383"/>
      <c r="D951" s="507"/>
      <c r="E951" s="382"/>
      <c r="F951" s="418"/>
      <c r="G951" s="383"/>
      <c r="H951" s="507"/>
      <c r="I951" s="382"/>
      <c r="J951" s="418"/>
      <c r="K951" s="383"/>
      <c r="L951" s="507"/>
      <c r="M951" s="382"/>
      <c r="N951" s="418"/>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8"/>
      <c r="AM951" s="383"/>
      <c r="AN951" s="507"/>
      <c r="AO951" s="382"/>
      <c r="AP951" s="418"/>
      <c r="AQ951" s="383"/>
      <c r="AR951" s="507"/>
      <c r="AS951" s="514"/>
      <c r="AT951" s="514"/>
    </row>
    <row r="952">
      <c r="A952" s="382"/>
      <c r="B952" s="418"/>
      <c r="C952" s="383"/>
      <c r="D952" s="507"/>
      <c r="E952" s="382"/>
      <c r="F952" s="418"/>
      <c r="G952" s="383"/>
      <c r="H952" s="507"/>
      <c r="I952" s="382"/>
      <c r="J952" s="418"/>
      <c r="K952" s="383"/>
      <c r="L952" s="507"/>
      <c r="M952" s="382"/>
      <c r="N952" s="418"/>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8"/>
      <c r="AM952" s="383"/>
      <c r="AN952" s="507"/>
      <c r="AO952" s="382"/>
      <c r="AP952" s="418"/>
      <c r="AQ952" s="383"/>
      <c r="AR952" s="507"/>
      <c r="AS952" s="514"/>
      <c r="AT952" s="514"/>
    </row>
    <row r="953">
      <c r="A953" s="382"/>
      <c r="B953" s="418"/>
      <c r="C953" s="383"/>
      <c r="D953" s="507"/>
      <c r="E953" s="382"/>
      <c r="F953" s="418"/>
      <c r="G953" s="383"/>
      <c r="H953" s="507"/>
      <c r="I953" s="382"/>
      <c r="J953" s="418"/>
      <c r="K953" s="383"/>
      <c r="L953" s="507"/>
      <c r="M953" s="382"/>
      <c r="N953" s="418"/>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8"/>
      <c r="AM953" s="383"/>
      <c r="AN953" s="507"/>
      <c r="AO953" s="382"/>
      <c r="AP953" s="418"/>
      <c r="AQ953" s="383"/>
      <c r="AR953" s="507"/>
      <c r="AS953" s="514"/>
      <c r="AT953" s="514"/>
    </row>
    <row r="954">
      <c r="A954" s="382"/>
      <c r="B954" s="418"/>
      <c r="C954" s="383"/>
      <c r="D954" s="507"/>
      <c r="E954" s="382"/>
      <c r="F954" s="418"/>
      <c r="G954" s="383"/>
      <c r="H954" s="507"/>
      <c r="I954" s="382"/>
      <c r="J954" s="418"/>
      <c r="K954" s="383"/>
      <c r="L954" s="507"/>
      <c r="M954" s="382"/>
      <c r="N954" s="418"/>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8"/>
      <c r="AM954" s="383"/>
      <c r="AN954" s="507"/>
      <c r="AO954" s="382"/>
      <c r="AP954" s="418"/>
      <c r="AQ954" s="383"/>
      <c r="AR954" s="507"/>
      <c r="AS954" s="514"/>
      <c r="AT954" s="514"/>
    </row>
    <row r="955">
      <c r="A955" s="382"/>
      <c r="B955" s="418"/>
      <c r="C955" s="383"/>
      <c r="D955" s="507"/>
      <c r="E955" s="382"/>
      <c r="F955" s="418"/>
      <c r="G955" s="383"/>
      <c r="H955" s="507"/>
      <c r="I955" s="382"/>
      <c r="J955" s="418"/>
      <c r="K955" s="383"/>
      <c r="L955" s="507"/>
      <c r="M955" s="382"/>
      <c r="N955" s="418"/>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8"/>
      <c r="AM955" s="383"/>
      <c r="AN955" s="507"/>
      <c r="AO955" s="382"/>
      <c r="AP955" s="418"/>
      <c r="AQ955" s="383"/>
      <c r="AR955" s="507"/>
      <c r="AS955" s="514"/>
      <c r="AT955" s="514"/>
    </row>
    <row r="956">
      <c r="A956" s="382"/>
      <c r="B956" s="418"/>
      <c r="C956" s="383"/>
      <c r="D956" s="507"/>
      <c r="E956" s="382"/>
      <c r="F956" s="418"/>
      <c r="G956" s="383"/>
      <c r="H956" s="507"/>
      <c r="I956" s="382"/>
      <c r="J956" s="418"/>
      <c r="K956" s="383"/>
      <c r="L956" s="507"/>
      <c r="M956" s="382"/>
      <c r="N956" s="418"/>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8"/>
      <c r="AM956" s="383"/>
      <c r="AN956" s="507"/>
      <c r="AO956" s="382"/>
      <c r="AP956" s="418"/>
      <c r="AQ956" s="383"/>
      <c r="AR956" s="507"/>
      <c r="AS956" s="514"/>
      <c r="AT956" s="514"/>
    </row>
    <row r="957">
      <c r="A957" s="382"/>
      <c r="B957" s="418"/>
      <c r="C957" s="383"/>
      <c r="D957" s="507"/>
      <c r="E957" s="382"/>
      <c r="F957" s="418"/>
      <c r="G957" s="383"/>
      <c r="H957" s="507"/>
      <c r="I957" s="382"/>
      <c r="J957" s="418"/>
      <c r="K957" s="383"/>
      <c r="L957" s="507"/>
      <c r="M957" s="382"/>
      <c r="N957" s="418"/>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8"/>
      <c r="AM957" s="383"/>
      <c r="AN957" s="507"/>
      <c r="AO957" s="382"/>
      <c r="AP957" s="418"/>
      <c r="AQ957" s="383"/>
      <c r="AR957" s="507"/>
      <c r="AS957" s="514"/>
      <c r="AT957" s="514"/>
    </row>
    <row r="958">
      <c r="A958" s="382"/>
      <c r="B958" s="418"/>
      <c r="C958" s="383"/>
      <c r="D958" s="507"/>
      <c r="E958" s="382"/>
      <c r="F958" s="418"/>
      <c r="G958" s="383"/>
      <c r="H958" s="507"/>
      <c r="I958" s="382"/>
      <c r="J958" s="418"/>
      <c r="K958" s="383"/>
      <c r="L958" s="507"/>
      <c r="M958" s="382"/>
      <c r="N958" s="418"/>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8"/>
      <c r="AM958" s="383"/>
      <c r="AN958" s="507"/>
      <c r="AO958" s="382"/>
      <c r="AP958" s="418"/>
      <c r="AQ958" s="383"/>
      <c r="AR958" s="507"/>
      <c r="AS958" s="514"/>
      <c r="AT958" s="514"/>
    </row>
    <row r="959">
      <c r="A959" s="382"/>
      <c r="B959" s="418"/>
      <c r="C959" s="383"/>
      <c r="D959" s="507"/>
      <c r="E959" s="382"/>
      <c r="F959" s="418"/>
      <c r="G959" s="383"/>
      <c r="H959" s="507"/>
      <c r="I959" s="382"/>
      <c r="J959" s="418"/>
      <c r="K959" s="383"/>
      <c r="L959" s="507"/>
      <c r="M959" s="382"/>
      <c r="N959" s="418"/>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8"/>
      <c r="AM959" s="383"/>
      <c r="AN959" s="507"/>
      <c r="AO959" s="382"/>
      <c r="AP959" s="418"/>
      <c r="AQ959" s="383"/>
      <c r="AR959" s="507"/>
      <c r="AS959" s="514"/>
      <c r="AT959" s="514"/>
    </row>
    <row r="960">
      <c r="A960" s="382"/>
      <c r="B960" s="418"/>
      <c r="C960" s="383"/>
      <c r="D960" s="507"/>
      <c r="E960" s="382"/>
      <c r="F960" s="418"/>
      <c r="G960" s="383"/>
      <c r="H960" s="507"/>
      <c r="I960" s="382"/>
      <c r="J960" s="418"/>
      <c r="K960" s="383"/>
      <c r="L960" s="507"/>
      <c r="M960" s="382"/>
      <c r="N960" s="418"/>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8"/>
      <c r="AM960" s="383"/>
      <c r="AN960" s="507"/>
      <c r="AO960" s="382"/>
      <c r="AP960" s="418"/>
      <c r="AQ960" s="383"/>
      <c r="AR960" s="507"/>
      <c r="AS960" s="514"/>
      <c r="AT960" s="514"/>
    </row>
    <row r="961">
      <c r="A961" s="382"/>
      <c r="B961" s="418"/>
      <c r="C961" s="383"/>
      <c r="D961" s="507"/>
      <c r="E961" s="382"/>
      <c r="F961" s="418"/>
      <c r="G961" s="383"/>
      <c r="H961" s="507"/>
      <c r="I961" s="382"/>
      <c r="J961" s="418"/>
      <c r="K961" s="383"/>
      <c r="L961" s="507"/>
      <c r="M961" s="382"/>
      <c r="N961" s="418"/>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8"/>
      <c r="AM961" s="383"/>
      <c r="AN961" s="507"/>
      <c r="AO961" s="382"/>
      <c r="AP961" s="418"/>
      <c r="AQ961" s="383"/>
      <c r="AR961" s="507"/>
      <c r="AS961" s="514"/>
      <c r="AT961" s="514"/>
    </row>
    <row r="962">
      <c r="A962" s="382"/>
      <c r="B962" s="418"/>
      <c r="C962" s="383"/>
      <c r="D962" s="507"/>
      <c r="E962" s="382"/>
      <c r="F962" s="418"/>
      <c r="G962" s="383"/>
      <c r="H962" s="507"/>
      <c r="I962" s="382"/>
      <c r="J962" s="418"/>
      <c r="K962" s="383"/>
      <c r="L962" s="507"/>
      <c r="M962" s="382"/>
      <c r="N962" s="418"/>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8"/>
      <c r="AM962" s="383"/>
      <c r="AN962" s="507"/>
      <c r="AO962" s="382"/>
      <c r="AP962" s="418"/>
      <c r="AQ962" s="383"/>
      <c r="AR962" s="507"/>
      <c r="AS962" s="514"/>
      <c r="AT962" s="514"/>
    </row>
    <row r="963">
      <c r="A963" s="382"/>
      <c r="B963" s="418"/>
      <c r="C963" s="383"/>
      <c r="D963" s="507"/>
      <c r="E963" s="382"/>
      <c r="F963" s="418"/>
      <c r="G963" s="383"/>
      <c r="H963" s="507"/>
      <c r="I963" s="382"/>
      <c r="J963" s="418"/>
      <c r="K963" s="383"/>
      <c r="L963" s="507"/>
      <c r="M963" s="382"/>
      <c r="N963" s="418"/>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8"/>
      <c r="AM963" s="383"/>
      <c r="AN963" s="507"/>
      <c r="AO963" s="382"/>
      <c r="AP963" s="418"/>
      <c r="AQ963" s="383"/>
      <c r="AR963" s="507"/>
      <c r="AS963" s="514"/>
      <c r="AT963" s="514"/>
    </row>
    <row r="964">
      <c r="A964" s="382"/>
      <c r="B964" s="418"/>
      <c r="C964" s="383"/>
      <c r="D964" s="507"/>
      <c r="E964" s="382"/>
      <c r="F964" s="418"/>
      <c r="G964" s="383"/>
      <c r="H964" s="507"/>
      <c r="I964" s="382"/>
      <c r="J964" s="418"/>
      <c r="K964" s="383"/>
      <c r="L964" s="507"/>
      <c r="M964" s="382"/>
      <c r="N964" s="418"/>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8"/>
      <c r="AM964" s="383"/>
      <c r="AN964" s="507"/>
      <c r="AO964" s="382"/>
      <c r="AP964" s="418"/>
      <c r="AQ964" s="383"/>
      <c r="AR964" s="507"/>
      <c r="AS964" s="514"/>
      <c r="AT964" s="514"/>
    </row>
    <row r="965">
      <c r="A965" s="382"/>
      <c r="B965" s="418"/>
      <c r="C965" s="383"/>
      <c r="D965" s="507"/>
      <c r="E965" s="382"/>
      <c r="F965" s="418"/>
      <c r="G965" s="383"/>
      <c r="H965" s="507"/>
      <c r="I965" s="382"/>
      <c r="J965" s="418"/>
      <c r="K965" s="383"/>
      <c r="L965" s="507"/>
      <c r="M965" s="382"/>
      <c r="N965" s="418"/>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8"/>
      <c r="AM965" s="383"/>
      <c r="AN965" s="507"/>
      <c r="AO965" s="382"/>
      <c r="AP965" s="418"/>
      <c r="AQ965" s="383"/>
      <c r="AR965" s="507"/>
      <c r="AS965" s="514"/>
      <c r="AT965" s="514"/>
    </row>
    <row r="966">
      <c r="A966" s="382"/>
      <c r="B966" s="418"/>
      <c r="C966" s="383"/>
      <c r="D966" s="507"/>
      <c r="E966" s="382"/>
      <c r="F966" s="418"/>
      <c r="G966" s="383"/>
      <c r="H966" s="507"/>
      <c r="I966" s="382"/>
      <c r="J966" s="418"/>
      <c r="K966" s="383"/>
      <c r="L966" s="507"/>
      <c r="M966" s="382"/>
      <c r="N966" s="418"/>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8"/>
      <c r="AM966" s="383"/>
      <c r="AN966" s="507"/>
      <c r="AO966" s="382"/>
      <c r="AP966" s="418"/>
      <c r="AQ966" s="383"/>
      <c r="AR966" s="507"/>
      <c r="AS966" s="514"/>
      <c r="AT966" s="514"/>
    </row>
    <row r="967">
      <c r="A967" s="382"/>
      <c r="B967" s="418"/>
      <c r="C967" s="383"/>
      <c r="D967" s="507"/>
      <c r="E967" s="382"/>
      <c r="F967" s="418"/>
      <c r="G967" s="383"/>
      <c r="H967" s="507"/>
      <c r="I967" s="382"/>
      <c r="J967" s="418"/>
      <c r="K967" s="383"/>
      <c r="L967" s="507"/>
      <c r="M967" s="382"/>
      <c r="N967" s="418"/>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8"/>
      <c r="AM967" s="383"/>
      <c r="AN967" s="507"/>
      <c r="AO967" s="382"/>
      <c r="AP967" s="418"/>
      <c r="AQ967" s="383"/>
      <c r="AR967" s="507"/>
      <c r="AS967" s="514"/>
      <c r="AT967" s="514"/>
    </row>
    <row r="968">
      <c r="A968" s="382"/>
      <c r="B968" s="418"/>
      <c r="C968" s="383"/>
      <c r="D968" s="507"/>
      <c r="E968" s="382"/>
      <c r="F968" s="418"/>
      <c r="G968" s="383"/>
      <c r="H968" s="507"/>
      <c r="I968" s="382"/>
      <c r="J968" s="418"/>
      <c r="K968" s="383"/>
      <c r="L968" s="507"/>
      <c r="M968" s="382"/>
      <c r="N968" s="418"/>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8"/>
      <c r="AM968" s="383"/>
      <c r="AN968" s="507"/>
      <c r="AO968" s="382"/>
      <c r="AP968" s="418"/>
      <c r="AQ968" s="383"/>
      <c r="AR968" s="507"/>
      <c r="AS968" s="514"/>
      <c r="AT968" s="514"/>
    </row>
    <row r="969">
      <c r="A969" s="382"/>
      <c r="B969" s="418"/>
      <c r="C969" s="383"/>
      <c r="D969" s="507"/>
      <c r="E969" s="382"/>
      <c r="F969" s="418"/>
      <c r="G969" s="383"/>
      <c r="H969" s="507"/>
      <c r="I969" s="382"/>
      <c r="J969" s="418"/>
      <c r="K969" s="383"/>
      <c r="L969" s="507"/>
      <c r="M969" s="382"/>
      <c r="N969" s="418"/>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8"/>
      <c r="AM969" s="383"/>
      <c r="AN969" s="507"/>
      <c r="AO969" s="382"/>
      <c r="AP969" s="418"/>
      <c r="AQ969" s="383"/>
      <c r="AR969" s="507"/>
      <c r="AS969" s="514"/>
      <c r="AT969" s="514"/>
    </row>
    <row r="970">
      <c r="A970" s="382"/>
      <c r="B970" s="418"/>
      <c r="C970" s="383"/>
      <c r="D970" s="507"/>
      <c r="E970" s="382"/>
      <c r="F970" s="418"/>
      <c r="G970" s="383"/>
      <c r="H970" s="507"/>
      <c r="I970" s="382"/>
      <c r="J970" s="418"/>
      <c r="K970" s="383"/>
      <c r="L970" s="507"/>
      <c r="M970" s="382"/>
      <c r="N970" s="418"/>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8"/>
      <c r="AM970" s="383"/>
      <c r="AN970" s="507"/>
      <c r="AO970" s="382"/>
      <c r="AP970" s="418"/>
      <c r="AQ970" s="383"/>
      <c r="AR970" s="507"/>
      <c r="AS970" s="514"/>
      <c r="AT970" s="514"/>
    </row>
    <row r="971">
      <c r="A971" s="382"/>
      <c r="B971" s="418"/>
      <c r="C971" s="383"/>
      <c r="D971" s="507"/>
      <c r="E971" s="382"/>
      <c r="F971" s="418"/>
      <c r="G971" s="383"/>
      <c r="H971" s="507"/>
      <c r="I971" s="382"/>
      <c r="J971" s="418"/>
      <c r="K971" s="383"/>
      <c r="L971" s="507"/>
      <c r="M971" s="382"/>
      <c r="N971" s="418"/>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8"/>
      <c r="AM971" s="383"/>
      <c r="AN971" s="507"/>
      <c r="AO971" s="382"/>
      <c r="AP971" s="418"/>
      <c r="AQ971" s="383"/>
      <c r="AR971" s="507"/>
      <c r="AS971" s="514"/>
      <c r="AT971" s="514"/>
    </row>
    <row r="972">
      <c r="A972" s="382"/>
      <c r="B972" s="418"/>
      <c r="C972" s="383"/>
      <c r="D972" s="507"/>
      <c r="E972" s="382"/>
      <c r="F972" s="418"/>
      <c r="G972" s="383"/>
      <c r="H972" s="507"/>
      <c r="I972" s="382"/>
      <c r="J972" s="418"/>
      <c r="K972" s="383"/>
      <c r="L972" s="507"/>
      <c r="M972" s="382"/>
      <c r="N972" s="418"/>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8"/>
      <c r="AM972" s="383"/>
      <c r="AN972" s="507"/>
      <c r="AO972" s="382"/>
      <c r="AP972" s="418"/>
      <c r="AQ972" s="383"/>
      <c r="AR972" s="507"/>
      <c r="AS972" s="514"/>
      <c r="AT972" s="514"/>
    </row>
    <row r="973">
      <c r="A973" s="382"/>
      <c r="B973" s="418"/>
      <c r="C973" s="383"/>
      <c r="D973" s="507"/>
      <c r="E973" s="382"/>
      <c r="F973" s="418"/>
      <c r="G973" s="383"/>
      <c r="H973" s="507"/>
      <c r="I973" s="382"/>
      <c r="J973" s="418"/>
      <c r="K973" s="383"/>
      <c r="L973" s="507"/>
      <c r="M973" s="382"/>
      <c r="N973" s="418"/>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8"/>
      <c r="AM973" s="383"/>
      <c r="AN973" s="507"/>
      <c r="AO973" s="382"/>
      <c r="AP973" s="418"/>
      <c r="AQ973" s="383"/>
      <c r="AR973" s="507"/>
      <c r="AS973" s="514"/>
      <c r="AT973" s="514"/>
    </row>
    <row r="974">
      <c r="A974" s="382"/>
      <c r="B974" s="418"/>
      <c r="C974" s="383"/>
      <c r="D974" s="507"/>
      <c r="E974" s="382"/>
      <c r="F974" s="418"/>
      <c r="G974" s="383"/>
      <c r="H974" s="507"/>
      <c r="I974" s="382"/>
      <c r="J974" s="418"/>
      <c r="K974" s="383"/>
      <c r="L974" s="507"/>
      <c r="M974" s="382"/>
      <c r="N974" s="418"/>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8"/>
      <c r="AM974" s="383"/>
      <c r="AN974" s="507"/>
      <c r="AO974" s="382"/>
      <c r="AP974" s="418"/>
      <c r="AQ974" s="383"/>
      <c r="AR974" s="507"/>
      <c r="AS974" s="514"/>
      <c r="AT974" s="514"/>
    </row>
    <row r="975">
      <c r="A975" s="382"/>
      <c r="B975" s="418"/>
      <c r="C975" s="383"/>
      <c r="D975" s="507"/>
      <c r="E975" s="382"/>
      <c r="F975" s="418"/>
      <c r="G975" s="383"/>
      <c r="H975" s="507"/>
      <c r="I975" s="382"/>
      <c r="J975" s="418"/>
      <c r="K975" s="383"/>
      <c r="L975" s="507"/>
      <c r="M975" s="382"/>
      <c r="N975" s="418"/>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8"/>
      <c r="AM975" s="383"/>
      <c r="AN975" s="507"/>
      <c r="AO975" s="382"/>
      <c r="AP975" s="418"/>
      <c r="AQ975" s="383"/>
      <c r="AR975" s="507"/>
      <c r="AS975" s="514"/>
      <c r="AT975" s="514"/>
    </row>
    <row r="976">
      <c r="A976" s="382"/>
      <c r="B976" s="418"/>
      <c r="C976" s="383"/>
      <c r="D976" s="507"/>
      <c r="E976" s="382"/>
      <c r="F976" s="418"/>
      <c r="G976" s="383"/>
      <c r="H976" s="507"/>
      <c r="I976" s="382"/>
      <c r="J976" s="418"/>
      <c r="K976" s="383"/>
      <c r="L976" s="507"/>
      <c r="M976" s="382"/>
      <c r="N976" s="418"/>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8"/>
      <c r="AM976" s="383"/>
      <c r="AN976" s="507"/>
      <c r="AO976" s="382"/>
      <c r="AP976" s="418"/>
      <c r="AQ976" s="383"/>
      <c r="AR976" s="507"/>
      <c r="AS976" s="514"/>
      <c r="AT976" s="514"/>
    </row>
    <row r="977">
      <c r="A977" s="382"/>
      <c r="B977" s="418"/>
      <c r="C977" s="383"/>
      <c r="D977" s="507"/>
      <c r="E977" s="382"/>
      <c r="F977" s="418"/>
      <c r="G977" s="383"/>
      <c r="H977" s="507"/>
      <c r="I977" s="382"/>
      <c r="J977" s="418"/>
      <c r="K977" s="383"/>
      <c r="L977" s="507"/>
      <c r="M977" s="382"/>
      <c r="N977" s="418"/>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8"/>
      <c r="AM977" s="383"/>
      <c r="AN977" s="507"/>
      <c r="AO977" s="382"/>
      <c r="AP977" s="418"/>
      <c r="AQ977" s="383"/>
      <c r="AR977" s="507"/>
      <c r="AS977" s="514"/>
      <c r="AT977" s="514"/>
    </row>
    <row r="978">
      <c r="A978" s="382"/>
      <c r="B978" s="418"/>
      <c r="C978" s="383"/>
      <c r="D978" s="507"/>
      <c r="E978" s="382"/>
      <c r="F978" s="418"/>
      <c r="G978" s="383"/>
      <c r="H978" s="507"/>
      <c r="I978" s="382"/>
      <c r="J978" s="418"/>
      <c r="K978" s="383"/>
      <c r="L978" s="507"/>
      <c r="M978" s="382"/>
      <c r="N978" s="418"/>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8"/>
      <c r="AM978" s="383"/>
      <c r="AN978" s="507"/>
      <c r="AO978" s="382"/>
      <c r="AP978" s="418"/>
      <c r="AQ978" s="383"/>
      <c r="AR978" s="507"/>
      <c r="AS978" s="514"/>
      <c r="AT978" s="514"/>
    </row>
    <row r="979">
      <c r="A979" s="382"/>
      <c r="B979" s="418"/>
      <c r="C979" s="383"/>
      <c r="D979" s="507"/>
      <c r="E979" s="382"/>
      <c r="F979" s="418"/>
      <c r="G979" s="383"/>
      <c r="H979" s="507"/>
      <c r="I979" s="382"/>
      <c r="J979" s="418"/>
      <c r="K979" s="383"/>
      <c r="L979" s="507"/>
      <c r="M979" s="382"/>
      <c r="N979" s="418"/>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8"/>
      <c r="AM979" s="383"/>
      <c r="AN979" s="507"/>
      <c r="AO979" s="382"/>
      <c r="AP979" s="418"/>
      <c r="AQ979" s="383"/>
      <c r="AR979" s="507"/>
      <c r="AS979" s="514"/>
      <c r="AT979" s="514"/>
    </row>
    <row r="980">
      <c r="A980" s="382"/>
      <c r="B980" s="418"/>
      <c r="C980" s="383"/>
      <c r="D980" s="507"/>
      <c r="E980" s="382"/>
      <c r="F980" s="418"/>
      <c r="G980" s="383"/>
      <c r="H980" s="507"/>
      <c r="I980" s="382"/>
      <c r="J980" s="418"/>
      <c r="K980" s="383"/>
      <c r="L980" s="507"/>
      <c r="M980" s="382"/>
      <c r="N980" s="418"/>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8"/>
      <c r="AM980" s="383"/>
      <c r="AN980" s="507"/>
      <c r="AO980" s="382"/>
      <c r="AP980" s="418"/>
      <c r="AQ980" s="383"/>
      <c r="AR980" s="507"/>
      <c r="AS980" s="514"/>
      <c r="AT980" s="514"/>
    </row>
    <row r="981">
      <c r="A981" s="382"/>
      <c r="B981" s="418"/>
      <c r="C981" s="383"/>
      <c r="D981" s="507"/>
      <c r="E981" s="382"/>
      <c r="F981" s="418"/>
      <c r="G981" s="383"/>
      <c r="H981" s="507"/>
      <c r="I981" s="382"/>
      <c r="J981" s="418"/>
      <c r="K981" s="383"/>
      <c r="L981" s="507"/>
      <c r="M981" s="382"/>
      <c r="N981" s="418"/>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8"/>
      <c r="AM981" s="383"/>
      <c r="AN981" s="507"/>
      <c r="AO981" s="382"/>
      <c r="AP981" s="418"/>
      <c r="AQ981" s="383"/>
      <c r="AR981" s="507"/>
      <c r="AS981" s="514"/>
      <c r="AT981" s="514"/>
    </row>
    <row r="982">
      <c r="A982" s="382"/>
      <c r="B982" s="418"/>
      <c r="C982" s="383"/>
      <c r="D982" s="507"/>
      <c r="E982" s="382"/>
      <c r="F982" s="418"/>
      <c r="G982" s="383"/>
      <c r="H982" s="507"/>
      <c r="I982" s="382"/>
      <c r="J982" s="418"/>
      <c r="K982" s="383"/>
      <c r="L982" s="507"/>
      <c r="M982" s="382"/>
      <c r="N982" s="418"/>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8"/>
      <c r="AM982" s="383"/>
      <c r="AN982" s="507"/>
      <c r="AO982" s="382"/>
      <c r="AP982" s="418"/>
      <c r="AQ982" s="383"/>
      <c r="AR982" s="507"/>
      <c r="AS982" s="514"/>
      <c r="AT982" s="514"/>
    </row>
    <row r="983">
      <c r="A983" s="382"/>
      <c r="B983" s="418"/>
      <c r="C983" s="383"/>
      <c r="D983" s="507"/>
      <c r="E983" s="382"/>
      <c r="F983" s="418"/>
      <c r="G983" s="383"/>
      <c r="H983" s="507"/>
      <c r="I983" s="382"/>
      <c r="J983" s="418"/>
      <c r="K983" s="383"/>
      <c r="L983" s="507"/>
      <c r="M983" s="382"/>
      <c r="N983" s="418"/>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8"/>
      <c r="AM983" s="383"/>
      <c r="AN983" s="507"/>
      <c r="AO983" s="382"/>
      <c r="AP983" s="418"/>
      <c r="AQ983" s="383"/>
      <c r="AR983" s="507"/>
      <c r="AS983" s="514"/>
      <c r="AT983" s="514"/>
    </row>
    <row r="984">
      <c r="A984" s="382"/>
      <c r="B984" s="418"/>
      <c r="C984" s="383"/>
      <c r="D984" s="507"/>
      <c r="E984" s="382"/>
      <c r="F984" s="418"/>
      <c r="G984" s="383"/>
      <c r="H984" s="507"/>
      <c r="I984" s="382"/>
      <c r="J984" s="418"/>
      <c r="K984" s="383"/>
      <c r="L984" s="507"/>
      <c r="M984" s="382"/>
      <c r="N984" s="418"/>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8"/>
      <c r="AM984" s="383"/>
      <c r="AN984" s="507"/>
      <c r="AO984" s="382"/>
      <c r="AP984" s="418"/>
      <c r="AQ984" s="383"/>
      <c r="AR984" s="507"/>
      <c r="AS984" s="514"/>
      <c r="AT984" s="514"/>
    </row>
    <row r="985">
      <c r="A985" s="382"/>
      <c r="B985" s="418"/>
      <c r="C985" s="383"/>
      <c r="D985" s="507"/>
      <c r="E985" s="382"/>
      <c r="F985" s="418"/>
      <c r="G985" s="383"/>
      <c r="H985" s="507"/>
      <c r="I985" s="382"/>
      <c r="J985" s="418"/>
      <c r="K985" s="383"/>
      <c r="L985" s="507"/>
      <c r="M985" s="382"/>
      <c r="N985" s="418"/>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8"/>
      <c r="AM985" s="383"/>
      <c r="AN985" s="507"/>
      <c r="AO985" s="382"/>
      <c r="AP985" s="418"/>
      <c r="AQ985" s="383"/>
      <c r="AR985" s="507"/>
      <c r="AS985" s="514"/>
      <c r="AT985" s="514"/>
    </row>
    <row r="986">
      <c r="A986" s="382"/>
      <c r="B986" s="418"/>
      <c r="C986" s="383"/>
      <c r="D986" s="507"/>
      <c r="E986" s="382"/>
      <c r="F986" s="418"/>
      <c r="G986" s="383"/>
      <c r="H986" s="507"/>
      <c r="I986" s="382"/>
      <c r="J986" s="418"/>
      <c r="K986" s="383"/>
      <c r="L986" s="507"/>
      <c r="M986" s="382"/>
      <c r="N986" s="418"/>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8"/>
      <c r="AM986" s="383"/>
      <c r="AN986" s="507"/>
      <c r="AO986" s="382"/>
      <c r="AP986" s="418"/>
      <c r="AQ986" s="383"/>
      <c r="AR986" s="507"/>
      <c r="AS986" s="514"/>
      <c r="AT986" s="514"/>
    </row>
    <row r="987">
      <c r="A987" s="382"/>
      <c r="B987" s="418"/>
      <c r="C987" s="383"/>
      <c r="D987" s="507"/>
      <c r="E987" s="382"/>
      <c r="F987" s="418"/>
      <c r="G987" s="383"/>
      <c r="H987" s="507"/>
      <c r="I987" s="382"/>
      <c r="J987" s="418"/>
      <c r="K987" s="383"/>
      <c r="L987" s="507"/>
      <c r="M987" s="382"/>
      <c r="N987" s="418"/>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8"/>
      <c r="AM987" s="383"/>
      <c r="AN987" s="507"/>
      <c r="AO987" s="382"/>
      <c r="AP987" s="418"/>
      <c r="AQ987" s="383"/>
      <c r="AR987" s="507"/>
      <c r="AS987" s="514"/>
      <c r="AT987" s="514"/>
    </row>
    <row r="988">
      <c r="A988" s="382"/>
      <c r="B988" s="418"/>
      <c r="C988" s="383"/>
      <c r="D988" s="507"/>
      <c r="E988" s="382"/>
      <c r="F988" s="418"/>
      <c r="G988" s="383"/>
      <c r="H988" s="507"/>
      <c r="I988" s="382"/>
      <c r="J988" s="418"/>
      <c r="K988" s="383"/>
      <c r="L988" s="507"/>
      <c r="M988" s="382"/>
      <c r="N988" s="418"/>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8"/>
      <c r="AM988" s="383"/>
      <c r="AN988" s="507"/>
      <c r="AO988" s="382"/>
      <c r="AP988" s="418"/>
      <c r="AQ988" s="383"/>
      <c r="AR988" s="507"/>
      <c r="AS988" s="514"/>
      <c r="AT988" s="514"/>
    </row>
    <row r="989">
      <c r="A989" s="382"/>
      <c r="B989" s="418"/>
      <c r="C989" s="383"/>
      <c r="D989" s="507"/>
      <c r="E989" s="382"/>
      <c r="F989" s="418"/>
      <c r="G989" s="383"/>
      <c r="H989" s="507"/>
      <c r="I989" s="382"/>
      <c r="J989" s="418"/>
      <c r="K989" s="383"/>
      <c r="L989" s="507"/>
      <c r="M989" s="382"/>
      <c r="N989" s="418"/>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8"/>
      <c r="AM989" s="383"/>
      <c r="AN989" s="507"/>
      <c r="AO989" s="382"/>
      <c r="AP989" s="418"/>
      <c r="AQ989" s="383"/>
      <c r="AR989" s="507"/>
      <c r="AS989" s="514"/>
      <c r="AT989" s="514"/>
    </row>
    <row r="990">
      <c r="A990" s="382"/>
      <c r="B990" s="418"/>
      <c r="C990" s="383"/>
      <c r="D990" s="507"/>
      <c r="E990" s="382"/>
      <c r="F990" s="418"/>
      <c r="G990" s="383"/>
      <c r="H990" s="507"/>
      <c r="I990" s="382"/>
      <c r="J990" s="418"/>
      <c r="K990" s="383"/>
      <c r="L990" s="507"/>
      <c r="M990" s="382"/>
      <c r="N990" s="418"/>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8"/>
      <c r="AM990" s="383"/>
      <c r="AN990" s="507"/>
      <c r="AO990" s="382"/>
      <c r="AP990" s="418"/>
      <c r="AQ990" s="383"/>
      <c r="AR990" s="507"/>
      <c r="AS990" s="514"/>
      <c r="AT990" s="514"/>
    </row>
    <row r="991">
      <c r="A991" s="382"/>
      <c r="B991" s="418"/>
      <c r="C991" s="383"/>
      <c r="D991" s="507"/>
      <c r="E991" s="382"/>
      <c r="F991" s="418"/>
      <c r="G991" s="383"/>
      <c r="H991" s="507"/>
      <c r="I991" s="382"/>
      <c r="J991" s="418"/>
      <c r="K991" s="383"/>
      <c r="L991" s="507"/>
      <c r="M991" s="382"/>
      <c r="N991" s="418"/>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8"/>
      <c r="AM991" s="383"/>
      <c r="AN991" s="507"/>
      <c r="AO991" s="382"/>
      <c r="AP991" s="418"/>
      <c r="AQ991" s="383"/>
      <c r="AR991" s="507"/>
      <c r="AS991" s="514"/>
      <c r="AT991" s="514"/>
    </row>
    <row r="992">
      <c r="A992" s="382"/>
      <c r="B992" s="418"/>
      <c r="C992" s="383"/>
      <c r="D992" s="507"/>
      <c r="E992" s="382"/>
      <c r="F992" s="418"/>
      <c r="G992" s="383"/>
      <c r="H992" s="507"/>
      <c r="I992" s="382"/>
      <c r="J992" s="418"/>
      <c r="K992" s="383"/>
      <c r="L992" s="507"/>
      <c r="M992" s="382"/>
      <c r="N992" s="418"/>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8"/>
      <c r="AM992" s="383"/>
      <c r="AN992" s="507"/>
      <c r="AO992" s="382"/>
      <c r="AP992" s="418"/>
      <c r="AQ992" s="383"/>
      <c r="AR992" s="507"/>
      <c r="AS992" s="514"/>
      <c r="AT992" s="514"/>
    </row>
    <row r="993">
      <c r="A993" s="382"/>
      <c r="B993" s="418"/>
      <c r="C993" s="383"/>
      <c r="D993" s="507"/>
      <c r="E993" s="382"/>
      <c r="F993" s="418"/>
      <c r="G993" s="383"/>
      <c r="H993" s="507"/>
      <c r="I993" s="382"/>
      <c r="J993" s="418"/>
      <c r="K993" s="383"/>
      <c r="L993" s="507"/>
      <c r="M993" s="382"/>
      <c r="N993" s="418"/>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8"/>
      <c r="AM993" s="383"/>
      <c r="AN993" s="507"/>
      <c r="AO993" s="382"/>
      <c r="AP993" s="418"/>
      <c r="AQ993" s="383"/>
      <c r="AR993" s="507"/>
      <c r="AS993" s="514"/>
      <c r="AT993" s="514"/>
    </row>
    <row r="994">
      <c r="A994" s="382"/>
      <c r="B994" s="418"/>
      <c r="C994" s="383"/>
      <c r="D994" s="507"/>
      <c r="E994" s="382"/>
      <c r="F994" s="418"/>
      <c r="G994" s="383"/>
      <c r="H994" s="507"/>
      <c r="I994" s="382"/>
      <c r="J994" s="418"/>
      <c r="K994" s="383"/>
      <c r="L994" s="507"/>
      <c r="M994" s="382"/>
      <c r="N994" s="418"/>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8"/>
      <c r="AM994" s="383"/>
      <c r="AN994" s="507"/>
      <c r="AO994" s="382"/>
      <c r="AP994" s="418"/>
      <c r="AQ994" s="383"/>
      <c r="AR994" s="507"/>
      <c r="AS994" s="514"/>
      <c r="AT994" s="514"/>
    </row>
    <row r="995">
      <c r="A995" s="382"/>
      <c r="B995" s="418"/>
      <c r="C995" s="383"/>
      <c r="D995" s="507"/>
      <c r="E995" s="382"/>
      <c r="F995" s="418"/>
      <c r="G995" s="383"/>
      <c r="H995" s="507"/>
      <c r="I995" s="382"/>
      <c r="J995" s="418"/>
      <c r="K995" s="383"/>
      <c r="L995" s="507"/>
      <c r="M995" s="382"/>
      <c r="N995" s="418"/>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8"/>
      <c r="AM995" s="383"/>
      <c r="AN995" s="507"/>
      <c r="AO995" s="382"/>
      <c r="AP995" s="418"/>
      <c r="AQ995" s="383"/>
      <c r="AR995" s="507"/>
      <c r="AS995" s="514"/>
      <c r="AT995" s="514"/>
    </row>
    <row r="996">
      <c r="A996" s="382"/>
      <c r="B996" s="418"/>
      <c r="C996" s="383"/>
      <c r="D996" s="507"/>
      <c r="E996" s="382"/>
      <c r="F996" s="418"/>
      <c r="G996" s="383"/>
      <c r="H996" s="507"/>
      <c r="I996" s="382"/>
      <c r="J996" s="418"/>
      <c r="K996" s="383"/>
      <c r="L996" s="507"/>
      <c r="M996" s="382"/>
      <c r="N996" s="418"/>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8"/>
      <c r="AM996" s="383"/>
      <c r="AN996" s="507"/>
      <c r="AO996" s="382"/>
      <c r="AP996" s="418"/>
      <c r="AQ996" s="383"/>
      <c r="AR996" s="507"/>
      <c r="AS996" s="514"/>
      <c r="AT996" s="514"/>
    </row>
    <row r="997">
      <c r="A997" s="382"/>
      <c r="B997" s="418"/>
      <c r="C997" s="383"/>
      <c r="D997" s="507"/>
      <c r="E997" s="382"/>
      <c r="F997" s="418"/>
      <c r="G997" s="383"/>
      <c r="H997" s="507"/>
      <c r="I997" s="382"/>
      <c r="J997" s="418"/>
      <c r="K997" s="383"/>
      <c r="L997" s="507"/>
      <c r="M997" s="382"/>
      <c r="N997" s="418"/>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8"/>
      <c r="AM997" s="383"/>
      <c r="AN997" s="507"/>
      <c r="AO997" s="382"/>
      <c r="AP997" s="418"/>
      <c r="AQ997" s="383"/>
      <c r="AR997" s="507"/>
      <c r="AS997" s="514"/>
      <c r="AT997" s="514"/>
    </row>
    <row r="998">
      <c r="A998" s="382"/>
      <c r="B998" s="418"/>
      <c r="C998" s="383"/>
      <c r="D998" s="507"/>
      <c r="E998" s="382"/>
      <c r="F998" s="418"/>
      <c r="G998" s="383"/>
      <c r="H998" s="507"/>
      <c r="I998" s="382"/>
      <c r="J998" s="418"/>
      <c r="K998" s="383"/>
      <c r="L998" s="507"/>
      <c r="M998" s="382"/>
      <c r="N998" s="418"/>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8"/>
      <c r="AM998" s="383"/>
      <c r="AN998" s="507"/>
      <c r="AO998" s="382"/>
      <c r="AP998" s="418"/>
      <c r="AQ998" s="383"/>
      <c r="AR998" s="507"/>
      <c r="AS998" s="514"/>
      <c r="AT998" s="514"/>
    </row>
    <row r="999">
      <c r="A999" s="382"/>
      <c r="B999" s="418"/>
      <c r="C999" s="383"/>
      <c r="D999" s="507"/>
      <c r="E999" s="382"/>
      <c r="F999" s="418"/>
      <c r="G999" s="383"/>
      <c r="H999" s="507"/>
      <c r="I999" s="382"/>
      <c r="J999" s="418"/>
      <c r="K999" s="383"/>
      <c r="L999" s="507"/>
      <c r="M999" s="382"/>
      <c r="N999" s="418"/>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8"/>
      <c r="AM999" s="383"/>
      <c r="AN999" s="507"/>
      <c r="AO999" s="382"/>
      <c r="AP999" s="418"/>
      <c r="AQ999" s="383"/>
      <c r="AR999" s="507"/>
      <c r="AS999" s="514"/>
      <c r="AT999" s="514"/>
    </row>
    <row r="1000">
      <c r="A1000" s="382"/>
      <c r="B1000" s="418"/>
      <c r="C1000" s="383"/>
      <c r="D1000" s="507"/>
      <c r="E1000" s="382"/>
      <c r="F1000" s="418"/>
      <c r="G1000" s="383"/>
      <c r="H1000" s="507"/>
      <c r="I1000" s="382"/>
      <c r="J1000" s="418"/>
      <c r="K1000" s="383"/>
      <c r="L1000" s="507"/>
      <c r="M1000" s="382"/>
      <c r="N1000" s="418"/>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8"/>
      <c r="AM1000" s="383"/>
      <c r="AN1000" s="507"/>
      <c r="AO1000" s="382"/>
      <c r="AP1000" s="418"/>
      <c r="AQ1000" s="383"/>
      <c r="AR1000" s="507"/>
      <c r="AS1000" s="514"/>
      <c r="AT1000" s="514"/>
    </row>
    <row r="1001">
      <c r="A1001" s="382"/>
      <c r="B1001" s="418"/>
      <c r="C1001" s="383"/>
      <c r="D1001" s="507"/>
      <c r="E1001" s="382"/>
      <c r="F1001" s="418"/>
      <c r="G1001" s="383"/>
      <c r="H1001" s="507"/>
      <c r="I1001" s="382"/>
      <c r="J1001" s="418"/>
      <c r="K1001" s="383"/>
      <c r="L1001" s="507"/>
      <c r="M1001" s="382"/>
      <c r="N1001" s="418"/>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8"/>
      <c r="AI1001" s="383"/>
      <c r="AJ1001" s="507"/>
      <c r="AK1001" s="382"/>
      <c r="AL1001" s="418"/>
      <c r="AM1001" s="383"/>
      <c r="AN1001" s="507"/>
      <c r="AO1001" s="382"/>
      <c r="AP1001" s="418"/>
      <c r="AQ1001" s="383"/>
      <c r="AR1001" s="507"/>
      <c r="AS1001" s="514"/>
      <c r="AT1001" s="514"/>
    </row>
    <row r="1002">
      <c r="A1002" s="382"/>
      <c r="B1002" s="418"/>
      <c r="C1002" s="383"/>
      <c r="D1002" s="507"/>
      <c r="E1002" s="382"/>
      <c r="F1002" s="418"/>
      <c r="G1002" s="383"/>
      <c r="H1002" s="507"/>
      <c r="I1002" s="382"/>
      <c r="J1002" s="418"/>
      <c r="K1002" s="383"/>
      <c r="L1002" s="507"/>
      <c r="M1002" s="382"/>
      <c r="N1002" s="418"/>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8"/>
      <c r="AI1002" s="383"/>
      <c r="AJ1002" s="507"/>
      <c r="AK1002" s="382"/>
      <c r="AL1002" s="418"/>
      <c r="AM1002" s="383"/>
      <c r="AN1002" s="507"/>
      <c r="AO1002" s="382"/>
      <c r="AP1002" s="418"/>
      <c r="AQ1002" s="383"/>
      <c r="AR1002" s="507"/>
      <c r="AS1002" s="514"/>
      <c r="AT1002" s="514"/>
    </row>
    <row r="1003">
      <c r="A1003" s="382"/>
      <c r="B1003" s="418"/>
      <c r="C1003" s="383"/>
      <c r="D1003" s="507"/>
      <c r="E1003" s="382"/>
      <c r="F1003" s="418"/>
      <c r="G1003" s="383"/>
      <c r="H1003" s="507"/>
      <c r="I1003" s="382"/>
      <c r="J1003" s="418"/>
      <c r="K1003" s="383"/>
      <c r="L1003" s="507"/>
      <c r="M1003" s="382"/>
      <c r="N1003" s="418"/>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8"/>
      <c r="AI1003" s="383"/>
      <c r="AJ1003" s="507"/>
      <c r="AK1003" s="382"/>
      <c r="AL1003" s="418"/>
      <c r="AM1003" s="383"/>
      <c r="AN1003" s="507"/>
      <c r="AO1003" s="382"/>
      <c r="AP1003" s="418"/>
      <c r="AQ1003" s="383"/>
      <c r="AR1003" s="507"/>
      <c r="AS1003" s="514"/>
      <c r="AT1003" s="514"/>
    </row>
    <row r="1004">
      <c r="A1004" s="382"/>
      <c r="B1004" s="418"/>
      <c r="C1004" s="383"/>
      <c r="D1004" s="507"/>
      <c r="E1004" s="382"/>
      <c r="F1004" s="418"/>
      <c r="G1004" s="383"/>
      <c r="H1004" s="507"/>
      <c r="I1004" s="382"/>
      <c r="J1004" s="418"/>
      <c r="K1004" s="383"/>
      <c r="L1004" s="507"/>
      <c r="M1004" s="382"/>
      <c r="N1004" s="418"/>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8"/>
      <c r="AI1004" s="383"/>
      <c r="AJ1004" s="507"/>
      <c r="AK1004" s="382"/>
      <c r="AL1004" s="418"/>
      <c r="AM1004" s="383"/>
      <c r="AN1004" s="507"/>
      <c r="AO1004" s="382"/>
      <c r="AP1004" s="418"/>
      <c r="AQ1004" s="383"/>
      <c r="AR1004" s="507"/>
      <c r="AS1004" s="514"/>
      <c r="AT1004" s="514"/>
    </row>
    <row r="1005">
      <c r="A1005" s="382"/>
      <c r="B1005" s="418"/>
      <c r="C1005" s="383"/>
      <c r="D1005" s="507"/>
      <c r="E1005" s="382"/>
      <c r="F1005" s="418"/>
      <c r="G1005" s="383"/>
      <c r="H1005" s="507"/>
      <c r="I1005" s="382"/>
      <c r="J1005" s="418"/>
      <c r="K1005" s="383"/>
      <c r="L1005" s="507"/>
      <c r="M1005" s="382"/>
      <c r="N1005" s="418"/>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8"/>
      <c r="AI1005" s="383"/>
      <c r="AJ1005" s="507"/>
      <c r="AK1005" s="382"/>
      <c r="AL1005" s="418"/>
      <c r="AM1005" s="383"/>
      <c r="AN1005" s="507"/>
      <c r="AO1005" s="382"/>
      <c r="AP1005" s="418"/>
      <c r="AQ1005" s="383"/>
      <c r="AR1005" s="507"/>
      <c r="AS1005" s="514"/>
      <c r="AT1005" s="514"/>
    </row>
    <row r="1006">
      <c r="A1006" s="382"/>
      <c r="B1006" s="418"/>
      <c r="C1006" s="383"/>
      <c r="D1006" s="507"/>
      <c r="E1006" s="382"/>
      <c r="F1006" s="418"/>
      <c r="G1006" s="383"/>
      <c r="H1006" s="507"/>
      <c r="I1006" s="382"/>
      <c r="J1006" s="418"/>
      <c r="K1006" s="383"/>
      <c r="L1006" s="507"/>
      <c r="M1006" s="382"/>
      <c r="N1006" s="418"/>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8"/>
      <c r="AI1006" s="383"/>
      <c r="AJ1006" s="507"/>
      <c r="AK1006" s="382"/>
      <c r="AL1006" s="418"/>
      <c r="AM1006" s="383"/>
      <c r="AN1006" s="507"/>
      <c r="AO1006" s="382"/>
      <c r="AP1006" s="418"/>
      <c r="AQ1006" s="383"/>
      <c r="AR1006" s="507"/>
      <c r="AS1006" s="514"/>
      <c r="AT1006" s="514"/>
    </row>
    <row r="1007">
      <c r="A1007" s="382"/>
      <c r="B1007" s="418"/>
      <c r="C1007" s="383"/>
      <c r="D1007" s="507"/>
      <c r="E1007" s="382"/>
      <c r="F1007" s="418"/>
      <c r="G1007" s="383"/>
      <c r="H1007" s="507"/>
      <c r="I1007" s="382"/>
      <c r="J1007" s="418"/>
      <c r="K1007" s="383"/>
      <c r="L1007" s="507"/>
      <c r="M1007" s="382"/>
      <c r="N1007" s="418"/>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8"/>
      <c r="AI1007" s="383"/>
      <c r="AJ1007" s="507"/>
      <c r="AK1007" s="382"/>
      <c r="AL1007" s="418"/>
      <c r="AM1007" s="383"/>
      <c r="AN1007" s="507"/>
      <c r="AO1007" s="382"/>
      <c r="AP1007" s="418"/>
      <c r="AQ1007" s="383"/>
      <c r="AR1007" s="507"/>
      <c r="AS1007" s="514"/>
      <c r="AT1007" s="514"/>
    </row>
    <row r="1008">
      <c r="A1008" s="382"/>
      <c r="B1008" s="418"/>
      <c r="C1008" s="383"/>
      <c r="D1008" s="507"/>
      <c r="E1008" s="382"/>
      <c r="F1008" s="418"/>
      <c r="G1008" s="383"/>
      <c r="H1008" s="507"/>
      <c r="I1008" s="382"/>
      <c r="J1008" s="418"/>
      <c r="K1008" s="383"/>
      <c r="L1008" s="507"/>
      <c r="M1008" s="382"/>
      <c r="N1008" s="418"/>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8"/>
      <c r="AI1008" s="383"/>
      <c r="AJ1008" s="507"/>
      <c r="AK1008" s="382"/>
      <c r="AL1008" s="418"/>
      <c r="AM1008" s="383"/>
      <c r="AN1008" s="507"/>
      <c r="AO1008" s="382"/>
      <c r="AP1008" s="418"/>
      <c r="AQ1008" s="383"/>
      <c r="AR1008" s="507"/>
      <c r="AS1008" s="514"/>
      <c r="AT1008" s="514"/>
    </row>
    <row r="1009">
      <c r="A1009" s="382"/>
      <c r="B1009" s="418"/>
      <c r="C1009" s="383"/>
      <c r="D1009" s="507"/>
      <c r="E1009" s="382"/>
      <c r="F1009" s="418"/>
      <c r="G1009" s="383"/>
      <c r="H1009" s="507"/>
      <c r="I1009" s="382"/>
      <c r="J1009" s="418"/>
      <c r="K1009" s="383"/>
      <c r="L1009" s="507"/>
      <c r="M1009" s="382"/>
      <c r="N1009" s="418"/>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8"/>
      <c r="AI1009" s="383"/>
      <c r="AJ1009" s="507"/>
      <c r="AK1009" s="382"/>
      <c r="AL1009" s="418"/>
      <c r="AM1009" s="383"/>
      <c r="AN1009" s="507"/>
      <c r="AO1009" s="382"/>
      <c r="AP1009" s="418"/>
      <c r="AQ1009" s="383"/>
      <c r="AR1009" s="507"/>
      <c r="AS1009" s="514"/>
      <c r="AT1009" s="514"/>
    </row>
    <row r="1010">
      <c r="A1010" s="382"/>
      <c r="B1010" s="418"/>
      <c r="C1010" s="383"/>
      <c r="D1010" s="507"/>
      <c r="E1010" s="382"/>
      <c r="F1010" s="418"/>
      <c r="G1010" s="383"/>
      <c r="H1010" s="507"/>
      <c r="I1010" s="382"/>
      <c r="J1010" s="418"/>
      <c r="K1010" s="383"/>
      <c r="L1010" s="507"/>
      <c r="M1010" s="382"/>
      <c r="N1010" s="418"/>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8"/>
      <c r="AI1010" s="383"/>
      <c r="AJ1010" s="507"/>
      <c r="AK1010" s="382"/>
      <c r="AL1010" s="418"/>
      <c r="AM1010" s="383"/>
      <c r="AN1010" s="507"/>
      <c r="AO1010" s="382"/>
      <c r="AP1010" s="418"/>
      <c r="AQ1010" s="383"/>
      <c r="AR1010" s="507"/>
      <c r="AS1010" s="514"/>
      <c r="AT1010" s="514"/>
    </row>
    <row r="1011">
      <c r="A1011" s="382"/>
      <c r="B1011" s="418"/>
      <c r="C1011" s="383"/>
      <c r="D1011" s="507"/>
      <c r="E1011" s="382"/>
      <c r="F1011" s="418"/>
      <c r="G1011" s="383"/>
      <c r="H1011" s="507"/>
      <c r="I1011" s="382"/>
      <c r="J1011" s="418"/>
      <c r="K1011" s="383"/>
      <c r="L1011" s="507"/>
      <c r="M1011" s="382"/>
      <c r="N1011" s="418"/>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8"/>
      <c r="AI1011" s="383"/>
      <c r="AJ1011" s="507"/>
      <c r="AK1011" s="382"/>
      <c r="AL1011" s="418"/>
      <c r="AM1011" s="383"/>
      <c r="AN1011" s="507"/>
      <c r="AO1011" s="382"/>
      <c r="AP1011" s="418"/>
      <c r="AQ1011" s="383"/>
      <c r="AR1011" s="507"/>
      <c r="AS1011" s="514"/>
      <c r="AT1011" s="514"/>
    </row>
    <row r="1012">
      <c r="A1012" s="382"/>
      <c r="B1012" s="418"/>
      <c r="C1012" s="383"/>
      <c r="D1012" s="507"/>
      <c r="E1012" s="382"/>
      <c r="F1012" s="418"/>
      <c r="G1012" s="383"/>
      <c r="H1012" s="507"/>
      <c r="I1012" s="382"/>
      <c r="J1012" s="418"/>
      <c r="K1012" s="383"/>
      <c r="L1012" s="507"/>
      <c r="M1012" s="382"/>
      <c r="N1012" s="418"/>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8"/>
      <c r="AI1012" s="383"/>
      <c r="AJ1012" s="507"/>
      <c r="AK1012" s="382"/>
      <c r="AL1012" s="418"/>
      <c r="AM1012" s="383"/>
      <c r="AN1012" s="507"/>
      <c r="AO1012" s="382"/>
      <c r="AP1012" s="418"/>
      <c r="AQ1012" s="383"/>
      <c r="AR1012" s="507"/>
      <c r="AS1012" s="514"/>
      <c r="AT1012" s="514"/>
    </row>
    <row r="1013">
      <c r="A1013" s="382"/>
      <c r="B1013" s="418"/>
      <c r="C1013" s="383"/>
      <c r="D1013" s="507"/>
      <c r="E1013" s="382"/>
      <c r="F1013" s="418"/>
      <c r="G1013" s="383"/>
      <c r="H1013" s="507"/>
      <c r="I1013" s="382"/>
      <c r="J1013" s="418"/>
      <c r="K1013" s="383"/>
      <c r="L1013" s="507"/>
      <c r="M1013" s="382"/>
      <c r="N1013" s="418"/>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8"/>
      <c r="AI1013" s="383"/>
      <c r="AJ1013" s="507"/>
      <c r="AK1013" s="382"/>
      <c r="AL1013" s="418"/>
      <c r="AM1013" s="383"/>
      <c r="AN1013" s="507"/>
      <c r="AO1013" s="382"/>
      <c r="AP1013" s="418"/>
      <c r="AQ1013" s="383"/>
      <c r="AR1013" s="507"/>
      <c r="AS1013" s="514"/>
      <c r="AT1013" s="514"/>
    </row>
    <row r="1014">
      <c r="A1014" s="382"/>
      <c r="B1014" s="418"/>
      <c r="C1014" s="383"/>
      <c r="D1014" s="507"/>
      <c r="E1014" s="382"/>
      <c r="F1014" s="418"/>
      <c r="G1014" s="383"/>
      <c r="H1014" s="507"/>
      <c r="I1014" s="382"/>
      <c r="J1014" s="418"/>
      <c r="K1014" s="383"/>
      <c r="L1014" s="507"/>
      <c r="M1014" s="382"/>
      <c r="N1014" s="418"/>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8"/>
      <c r="AI1014" s="383"/>
      <c r="AJ1014" s="507"/>
      <c r="AK1014" s="382"/>
      <c r="AL1014" s="418"/>
      <c r="AM1014" s="383"/>
      <c r="AN1014" s="507"/>
      <c r="AO1014" s="382"/>
      <c r="AP1014" s="418"/>
      <c r="AQ1014" s="383"/>
      <c r="AR1014" s="507"/>
      <c r="AS1014" s="514"/>
      <c r="AT1014" s="514"/>
    </row>
    <row r="1015">
      <c r="A1015" s="382"/>
      <c r="B1015" s="418"/>
      <c r="C1015" s="383"/>
      <c r="D1015" s="507"/>
      <c r="E1015" s="382"/>
      <c r="F1015" s="418"/>
      <c r="G1015" s="383"/>
      <c r="H1015" s="507"/>
      <c r="I1015" s="382"/>
      <c r="J1015" s="418"/>
      <c r="K1015" s="383"/>
      <c r="L1015" s="507"/>
      <c r="M1015" s="382"/>
      <c r="N1015" s="418"/>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8"/>
      <c r="AI1015" s="383"/>
      <c r="AJ1015" s="507"/>
      <c r="AK1015" s="382"/>
      <c r="AL1015" s="418"/>
      <c r="AM1015" s="383"/>
      <c r="AN1015" s="507"/>
      <c r="AO1015" s="382"/>
      <c r="AP1015" s="418"/>
      <c r="AQ1015" s="383"/>
      <c r="AR1015" s="507"/>
      <c r="AS1015" s="514"/>
      <c r="AT1015" s="514"/>
    </row>
    <row r="1016">
      <c r="A1016" s="382"/>
      <c r="B1016" s="418"/>
      <c r="C1016" s="383"/>
      <c r="D1016" s="507"/>
      <c r="E1016" s="382"/>
      <c r="F1016" s="418"/>
      <c r="G1016" s="383"/>
      <c r="H1016" s="507"/>
      <c r="I1016" s="382"/>
      <c r="J1016" s="418"/>
      <c r="K1016" s="383"/>
      <c r="L1016" s="507"/>
      <c r="M1016" s="382"/>
      <c r="N1016" s="418"/>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8"/>
      <c r="AI1016" s="383"/>
      <c r="AJ1016" s="507"/>
      <c r="AK1016" s="382"/>
      <c r="AL1016" s="418"/>
      <c r="AM1016" s="383"/>
      <c r="AN1016" s="507"/>
      <c r="AO1016" s="382"/>
      <c r="AP1016" s="418"/>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12351</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12352</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12353</v>
      </c>
      <c r="G1" s="530" t="s">
        <v>12354</v>
      </c>
      <c r="H1" s="531" t="s">
        <v>12355</v>
      </c>
      <c r="I1" s="532"/>
      <c r="J1" s="532"/>
      <c r="K1" s="532"/>
      <c r="L1" s="532"/>
      <c r="M1" s="532"/>
      <c r="N1" s="532"/>
      <c r="O1" s="532"/>
      <c r="P1" s="532"/>
      <c r="Q1" s="532"/>
      <c r="R1" s="532"/>
    </row>
    <row r="2">
      <c r="A2" s="533" t="s">
        <v>12356</v>
      </c>
      <c r="B2" s="135" t="str">
        <f>IFERROR(__xludf.DUMMYFUNCTION("GOOGLETRANSLATE(A2,""zh-tw"",""ja"")"),"1 - Google Play で「ファイル マネージャー」を検索してインストールします。")</f>
        <v>1 - Google Play で「ファイル マネージャー」を検索してインストールします。</v>
      </c>
      <c r="C2" s="442" t="s">
        <v>12357</v>
      </c>
      <c r="D2" s="534" t="str">
        <f>IFERROR(__xludf.DUMMYFUNCTION("GOOGLETRANSLATE(A2,""zh-tw"",""zh"")"),"1 - 在google play上搜寻 档案管理员 安装。")</f>
        <v>1 - 在google play上搜寻 档案管理员 安装。</v>
      </c>
      <c r="E2" s="535" t="s">
        <v>12358</v>
      </c>
      <c r="F2" s="463" t="s">
        <v>12359</v>
      </c>
      <c r="G2" s="536" t="s">
        <v>12360</v>
      </c>
      <c r="H2" s="537" t="s">
        <v>12361</v>
      </c>
      <c r="I2" s="223"/>
      <c r="J2" s="223"/>
      <c r="K2" s="223"/>
      <c r="L2" s="223"/>
      <c r="M2" s="223"/>
      <c r="N2" s="223"/>
      <c r="O2" s="223"/>
      <c r="P2" s="223"/>
      <c r="Q2" s="223"/>
      <c r="R2" s="223"/>
    </row>
    <row r="3">
      <c r="A3" s="533" t="s">
        <v>12362</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12363</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12364</v>
      </c>
      <c r="F3" s="463" t="s">
        <v>12365</v>
      </c>
      <c r="G3" s="538" t="s">
        <v>12366</v>
      </c>
      <c r="H3" s="537" t="s">
        <v>12367</v>
      </c>
      <c r="I3" s="223"/>
      <c r="J3" s="223"/>
      <c r="K3" s="223"/>
      <c r="L3" s="223"/>
      <c r="M3" s="223"/>
      <c r="N3" s="223"/>
      <c r="O3" s="223"/>
      <c r="P3" s="223"/>
      <c r="Q3" s="223"/>
      <c r="R3" s="223"/>
    </row>
    <row r="4">
      <c r="A4" s="533" t="s">
        <v>12368</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2" t="s">
        <v>12369</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12370</v>
      </c>
      <c r="F4" s="463" t="s">
        <v>12371</v>
      </c>
      <c r="G4" s="536" t="s">
        <v>12372</v>
      </c>
      <c r="H4" s="537" t="s">
        <v>12373</v>
      </c>
      <c r="I4" s="223"/>
      <c r="J4" s="223"/>
      <c r="K4" s="223"/>
      <c r="L4" s="223"/>
      <c r="M4" s="223"/>
      <c r="N4" s="223"/>
      <c r="O4" s="223"/>
      <c r="P4" s="223"/>
      <c r="Q4" s="223"/>
      <c r="R4" s="223"/>
    </row>
    <row r="5">
      <c r="A5" s="533" t="s">
        <v>12374</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2" t="s">
        <v>12375</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12376</v>
      </c>
      <c r="F5" s="463" t="s">
        <v>12377</v>
      </c>
      <c r="G5" s="538" t="s">
        <v>12378</v>
      </c>
      <c r="H5" s="537" t="s">
        <v>12379</v>
      </c>
      <c r="I5" s="223"/>
      <c r="J5" s="223"/>
      <c r="K5" s="223"/>
      <c r="L5" s="223"/>
      <c r="M5" s="223"/>
      <c r="N5" s="223"/>
      <c r="O5" s="223"/>
      <c r="P5" s="223"/>
      <c r="Q5" s="223"/>
      <c r="R5" s="223"/>
    </row>
    <row r="6">
      <c r="A6" s="539" t="s">
        <v>12380</v>
      </c>
      <c r="B6" s="540" t="s">
        <v>12381</v>
      </c>
      <c r="C6" s="541" t="s">
        <v>12382</v>
      </c>
      <c r="D6" s="542" t="s">
        <v>12383</v>
      </c>
      <c r="E6" s="543" t="s">
        <v>12384</v>
      </c>
      <c r="F6" s="544" t="s">
        <v>12385</v>
      </c>
      <c r="G6" s="545" t="s">
        <v>12386</v>
      </c>
      <c r="H6" s="546" t="s">
        <v>12387</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12388</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12389</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12390</v>
      </c>
      <c r="B3" s="73" t="s">
        <v>12390</v>
      </c>
      <c r="C3" s="554" t="s">
        <v>12390</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12391</v>
      </c>
      <c r="B5" s="73" t="str">
        <f>IFERROR(__xludf.DUMMYFUNCTION("GOOGLETRANSLATE(A5,""zh-tw"",""ja"")"),"公式YouTubeチャンネル")</f>
        <v>公式YouTubeチャンネル</v>
      </c>
      <c r="C5" s="554" t="str">
        <f>IFERROR(__xludf.DUMMYFUNCTION("GOOGLETRANSLATE(A5,""zh-tw"",""en"")"),"Official YouTube channel")</f>
        <v>Official YouTube channel</v>
      </c>
      <c r="D5" s="495" t="s">
        <v>12392</v>
      </c>
      <c r="E5" s="552"/>
      <c r="F5" s="552"/>
      <c r="G5" s="552"/>
      <c r="H5" s="552"/>
      <c r="I5" s="552"/>
      <c r="J5" s="552"/>
      <c r="K5" s="552"/>
      <c r="L5" s="552"/>
      <c r="M5" s="552"/>
      <c r="N5" s="552"/>
      <c r="O5" s="552"/>
      <c r="P5" s="552"/>
      <c r="Q5" s="552"/>
      <c r="R5" s="552"/>
      <c r="S5" s="552"/>
      <c r="T5" s="552"/>
      <c r="U5" s="552"/>
      <c r="V5" s="552"/>
      <c r="W5" s="552"/>
      <c r="X5" s="552"/>
      <c r="Y5" s="552"/>
      <c r="Z5" s="552"/>
    </row>
    <row r="6">
      <c r="A6" s="553" t="s">
        <v>12393</v>
      </c>
      <c r="B6" s="73" t="str">
        <f>IFERROR(__xludf.DUMMYFUNCTION("GOOGLETRANSLATE(A6,""zh-tw"",""ja"")"),"公式法案")</f>
        <v>公式法案</v>
      </c>
      <c r="C6" s="554" t="str">
        <f>IFERROR(__xludf.DUMMYFUNCTION("GOOGLETRANSLATE(A6,""zh-tw"",""en"")"),"Official bill")</f>
        <v>Official bill</v>
      </c>
      <c r="D6" s="495" t="s">
        <v>12392</v>
      </c>
      <c r="E6" s="552"/>
      <c r="F6" s="552"/>
      <c r="G6" s="552"/>
      <c r="H6" s="552"/>
      <c r="I6" s="552"/>
      <c r="J6" s="552"/>
      <c r="K6" s="552"/>
      <c r="L6" s="552"/>
      <c r="M6" s="552"/>
      <c r="N6" s="552"/>
      <c r="O6" s="552"/>
      <c r="P6" s="552"/>
      <c r="Q6" s="552"/>
      <c r="R6" s="552"/>
      <c r="S6" s="552"/>
      <c r="T6" s="552"/>
      <c r="U6" s="552"/>
      <c r="V6" s="552"/>
      <c r="W6" s="552"/>
      <c r="X6" s="552"/>
      <c r="Y6" s="552"/>
      <c r="Z6" s="552"/>
    </row>
    <row r="7">
      <c r="A7" s="553" t="s">
        <v>12394</v>
      </c>
      <c r="B7" s="73" t="str">
        <f>IFERROR(__xludf.DUMMYFUNCTION("GOOGLETRANSLATE(A7,""zh-tw"",""ja"")"),"片桐亜貴のYouTubeチャンネル
（妹の声優）")</f>
        <v>片桐亜貴のYouTubeチャンネル
（妹の声優）</v>
      </c>
      <c r="C7" s="554" t="str">
        <f>IFERROR(__xludf.DUMMYFUNCTION("GOOGLETRANSLATE(A7,""zh-tw"",""en"")"),"Aki Katagiri's YouTube channel
(Voice actress for her younger sister)")</f>
        <v>Aki Katagiri's YouTube channel
(Voice actress for her younger sister)</v>
      </c>
      <c r="D7" s="495" t="s">
        <v>12395</v>
      </c>
      <c r="E7" s="552"/>
      <c r="F7" s="552"/>
      <c r="G7" s="552"/>
      <c r="H7" s="552"/>
      <c r="I7" s="552"/>
      <c r="J7" s="552"/>
      <c r="K7" s="552"/>
      <c r="L7" s="552"/>
      <c r="M7" s="552"/>
      <c r="N7" s="552"/>
      <c r="O7" s="552"/>
      <c r="P7" s="552"/>
      <c r="Q7" s="552"/>
      <c r="R7" s="552"/>
      <c r="S7" s="552"/>
      <c r="T7" s="552"/>
      <c r="U7" s="552"/>
      <c r="V7" s="552"/>
      <c r="W7" s="552"/>
      <c r="X7" s="552"/>
      <c r="Y7" s="552"/>
      <c r="Z7" s="552"/>
    </row>
    <row r="8">
      <c r="A8" s="553" t="s">
        <v>12396</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12395</v>
      </c>
      <c r="E8" s="552"/>
      <c r="F8" s="552"/>
      <c r="G8" s="552"/>
      <c r="H8" s="552"/>
      <c r="I8" s="552"/>
      <c r="J8" s="552"/>
      <c r="K8" s="552"/>
      <c r="L8" s="552"/>
      <c r="M8" s="552"/>
      <c r="N8" s="552"/>
      <c r="O8" s="552"/>
      <c r="P8" s="552"/>
      <c r="Q8" s="552"/>
      <c r="R8" s="552"/>
      <c r="S8" s="552"/>
      <c r="T8" s="552"/>
      <c r="U8" s="552"/>
      <c r="V8" s="552"/>
      <c r="W8" s="552"/>
      <c r="X8" s="552"/>
      <c r="Y8" s="552"/>
      <c r="Z8" s="552"/>
    </row>
    <row r="9">
      <c r="A9" s="553" t="s">
        <v>12397</v>
      </c>
      <c r="B9" s="73"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12398</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12399</v>
      </c>
      <c r="B11" s="73"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12400</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12401</v>
      </c>
      <c r="B1" s="525" t="s">
        <v>12402</v>
      </c>
      <c r="C1" s="526" t="s">
        <v>12403</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12404</v>
      </c>
      <c r="F1" s="527" t="s">
        <v>12405</v>
      </c>
      <c r="G1" s="564" t="s">
        <v>12406</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12407</v>
      </c>
      <c r="J1" s="529" t="s">
        <v>12408</v>
      </c>
      <c r="K1" s="185" t="s">
        <v>12409</v>
      </c>
      <c r="L1" s="185" t="s">
        <v>12410</v>
      </c>
      <c r="M1" s="565" t="s">
        <v>12411</v>
      </c>
      <c r="N1" s="565" t="s">
        <v>12412</v>
      </c>
      <c r="O1" s="566" t="s">
        <v>12413</v>
      </c>
      <c r="P1" s="567" t="s">
        <v>12414</v>
      </c>
      <c r="Q1" s="532"/>
      <c r="R1" s="532"/>
      <c r="S1" s="532"/>
      <c r="T1" s="532"/>
      <c r="U1" s="532"/>
      <c r="V1" s="532"/>
      <c r="W1" s="532"/>
    </row>
    <row r="2">
      <c r="A2" s="533" t="s">
        <v>12415</v>
      </c>
      <c r="B2" s="533" t="s">
        <v>12416</v>
      </c>
      <c r="C2" s="135" t="s">
        <v>12417</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12418</v>
      </c>
      <c r="F2" s="442" t="s">
        <v>12419</v>
      </c>
      <c r="G2" s="569" t="s">
        <v>12420</v>
      </c>
      <c r="H2" s="534" t="str">
        <f>IFERROR(__xludf.DUMMYFUNCTION("GOOGLETRANSLATE(B2,""zh-tw"",""zh"")"),"1 - 在google上搜寻 NVIDIA APP安装，并启动 NVIDIA 应用程式。")</f>
        <v>1 - 在google上搜寻 NVIDIA APP安装，并启动 NVIDIA 应用程式。</v>
      </c>
      <c r="I2" s="535" t="s">
        <v>12421</v>
      </c>
      <c r="J2" s="535" t="s">
        <v>12422</v>
      </c>
      <c r="K2" s="463" t="s">
        <v>12423</v>
      </c>
      <c r="L2" s="463" t="s">
        <v>12424</v>
      </c>
      <c r="M2" s="570" t="s">
        <v>12425</v>
      </c>
      <c r="N2" s="570" t="s">
        <v>12426</v>
      </c>
      <c r="O2" s="571" t="s">
        <v>12427</v>
      </c>
      <c r="P2" s="571" t="s">
        <v>12428</v>
      </c>
      <c r="Q2" s="223"/>
      <c r="R2" s="223"/>
      <c r="S2" s="223"/>
      <c r="T2" s="223"/>
      <c r="U2" s="223"/>
      <c r="V2" s="223"/>
      <c r="W2" s="223"/>
    </row>
    <row r="3">
      <c r="A3" s="533" t="s">
        <v>12429</v>
      </c>
      <c r="B3" s="533" t="s">
        <v>12430</v>
      </c>
      <c r="C3" s="135" t="s">
        <v>12431</v>
      </c>
      <c r="D3" s="135" t="str">
        <f>IFERROR(__xludf.DUMMYFUNCTION("GOOGLETRANSLATE(B3,""zh-tw"",""ja"")"),"2 - 最新バージョンに更新した後、NVIDIA アプリケーションを再起動します。")</f>
        <v>2 - 最新バージョンに更新した後、NVIDIA アプリケーションを再起動します。</v>
      </c>
      <c r="E3" s="568" t="s">
        <v>12432</v>
      </c>
      <c r="F3" s="442" t="s">
        <v>12433</v>
      </c>
      <c r="G3" s="569" t="s">
        <v>12434</v>
      </c>
      <c r="H3" s="534" t="str">
        <f>IFERROR(__xludf.DUMMYFUNCTION("GOOGLETRANSLATE(B3,""zh-tw"",""zh"")"),"2 - 在更新至最新版本后重新启动 NVIDIA 应用程式。")</f>
        <v>2 - 在更新至最新版本后重新启动 NVIDIA 应用程式。</v>
      </c>
      <c r="I3" s="535" t="s">
        <v>12435</v>
      </c>
      <c r="J3" s="535" t="s">
        <v>12436</v>
      </c>
      <c r="K3" s="463" t="s">
        <v>12437</v>
      </c>
      <c r="L3" s="463" t="s">
        <v>12438</v>
      </c>
      <c r="M3" s="570" t="s">
        <v>12439</v>
      </c>
      <c r="N3" s="570" t="s">
        <v>12440</v>
      </c>
      <c r="O3" s="571" t="s">
        <v>12441</v>
      </c>
      <c r="P3" s="571" t="s">
        <v>12442</v>
      </c>
      <c r="Q3" s="223"/>
      <c r="R3" s="223"/>
      <c r="S3" s="223"/>
      <c r="T3" s="223"/>
      <c r="U3" s="223"/>
      <c r="V3" s="223"/>
      <c r="W3" s="223"/>
    </row>
    <row r="4">
      <c r="A4" s="533" t="s">
        <v>12443</v>
      </c>
      <c r="B4" s="533" t="s">
        <v>12444</v>
      </c>
      <c r="C4" s="135" t="s">
        <v>12445</v>
      </c>
      <c r="D4" s="135" t="str">
        <f>IFERROR(__xludf.DUMMYFUNCTION("GOOGLETRANSLATE(B4,""zh-tw"",""ja"")"),"3 - NVIDIA アプリケーションで、グラフィック設定領域に移動します。")</f>
        <v>3 - NVIDIA アプリケーションで、グラフィック設定領域に移動します。</v>
      </c>
      <c r="E4" s="568" t="s">
        <v>12446</v>
      </c>
      <c r="F4" s="442" t="s">
        <v>12447</v>
      </c>
      <c r="G4" s="569" t="s">
        <v>12448</v>
      </c>
      <c r="H4" s="534" t="str">
        <f>IFERROR(__xludf.DUMMYFUNCTION("GOOGLETRANSLATE(B4,""zh-tw"",""zh"")"),"3 - 在NVIDIA应用程式中，进入图形设置区域。")</f>
        <v>3 - 在NVIDIA应用程式中，进入图形设置区域。</v>
      </c>
      <c r="I4" s="535" t="s">
        <v>12449</v>
      </c>
      <c r="J4" s="535" t="s">
        <v>12450</v>
      </c>
      <c r="K4" s="463" t="s">
        <v>12451</v>
      </c>
      <c r="L4" s="463" t="s">
        <v>12452</v>
      </c>
      <c r="M4" s="570" t="s">
        <v>12453</v>
      </c>
      <c r="N4" s="570" t="s">
        <v>12454</v>
      </c>
      <c r="O4" s="571" t="s">
        <v>12455</v>
      </c>
      <c r="P4" s="571" t="s">
        <v>12456</v>
      </c>
      <c r="Q4" s="223"/>
      <c r="R4" s="223"/>
      <c r="S4" s="223"/>
      <c r="T4" s="223"/>
      <c r="U4" s="223"/>
      <c r="V4" s="223"/>
      <c r="W4" s="223"/>
    </row>
    <row r="5">
      <c r="A5" s="533" t="s">
        <v>12457</v>
      </c>
      <c r="B5" s="533" t="s">
        <v>12458</v>
      </c>
      <c r="C5" s="135" t="s">
        <v>12459</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12460</v>
      </c>
      <c r="F5" s="442" t="s">
        <v>12461</v>
      </c>
      <c r="G5" s="569" t="s">
        <v>12462</v>
      </c>
      <c r="H5" s="534" t="str">
        <f>IFERROR(__xludf.DUMMYFUNCTION("GOOGLETRANSLATE(B5,""zh-tw"",""zh"")"),"4 - 在「程式设定」中点击三个点，选择「新增程式」，然后寻找游戏的执行档。")</f>
        <v>4 - 在「程式设定」中点击三个点，选择「新增程式」，然后寻找游戏的执行档。</v>
      </c>
      <c r="I5" s="535" t="s">
        <v>12463</v>
      </c>
      <c r="J5" s="535" t="s">
        <v>12464</v>
      </c>
      <c r="K5" s="463" t="s">
        <v>12465</v>
      </c>
      <c r="L5" s="463" t="s">
        <v>12466</v>
      </c>
      <c r="M5" s="570" t="s">
        <v>12467</v>
      </c>
      <c r="N5" s="570" t="s">
        <v>12468</v>
      </c>
      <c r="O5" s="571" t="s">
        <v>12469</v>
      </c>
      <c r="P5" s="571" t="s">
        <v>12470</v>
      </c>
      <c r="Q5" s="223"/>
      <c r="R5" s="223"/>
      <c r="S5" s="223"/>
      <c r="T5" s="223"/>
      <c r="U5" s="223"/>
      <c r="V5" s="223"/>
      <c r="W5" s="223"/>
    </row>
    <row r="6">
      <c r="A6" s="533" t="s">
        <v>12471</v>
      </c>
      <c r="B6" s="533" t="s">
        <v>12472</v>
      </c>
      <c r="C6" s="135" t="s">
        <v>12473</v>
      </c>
      <c r="D6" s="135" t="str">
        <f>IFERROR(__xludf.DUMMYFUNCTION("GOOGLETRANSLATE(B6,""zh-tw"",""ja"")"),"5 - 「低遅延モード」を「超高」に、「電源管理モード」を「最適電力」に設定します。")</f>
        <v>5 - 「低遅延モード」を「超高」に、「電源管理モード」を「最適電力」に設定します。</v>
      </c>
      <c r="E6" s="568" t="s">
        <v>12474</v>
      </c>
      <c r="F6" s="442" t="s">
        <v>12475</v>
      </c>
      <c r="G6" s="569" t="s">
        <v>12476</v>
      </c>
      <c r="H6" s="534" t="str">
        <f>IFERROR(__xludf.DUMMYFUNCTION("GOOGLETRANSLATE(B6,""zh-tw"",""zh"")"),"5 - 将「低延迟模式」设为「超高」，电源管理模式设为「最佳电源」。")</f>
        <v>5 - 将「低延迟模式」设为「超高」，电源管理模式设为「最佳电源」。</v>
      </c>
      <c r="I6" s="535" t="s">
        <v>12477</v>
      </c>
      <c r="J6" s="535" t="s">
        <v>12478</v>
      </c>
      <c r="K6" s="463" t="s">
        <v>12479</v>
      </c>
      <c r="L6" s="463" t="s">
        <v>12480</v>
      </c>
      <c r="M6" s="570" t="s">
        <v>12481</v>
      </c>
      <c r="N6" s="570" t="s">
        <v>12482</v>
      </c>
      <c r="O6" s="571" t="s">
        <v>12483</v>
      </c>
      <c r="P6" s="571" t="s">
        <v>12484</v>
      </c>
      <c r="Q6" s="223"/>
      <c r="R6" s="223"/>
      <c r="S6" s="223"/>
      <c r="T6" s="223"/>
      <c r="U6" s="223"/>
      <c r="V6" s="223"/>
      <c r="W6" s="223"/>
    </row>
    <row r="7">
      <c r="A7" s="533" t="s">
        <v>12485</v>
      </c>
      <c r="B7" s="533" t="s">
        <v>12486</v>
      </c>
      <c r="C7" s="135" t="s">
        <v>12487</v>
      </c>
      <c r="D7" s="135" t="str">
        <f>IFERROR(__xludf.DUMMYFUNCTION("GOOGLETRANSLATE(B7,""zh-tw"",""ja"")"),"6-「垂直同期」を「高速」に設定します。")</f>
        <v>6-「垂直同期」を「高速」に設定します。</v>
      </c>
      <c r="E7" s="568" t="s">
        <v>12488</v>
      </c>
      <c r="F7" s="442" t="s">
        <v>12489</v>
      </c>
      <c r="G7" s="569" t="s">
        <v>12490</v>
      </c>
      <c r="H7" s="534" t="str">
        <f>IFERROR(__xludf.DUMMYFUNCTION("GOOGLETRANSLATE(B7,""zh-tw"",""zh"")"),"6- 将「垂直同步」设为「快速」。")</f>
        <v>6- 将「垂直同步」设为「快速」。</v>
      </c>
      <c r="I7" s="535" t="s">
        <v>12491</v>
      </c>
      <c r="J7" s="535" t="s">
        <v>12492</v>
      </c>
      <c r="K7" s="463" t="s">
        <v>12493</v>
      </c>
      <c r="L7" s="463" t="s">
        <v>12494</v>
      </c>
      <c r="M7" s="570" t="s">
        <v>12495</v>
      </c>
      <c r="N7" s="570" t="s">
        <v>12496</v>
      </c>
      <c r="O7" s="571" t="s">
        <v>12497</v>
      </c>
      <c r="P7" s="571" t="s">
        <v>12498</v>
      </c>
      <c r="Q7" s="223"/>
      <c r="R7" s="223"/>
      <c r="S7" s="223"/>
      <c r="T7" s="223"/>
      <c r="U7" s="223"/>
      <c r="V7" s="223"/>
      <c r="W7" s="223"/>
    </row>
    <row r="8">
      <c r="A8" s="533" t="s">
        <v>12499</v>
      </c>
      <c r="B8" s="533" t="s">
        <v>12500</v>
      </c>
      <c r="C8" s="135" t="s">
        <v>12501</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12502</v>
      </c>
      <c r="F8" s="442" t="s">
        <v>12503</v>
      </c>
      <c r="G8" s="569" t="s">
        <v>12504</v>
      </c>
      <c r="H8" s="534" t="str">
        <f>IFERROR(__xludf.DUMMYFUNCTION("GOOGLETRANSLATE(B8,""zh-tw"",""zh"")"),"7 - 如果你的电脑无法负荷这些选项，请依照最佳的选项即可。")</f>
        <v>7 - 如果你的电脑无法负荷这些选项，请依照最佳的选项即可。</v>
      </c>
      <c r="I8" s="535" t="s">
        <v>12505</v>
      </c>
      <c r="J8" s="535" t="s">
        <v>12506</v>
      </c>
      <c r="K8" s="463" t="s">
        <v>12507</v>
      </c>
      <c r="L8" s="463" t="s">
        <v>12508</v>
      </c>
      <c r="M8" s="570" t="s">
        <v>12509</v>
      </c>
      <c r="N8" s="570" t="s">
        <v>12510</v>
      </c>
      <c r="O8" s="571" t="s">
        <v>12511</v>
      </c>
      <c r="P8" s="571" t="s">
        <v>12512</v>
      </c>
      <c r="Q8" s="223"/>
      <c r="R8" s="223"/>
      <c r="S8" s="223"/>
      <c r="T8" s="223"/>
      <c r="U8" s="223"/>
      <c r="V8" s="223"/>
      <c r="W8" s="223"/>
    </row>
    <row r="9">
      <c r="A9" s="533" t="s">
        <v>12513</v>
      </c>
      <c r="B9" s="533" t="s">
        <v>12514</v>
      </c>
      <c r="C9" s="135" t="s">
        <v>12515</v>
      </c>
      <c r="D9" s="135" t="str">
        <f>IFERROR(__xludf.DUMMYFUNCTION("GOOGLETRANSLATE(B9,""zh-tw"",""ja"")"),"8- ゲームを起動すると、その優れた安定性を体験できます。")</f>
        <v>8- ゲームを起動すると、その優れた安定性を体験できます。</v>
      </c>
      <c r="E9" s="568" t="s">
        <v>12516</v>
      </c>
      <c r="F9" s="442" t="s">
        <v>12517</v>
      </c>
      <c r="G9" s="569" t="s">
        <v>12518</v>
      </c>
      <c r="H9" s="534" t="str">
        <f>IFERROR(__xludf.DUMMYFUNCTION("GOOGLETRANSLATE(B9,""zh-tw"",""zh"")"),"8- 现在，将游戏启动，你能体验到良好的稳定性能。")</f>
        <v>8- 现在，将游戏启动，你能体验到良好的稳定性能。</v>
      </c>
      <c r="I9" s="535" t="s">
        <v>12519</v>
      </c>
      <c r="J9" s="535" t="s">
        <v>12520</v>
      </c>
      <c r="K9" s="463" t="s">
        <v>12521</v>
      </c>
      <c r="L9" s="463" t="s">
        <v>12522</v>
      </c>
      <c r="M9" s="570" t="s">
        <v>12516</v>
      </c>
      <c r="N9" s="570" t="s">
        <v>12523</v>
      </c>
      <c r="O9" s="571" t="s">
        <v>12524</v>
      </c>
      <c r="P9" s="571" t="s">
        <v>12525</v>
      </c>
      <c r="Q9" s="223"/>
      <c r="R9" s="223"/>
      <c r="S9" s="223"/>
      <c r="T9" s="223"/>
      <c r="U9" s="223"/>
      <c r="V9" s="223"/>
      <c r="W9" s="223"/>
    </row>
    <row r="10">
      <c r="A10" s="533"/>
      <c r="B10" s="572" t="s">
        <v>12526</v>
      </c>
      <c r="C10" s="284"/>
      <c r="D10" s="573" t="s">
        <v>12527</v>
      </c>
      <c r="E10" s="574"/>
      <c r="F10" s="575" t="s">
        <v>12382</v>
      </c>
      <c r="G10" s="534"/>
      <c r="H10" s="576" t="s">
        <v>12528</v>
      </c>
      <c r="I10" s="577"/>
      <c r="J10" s="578" t="s">
        <v>12384</v>
      </c>
      <c r="K10" s="468"/>
      <c r="L10" s="544" t="str">
        <f>HYPERLINK("https://www.youtube.com/watch?v=9NSNcMB5M2o&amp;ab_channel=gabrielb", "Video Youtube tham khảo")</f>
        <v>Video Youtube tham khảo</v>
      </c>
      <c r="M10" s="579"/>
      <c r="N10" s="580" t="s">
        <v>12529</v>
      </c>
      <c r="O10" s="571"/>
      <c r="P10" s="581" t="s">
        <v>12387</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