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<sst xmlns="http://schemas.openxmlformats.org/spreadsheetml/2006/main" count="11393" uniqueCount="9041">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</sst>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필요"&amp;"할 수 있습니다).
4. iOS 버전은 현재 공식 개발팀에서 고려하고 있지 않습니다.
5. 본 문서는 허가가 필요하지 않습니다.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필요할 수 있습니다).
4. iOS 버전은 현재 공식 개발팀에서 고려하고 있지 않습니다.
5. 본 문서는 허가가 필요하지 않습니다.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49"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Equipos: 75~78, Consejos: 106~112")</f>
        <v>1/10/2025
Actualización 0.82:
R21, R66~R68, R83~89, Armas: 45~49, Objetos: 15, 47~49, Equipos: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Drops-15, 47~49, Engrenagens-75~78, Dicas-106~112")</f>
        <v>01/10/2025
Atualização 0.82:
R21, R66~R68, R83~89, Armas-45~49, Drops-15, 47~49, Engrenagens-75~78,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 バージョン0.5Bのコンテンツを追加しました - イベント/通知")</f>
        <v>2024/11/22 バージョン0.5Bのコンテンツを追加しました - イベント/通知</v>
      </c>
      <c r="C79" s="65" t="str">
        <f>IFERROR(__xludf.DUMMYFUNCTION("GOOGLETRANSLATE(A79,""zh-tw"",""en"")"),"2024/11/22 Added version 0.5B content - Events/Notifications")</f>
        <v>2024/11/22 Added version 0.5B content - Events/Notifications</v>
      </c>
      <c r="D79" s="64" t="str">
        <f>IFERROR(__xludf.DUMMYFUNCTION("GOOGLETRANSLATE(A79,""zh-tw"",""zh"")"),"2024/11/22 新增0.5B版本内容-事件/提示")</f>
        <v>2024/11/22 新增0.5B版本内容-事件/提示</v>
      </c>
      <c r="E79" s="27" t="str">
        <f>IFERROR(__xludf.DUMMYFUNCTION("GOOGLETRANSLATE(A79,""zh-tw"",""es-MX"")"),"22/11/2024 Se agregó contenido de la versión 0.5B: Eventos/Notificaciones")</f>
        <v>22/11/2024 Se agregó contenido de la versión 0.5B: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IFERROR(__xludf.DUMMYFUNCTION("GOOGLETRANSLATE(A79,""zh-tw"",""RU"")"),"22.11.2024 Добавлен контент версии 0.5B - События/Уведомления")</f>
        <v>22.11.2024 Добавлен контент версии 0.5B - События/Уведомления</v>
      </c>
      <c r="H79" s="27" t="str">
        <f>IFERROR(__xludf.DUMMYFUNCTION("GOOGLETRANSLATE(A79,""zh-tw"",""DE"")"),"22.11.2024: Inhalt der Version 0.5B hinzugefügt – Ereignisse/Benachrichtigungen")</f>
        <v>22.11.2024: Inhalt der Version 0.5B hinzugefügt – Ereignisse/Benachrichtigungen</v>
      </c>
      <c r="I79" s="68" t="s">
        <v>189</v>
      </c>
      <c r="J79" s="29" t="str">
        <f>IFERROR(__xludf.DUMMYFUNCTION("GOOGLETRANSLATE(A79,""zh-tw"",""pt-BR"")"),"22/11/2024 Adicionado conteúdo da versão 0.5B - Eventos/Notificações")</f>
        <v>22/11/2024 Adicionado conteúdo da versão 0.5B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 https://home.gamer.com.tw/artwork.php?sn=6032493")</f>
        <v>Перепост из личных работ Бахамута от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Ereignisse und neue Ereignisnummern hinzugefügt.")</f>
        <v>Am 15.10.2024 wurden einige Ereignisse und neue Ereignisnummern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一部書式を調整しました")</f>
        <v>2024/10/14 一部書式を調整しました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서식을 일부 수정했습니다.")</f>
        <v>2024년 10월 14일 서식을 일부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내용을 추가했습니다.")</f>
        <v>2024년 10월 10일: 새로운 이벤트와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IFERROR(__xludf.DUMMYFUNCTION("GOOGLETRANSLATE(A94,""zh-tw"",""ja"")"),"2024/10/9のイベントとお知らせを追加しました")</f>
        <v>2024/10/9のイベントとお知らせを追加しました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알림이 추가되었습니다.")</f>
        <v>2024년 10월 9일에 이벤트 및 알림이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"&amp;"확률이 높아집니다.
7. 여동생은 기분이 나쁠 때는 요리를 하지 않습니다.
8. 여동생의 호감도가 높을 때, 몰래 재료를 추가합니다 (아직 구현되지 않음).")</f>
        <v>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호감도가 높을 때,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회복을 위해 ""붉은 골수 엘릭서""를 마실 수 있습니다.
추신: 이 치료는 한 번만 가능합니다. RPG 이벤트 내용을 참고하세요.")</f>
        <v>"뭘 마시고 ​​싶니?" 이 말을 하면 여동생은 회복을 위해 "붉은 골수 엘릭서"를 마실 수 있습니다.
추신: 이 치료는 한 번만 가능합니다. RPG 이벤트 내용을 참고하세요.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""마실 게 뭐지?"" 옵션을 선택하면, 여동생은 어리둥절한 표정을 짓습니다.")</f>
        <v>여동생에게 "파란색 콘페이토"와 "분홍색 콘페이토"를 먹이고 "마실 게 뭐지?"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Está Bien"" agrega una nueva opción cuando quieres ""hacer algo con tu hermana"".")</f>
        <v>Tener el "Cupón Todo Está Bien"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괜찮아 쿠폰""을 가지면 ""여동생과 함께 무언가를 하고 싶을 때"" 새로운 선택지가 생깁니다.")</f>
        <v>"무엇이든 괜찮아 쿠폰"을 가지면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초과하는 경우
2. 가챠 완료 후, 보유 현금이 500 미만인 경우
3. 당일 집에 돌아왔을 때 현금이 500 미만인 경우
4. 총 지출액이 50,000을 초과하면 파산하지 않아도 이벤트가 발생할 수 있습니다.")</f>
        <v>1. 총 지출액이 10,000을 초과하는 경우
2. 가챠 완료 후, 보유 현금이 500 미만인 경우
3. 당일 집에 돌아왔을 때 현금이 500 미만인 경우
4. 총 지출액이 50,000을 초과하면 파산하지 않아도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J62,""en"",""ru""))"),"Хочу разврата")</f>
        <v>Хочу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menor mientras se baña sola.")</f>
        <v>Es posible espiar a tu hermana menor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엿볼 수 있습니다.")</f>
        <v>여동생이 혼자 목욕하는 모습을 몰래 엿볼 수 있습니다.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식히는 방법 - 3")</f>
        <v>더운 날씨에 시원하게 더위를 식히는 방법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IFERROR(__xludf.DUMMYFUNCTION("GOOGLETRANSLATE(C98,""zh-tw"",""es-mx"")"),"En una conversación con su hermana menor, después de recibir educación nudista, es posible que...")</f>
        <v>En una conversación con su hermana menor, después de recibir educación nudista, es posible que...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Flash Step Katana")</f>
        <v>Habilidad aprendida: Flash Step Katana</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Спрятанный предмет в правом нижнем углу леса.")</f>
        <v>Путь искателя приключений: Спрятанный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선사합니다)")</f>
        <v>획득 아이템: 매직 젤 10개 (비 오는 날 상쾌함을 선사합니다)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IFERROR(__xludf.DUMMYFUNCTION("GOOGLETRANSLATE(B53,""zh-tw"",""es-MX"")"),"Camión de tienda-4")</f>
        <v>Camión de tienda-4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트럭-4")</f>
        <v>샵 트럭-4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IFERROR(__xludf.DUMMYFUNCTION("GOOGLETRANSLATE(B53,""zh-tw"",""ru"")"),"Магазинный грузовик-4")</f>
        <v>Магазинный грузовик-4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도달했습니다.
추신: 예를 들어, 몬스터 새의 깃털은 공중 부양에 사용할 수 있습니다.")</f>
        <v>보스 구역에 도달했습니다.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IFERROR(__xludf.DUMMYFUNCTION("GOOGLETRANSLATE(B73,""zh-tw"",""es-MX"")"),"Cabaña del cazador - Sótano")</f>
        <v>Cabaña del cazador - Sótano</v>
      </c>
      <c r="S73" s="104"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 los guardianes")</f>
        <v>Equipo adquirido: Daga del cazador, Insignia de los guardianes</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휘장")</f>
        <v>획득 장비: 사냥꾼의 단검, 수호자의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차단합니다")</f>
        <v>ASABA의 두뇌를 차단합니다</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ASABA «Клубникой ASABA» инициирует битву с боссом.")</f>
        <v>Кормление ASABA «Клубникой ASABA» инициирует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10"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72"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IFERROR(__xludf.DUMMYFUNCTION("GOOGLETRANSLATE(A14,""zh-tw"",""ja"")"),"夜襲は兄の性欲が一定値を超えた場合にのみ発動します。")</f>
        <v>夜襲は兄の性欲が一定値を超えた場合にのみ発動します。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IFERROR(__xludf.DUMMYFUNCTION("GOOGLETRANSLATE(A16,""zh-tw"",""ja"")"),"ガシャポンマシンの後ろから近づくと、ガシャポンマシンが飛び出します。")</f>
        <v>ガシャポンマシンの後ろから近づくと、ガシャポンマシンが飛び出します。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de gashapon por detrás; la máquina de gashapon aparecerá.")</f>
        <v>Acércate a la máquina de gashapon por detrás; la máquina de gashapon aparecerá.</v>
      </c>
      <c r="F16" s="210" t="str">
        <f>IFERROR(__xludf.DUMMYFUNCTION("GOOGLETRANSLATE(A16,""zh-tw"",""KO"")"),"가샤폰 기계 뒤쪽으로 다가가면 가샤폰 기계가 튀어나옵니다.")</f>
        <v>가샤폰 기계 뒤쪽으로 다가가면 가샤폰 기계가 튀어나옵니다.</v>
      </c>
      <c r="G16" s="7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미스터리로 남아있다.")</f>
        <v>누가 빗속에서 자판기를 고쳤을까? 그건 여전히 미스터리로 남아있다.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10"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72"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0"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ков"&amp;"ки.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37"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37"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37"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37"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ataque aumenta según el HP máximo.")</f>
        <v>Ataque físico: 2. El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IFERROR(__xludf.DUMMYFUNCTION("GOOGLETRANSLATE(B8,""zh-tw"",""ja"")"),"物理攻撃力：30（特定条件を満たすと2倍）")</f>
        <v>物理攻撃力：30（特定条件を満たすと2倍）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Накопительный урон Оружие")</f>
        <v>Физическая атака: 1 Накопительный урон Оружие</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IFERROR(__xludf.DUMMYFUNCTION("GOOGLETRANSLATE(B35,""zh-tw"",""ja"")"),"物理攻撃力: 1 魔法攻撃力: 55 氷属性")</f>
        <v>物理攻撃力: 1 魔法攻撃力: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14" t="s">
        <v>6125</v>
      </c>
      <c r="B51" s="137" t="s">
        <v>5757</v>
      </c>
      <c r="C51" s="321"/>
      <c r="D51" s="143"/>
      <c r="E51" s="314"/>
      <c r="F51" s="137"/>
      <c r="G51" s="321"/>
      <c r="H51" s="143"/>
      <c r="I51" s="321"/>
      <c r="J51" s="143"/>
      <c r="K51" s="321"/>
      <c r="L51" s="143"/>
      <c r="M51" s="317"/>
      <c r="N51" s="318"/>
      <c r="O51" s="321"/>
      <c r="P51" s="143"/>
      <c r="Q51" s="170"/>
      <c r="R51" s="172"/>
      <c r="S51" s="139"/>
      <c r="T51" s="143"/>
      <c r="U51" s="143"/>
      <c r="V51" s="143"/>
    </row>
    <row r="52">
      <c r="A52" s="321"/>
      <c r="B52" s="137"/>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6126</v>
      </c>
      <c r="B3" s="88" t="s">
        <v>6127</v>
      </c>
      <c r="C3" s="311" t="str">
        <f>IFERROR(__xludf.DUMMYFUNCTION("GOOGLETRANSLATE(A3,""zh-tw"",""ja"")"),"設備プロジェクト")</f>
        <v>設備プロジェクト</v>
      </c>
      <c r="D3" s="85" t="str">
        <f>IFERROR(__xludf.DUMMYFUNCTION("GOOGLETRANSLATE(B3,""zh-tw"",""ja"")"),"装備の属性")</f>
        <v>装備の属性</v>
      </c>
      <c r="E3" s="333" t="s">
        <v>6128</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6129</v>
      </c>
      <c r="P3" s="88" t="s">
        <v>6130</v>
      </c>
      <c r="Q3" s="334" t="s">
        <v>6131</v>
      </c>
      <c r="R3" s="313" t="s">
        <v>5562</v>
      </c>
      <c r="S3" s="310" t="s">
        <v>6132</v>
      </c>
      <c r="T3" s="54" t="s">
        <v>5564</v>
      </c>
      <c r="U3" s="30"/>
      <c r="V3" s="30"/>
      <c r="W3" s="30"/>
      <c r="X3" s="30"/>
      <c r="Y3" s="30"/>
      <c r="Z3" s="30"/>
    </row>
    <row r="4">
      <c r="A4" s="315" t="s">
        <v>6133</v>
      </c>
      <c r="B4" s="316" t="s">
        <v>6134</v>
      </c>
      <c r="C4" s="314" t="s">
        <v>6135</v>
      </c>
      <c r="D4" s="137" t="s">
        <v>6136</v>
      </c>
      <c r="E4" s="314" t="s">
        <v>6137</v>
      </c>
      <c r="F4" s="137" t="s">
        <v>6138</v>
      </c>
      <c r="G4" s="321" t="str">
        <f>IFERROR(__xludf.DUMMYFUNCTION("GOOGLETRANSLATE(A4,""zh-tw"",""zh"")"),"妹妹脱下的内裤")</f>
        <v>妹妹脱下的内裤</v>
      </c>
      <c r="H4" s="143" t="str">
        <f>IFERROR(__xludf.DUMMYFUNCTION("GOOGLETRANSLATE(B4,""zh-tw"",""zh"")"),"低体力回复")</f>
        <v>低体力回复</v>
      </c>
      <c r="I4" s="314" t="s">
        <v>6139</v>
      </c>
      <c r="J4" s="137" t="s">
        <v>6140</v>
      </c>
      <c r="K4" s="314" t="s">
        <v>6141</v>
      </c>
      <c r="L4" s="137" t="s">
        <v>6142</v>
      </c>
      <c r="M4" s="317" t="str">
        <f>IFERROR(__xludf.DUMMYFUNCTION("GOOGLETRANSLATE(A4,""zh-tw"",""ru"")"),"Нижнее белье моей сестры")</f>
        <v>Нижнее белье моей сестры</v>
      </c>
      <c r="N4" s="318" t="str">
        <f>IFERROR(__xludf.DUMMYFUNCTION("GOOGLETRANSLATE(B4,""zh-tw"",""ru"")"),"Восстановление при низкой выносливости")</f>
        <v>Восстановление при низкой выносливости</v>
      </c>
      <c r="O4" s="315" t="s">
        <v>6143</v>
      </c>
      <c r="P4" s="316" t="s">
        <v>6144</v>
      </c>
      <c r="Q4" s="335" t="s">
        <v>6145</v>
      </c>
      <c r="R4" s="320" t="s">
        <v>6146</v>
      </c>
      <c r="S4" s="314" t="s">
        <v>6147</v>
      </c>
      <c r="T4" s="143" t="s">
        <v>6148</v>
      </c>
      <c r="U4" s="30"/>
      <c r="V4" s="30"/>
      <c r="W4" s="30"/>
      <c r="X4" s="30"/>
      <c r="Y4" s="30"/>
      <c r="Z4" s="30"/>
    </row>
    <row r="5">
      <c r="A5" s="315" t="s">
        <v>6149</v>
      </c>
      <c r="B5" s="316" t="s">
        <v>6150</v>
      </c>
      <c r="C5" s="314" t="s">
        <v>6151</v>
      </c>
      <c r="D5" s="143" t="str">
        <f>IFERROR(__xludf.DUMMYFUNCTION("GOOGLETRANSLATE(B5,""zh-tw"",""ja"")"),"性欲が増し、全属性が10%増加します。")</f>
        <v>性欲が増し、全属性が10%増加します。</v>
      </c>
      <c r="E5" s="314" t="s">
        <v>6152</v>
      </c>
      <c r="F5" s="137" t="s">
        <v>6153</v>
      </c>
      <c r="G5" s="321" t="str">
        <f>IFERROR(__xludf.DUMMYFUNCTION("GOOGLETRANSLATE(A5,""zh-tw"",""zh"")"),"少女的笑容")</f>
        <v>少女的笑容</v>
      </c>
      <c r="H5" s="143" t="str">
        <f>IFERROR(__xludf.DUMMYFUNCTION("GOOGLETRANSLATE(B5,""zh-tw"",""zh"")"),"性欲上升，全属性上升10%")</f>
        <v>性欲上升，全属性上升10%</v>
      </c>
      <c r="I5" s="314" t="s">
        <v>6154</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6155</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6156</v>
      </c>
      <c r="P5" s="316" t="s">
        <v>6157</v>
      </c>
      <c r="Q5" s="335" t="s">
        <v>6158</v>
      </c>
      <c r="R5" s="320" t="s">
        <v>6159</v>
      </c>
      <c r="S5" s="321" t="s">
        <v>6160</v>
      </c>
      <c r="T5" s="143" t="s">
        <v>6161</v>
      </c>
      <c r="U5" s="30"/>
      <c r="V5" s="30"/>
      <c r="W5" s="30"/>
      <c r="X5" s="30"/>
      <c r="Y5" s="30"/>
      <c r="Z5" s="30"/>
    </row>
    <row r="6">
      <c r="A6" s="315" t="s">
        <v>6162</v>
      </c>
      <c r="B6" s="316" t="s">
        <v>816</v>
      </c>
      <c r="C6" s="321" t="str">
        <f>IFERROR(__xludf.DUMMYFUNCTION("GOOGLETRANSLATE(A6,""zh-tw"",""ja"")"),"フライドポテト")</f>
        <v>フライドポテト</v>
      </c>
      <c r="D6" s="143" t="str">
        <f>IFERROR(__xludf.DUMMYFUNCTION("GOOGLETRANSLATE(B6,""zh-tw"",""ja"")"),"-")</f>
        <v>-</v>
      </c>
      <c r="E6" s="314" t="s">
        <v>6163</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6164</v>
      </c>
      <c r="P6" s="316" t="s">
        <v>6165</v>
      </c>
      <c r="Q6" s="335" t="s">
        <v>6166</v>
      </c>
      <c r="R6" s="320" t="s">
        <v>816</v>
      </c>
      <c r="S6" s="321" t="s">
        <v>6167</v>
      </c>
      <c r="T6" s="143" t="s">
        <v>816</v>
      </c>
      <c r="U6" s="30"/>
      <c r="V6" s="30"/>
      <c r="W6" s="30"/>
      <c r="X6" s="30"/>
      <c r="Y6" s="30"/>
      <c r="Z6" s="30"/>
    </row>
    <row r="7">
      <c r="A7" s="315" t="s">
        <v>6168</v>
      </c>
      <c r="B7" s="316" t="s">
        <v>6169</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6170</v>
      </c>
      <c r="F7" s="137" t="s">
        <v>6171</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6172</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6173</v>
      </c>
      <c r="P7" s="316" t="s">
        <v>6174</v>
      </c>
      <c r="Q7" s="335" t="s">
        <v>6175</v>
      </c>
      <c r="R7" s="323" t="s">
        <v>6176</v>
      </c>
      <c r="S7" s="321" t="s">
        <v>6177</v>
      </c>
      <c r="T7" s="143" t="s">
        <v>6178</v>
      </c>
      <c r="U7" s="30"/>
      <c r="V7" s="30"/>
      <c r="W7" s="30"/>
      <c r="X7" s="30"/>
      <c r="Y7" s="30"/>
      <c r="Z7" s="30"/>
    </row>
    <row r="8">
      <c r="A8" s="315" t="s">
        <v>6179</v>
      </c>
      <c r="B8" s="316" t="s">
        <v>6180</v>
      </c>
      <c r="C8" s="314" t="s">
        <v>6181</v>
      </c>
      <c r="D8" s="143" t="str">
        <f>IFERROR(__xludf.DUMMYFUNCTION("GOOGLETRANSLATE(B8,""zh-tw"",""ja"")"),"運：10（回復確率）")</f>
        <v>運：10（回復確率）</v>
      </c>
      <c r="E8" s="314" t="s">
        <v>6182</v>
      </c>
      <c r="F8" s="137" t="s">
        <v>6183</v>
      </c>
      <c r="G8" s="321" t="str">
        <f>IFERROR(__xludf.DUMMYFUNCTION("GOOGLETRANSLATE(A8,""zh-tw"",""zh"")"),"苹果头套")</f>
        <v>苹果头套</v>
      </c>
      <c r="H8" s="143" t="str">
        <f>IFERROR(__xludf.DUMMYFUNCTION("GOOGLETRANSLATE(B8,""zh-tw"",""zh"")"),"幸运：10
概率回复")</f>
        <v>幸运：10
概率回复</v>
      </c>
      <c r="I8" s="314" t="s">
        <v>6184</v>
      </c>
      <c r="J8" s="137" t="s">
        <v>6185</v>
      </c>
      <c r="K8" s="314" t="s">
        <v>6186</v>
      </c>
      <c r="L8" s="137" t="s">
        <v>6187</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6188</v>
      </c>
      <c r="P8" s="316" t="s">
        <v>6189</v>
      </c>
      <c r="Q8" s="335" t="s">
        <v>6190</v>
      </c>
      <c r="R8" s="320" t="s">
        <v>6191</v>
      </c>
      <c r="S8" s="321" t="s">
        <v>6192</v>
      </c>
      <c r="T8" s="143" t="s">
        <v>6193</v>
      </c>
      <c r="U8" s="30"/>
      <c r="V8" s="30"/>
      <c r="W8" s="30"/>
      <c r="X8" s="30"/>
      <c r="Y8" s="30"/>
      <c r="Z8" s="30"/>
    </row>
    <row r="9">
      <c r="A9" s="315" t="s">
        <v>6194</v>
      </c>
      <c r="B9" s="316" t="s">
        <v>6195</v>
      </c>
      <c r="C9" s="314" t="s">
        <v>6196</v>
      </c>
      <c r="D9" s="143" t="str">
        <f>IFERROR(__xludf.DUMMYFUNCTION("GOOGLETRANSLATE(B9,""zh-tw"",""ja"")"),"物理攻撃：5。攻撃力と攻撃速度が向上します。")</f>
        <v>物理攻撃：5。攻撃力と攻撃速度が向上します。</v>
      </c>
      <c r="E9" s="314" t="s">
        <v>6197</v>
      </c>
      <c r="F9" s="137" t="s">
        <v>6198</v>
      </c>
      <c r="G9" s="321" t="str">
        <f>IFERROR(__xludf.DUMMYFUNCTION("GOOGLETRANSLATE(A9,""zh-tw"",""zh"")"),"借来的猫爪")</f>
        <v>借来的猫爪</v>
      </c>
      <c r="H9" s="143" t="str">
        <f>IFERROR(__xludf.DUMMYFUNCTION("GOOGLETRANSLATE(B9,""zh-tw"",""zh"")"),"物攻：5
攻击力、攻速上升")</f>
        <v>物攻：5
攻击力、攻速上升</v>
      </c>
      <c r="I9" s="314" t="s">
        <v>6199</v>
      </c>
      <c r="J9" s="143" t="str">
        <f>IFERROR(__xludf.DUMMYFUNCTION("GOOGLETRANSLATE(B9,""zh-tw"",""es-MX"")"),"Ataque físico: 5. Aumenta el poder de ataque y la velocidad de ataque.")</f>
        <v>Ataque físico: 5. Aumenta el poder de ataque y la velocidad de ataque.</v>
      </c>
      <c r="K9" s="314" t="s">
        <v>6200</v>
      </c>
      <c r="L9" s="137" t="s">
        <v>6201</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6202</v>
      </c>
      <c r="P9" s="316" t="s">
        <v>6203</v>
      </c>
      <c r="Q9" s="335" t="s">
        <v>6204</v>
      </c>
      <c r="R9" s="320" t="s">
        <v>6205</v>
      </c>
      <c r="S9" s="321" t="s">
        <v>6206</v>
      </c>
      <c r="T9" s="143" t="s">
        <v>6207</v>
      </c>
      <c r="U9" s="30"/>
      <c r="V9" s="30"/>
      <c r="W9" s="30"/>
      <c r="X9" s="30"/>
      <c r="Y9" s="30"/>
      <c r="Z9" s="30"/>
    </row>
    <row r="10">
      <c r="A10" s="315" t="s">
        <v>6208</v>
      </c>
      <c r="B10" s="316" t="s">
        <v>6209</v>
      </c>
      <c r="C10" s="314" t="s">
        <v>6210</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6211</v>
      </c>
      <c r="F10" s="137" t="s">
        <v>6212</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6213</v>
      </c>
      <c r="L10" s="137" t="s">
        <v>6214</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6215</v>
      </c>
      <c r="P10" s="316" t="s">
        <v>6216</v>
      </c>
      <c r="Q10" s="335" t="s">
        <v>6217</v>
      </c>
      <c r="R10" s="320" t="s">
        <v>6218</v>
      </c>
      <c r="S10" s="321" t="s">
        <v>6219</v>
      </c>
      <c r="T10" s="143" t="s">
        <v>6220</v>
      </c>
      <c r="U10" s="30"/>
      <c r="V10" s="30"/>
      <c r="W10" s="30"/>
      <c r="X10" s="30"/>
      <c r="Y10" s="30"/>
      <c r="Z10" s="30"/>
    </row>
    <row r="11">
      <c r="A11" s="315" t="s">
        <v>5295</v>
      </c>
      <c r="B11" s="316" t="s">
        <v>6221</v>
      </c>
      <c r="C11" s="314" t="s">
        <v>5297</v>
      </c>
      <c r="D11" s="143" t="str">
        <f>IFERROR(__xludf.DUMMYFUNCTION("GOOGLETRANSLATE(B11,""zh-tw"",""ja"")"),"攻撃速度と攻撃回数を1増加します。")</f>
        <v>攻撃速度と攻撃回数を1増加します。</v>
      </c>
      <c r="E11" s="314" t="s">
        <v>5299</v>
      </c>
      <c r="F11" s="137" t="s">
        <v>6222</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6223</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6224</v>
      </c>
      <c r="Q11" s="335" t="s">
        <v>6225</v>
      </c>
      <c r="R11" s="320" t="s">
        <v>6226</v>
      </c>
      <c r="S11" s="321" t="s">
        <v>5307</v>
      </c>
      <c r="T11" s="143" t="s">
        <v>6227</v>
      </c>
      <c r="U11" s="30"/>
      <c r="V11" s="30"/>
      <c r="W11" s="30"/>
      <c r="X11" s="30"/>
      <c r="Y11" s="30"/>
      <c r="Z11" s="30"/>
    </row>
    <row r="12">
      <c r="A12" s="315" t="s">
        <v>6228</v>
      </c>
      <c r="B12" s="316" t="s">
        <v>6229</v>
      </c>
      <c r="C12" s="314" t="s">
        <v>6230</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6231</v>
      </c>
      <c r="F12" s="137" t="s">
        <v>6232</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6233</v>
      </c>
      <c r="L12" s="137" t="s">
        <v>6234</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6235</v>
      </c>
      <c r="P12" s="316" t="s">
        <v>6236</v>
      </c>
      <c r="Q12" s="335" t="s">
        <v>6237</v>
      </c>
      <c r="R12" s="320" t="s">
        <v>6238</v>
      </c>
      <c r="S12" s="321" t="s">
        <v>6239</v>
      </c>
      <c r="T12" s="143" t="s">
        <v>6240</v>
      </c>
      <c r="U12" s="30"/>
      <c r="V12" s="30"/>
      <c r="W12" s="30"/>
      <c r="X12" s="30"/>
      <c r="Y12" s="30"/>
      <c r="Z12" s="30"/>
    </row>
    <row r="13">
      <c r="A13" s="315" t="s">
        <v>6241</v>
      </c>
      <c r="B13" s="316" t="s">
        <v>6242</v>
      </c>
      <c r="C13" s="321" t="str">
        <f>IFERROR(__xludf.DUMMYFUNCTION("GOOGLETRANSLATE(A13,""zh-tw"",""ja"")"),"招き猫")</f>
        <v>招き猫</v>
      </c>
      <c r="D13" s="137" t="s">
        <v>6243</v>
      </c>
      <c r="E13" s="314" t="s">
        <v>6244</v>
      </c>
      <c r="F13" s="137" t="s">
        <v>6245</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6246</v>
      </c>
      <c r="L13" s="137" t="s">
        <v>6247</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6248</v>
      </c>
      <c r="P13" s="316" t="s">
        <v>6249</v>
      </c>
      <c r="Q13" s="335" t="s">
        <v>6250</v>
      </c>
      <c r="R13" s="320" t="s">
        <v>6251</v>
      </c>
      <c r="S13" s="321" t="s">
        <v>6252</v>
      </c>
      <c r="T13" s="143" t="s">
        <v>6253</v>
      </c>
      <c r="U13" s="30"/>
      <c r="V13" s="30"/>
      <c r="W13" s="30"/>
      <c r="X13" s="30"/>
      <c r="Y13" s="30"/>
      <c r="Z13" s="30"/>
    </row>
    <row r="14">
      <c r="A14" s="315" t="s">
        <v>6254</v>
      </c>
      <c r="B14" s="316" t="s">
        <v>6255</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6256</v>
      </c>
      <c r="F14" s="137" t="s">
        <v>6257</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6258</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6259</v>
      </c>
      <c r="P14" s="316" t="s">
        <v>6260</v>
      </c>
      <c r="Q14" s="335" t="s">
        <v>6261</v>
      </c>
      <c r="R14" s="323" t="s">
        <v>6262</v>
      </c>
      <c r="S14" s="321" t="s">
        <v>6263</v>
      </c>
      <c r="T14" s="143" t="s">
        <v>6264</v>
      </c>
      <c r="U14" s="30"/>
      <c r="V14" s="30"/>
      <c r="W14" s="30"/>
      <c r="X14" s="30"/>
      <c r="Y14" s="30"/>
      <c r="Z14" s="30"/>
    </row>
    <row r="15">
      <c r="A15" s="315" t="s">
        <v>6265</v>
      </c>
      <c r="B15" s="316" t="s">
        <v>6255</v>
      </c>
      <c r="C15" s="314" t="s">
        <v>6266</v>
      </c>
      <c r="D15" s="137" t="s">
        <v>6267</v>
      </c>
      <c r="E15" s="314" t="s">
        <v>6268</v>
      </c>
      <c r="F15" s="137" t="s">
        <v>6269</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6270</v>
      </c>
      <c r="L15" s="137" t="s">
        <v>6258</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6271</v>
      </c>
      <c r="P15" s="316" t="s">
        <v>6272</v>
      </c>
      <c r="Q15" s="335" t="s">
        <v>6273</v>
      </c>
      <c r="R15" s="323" t="s">
        <v>6274</v>
      </c>
      <c r="S15" s="321" t="s">
        <v>6275</v>
      </c>
      <c r="T15" s="143" t="s">
        <v>6276</v>
      </c>
      <c r="U15" s="30"/>
      <c r="V15" s="30"/>
      <c r="W15" s="30"/>
      <c r="X15" s="30"/>
      <c r="Y15" s="30"/>
      <c r="Z15" s="30"/>
    </row>
    <row r="16">
      <c r="A16" s="315" t="s">
        <v>6277</v>
      </c>
      <c r="B16" s="316" t="s">
        <v>6278</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6279</v>
      </c>
      <c r="F16" s="137" t="s">
        <v>6280</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6281</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6282</v>
      </c>
      <c r="Q16" s="335" t="s">
        <v>6283</v>
      </c>
      <c r="R16" s="323" t="s">
        <v>6284</v>
      </c>
      <c r="S16" s="321" t="s">
        <v>6285</v>
      </c>
      <c r="T16" s="143" t="s">
        <v>6286</v>
      </c>
      <c r="U16" s="30"/>
      <c r="V16" s="30"/>
      <c r="W16" s="30"/>
      <c r="X16" s="30"/>
      <c r="Y16" s="30"/>
      <c r="Z16" s="30"/>
    </row>
    <row r="17">
      <c r="A17" s="315" t="s">
        <v>6287</v>
      </c>
      <c r="B17" s="316" t="s">
        <v>6288</v>
      </c>
      <c r="C17" s="314" t="s">
        <v>6289</v>
      </c>
      <c r="D17" s="143" t="str">
        <f>IFERROR(__xludf.DUMMYFUNCTION("GOOGLETRANSLATE(B17,""zh-tw"",""ja"")"),"物理防御力: 2
魔法耐性: 15
落下ダメージ軽減")</f>
        <v>物理防御力: 2
魔法耐性: 15
落下ダメージ軽減</v>
      </c>
      <c r="E17" s="314" t="s">
        <v>6290</v>
      </c>
      <c r="F17" s="137" t="s">
        <v>6291</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6292</v>
      </c>
      <c r="L17" s="137" t="s">
        <v>6293</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6294</v>
      </c>
      <c r="P17" s="316" t="s">
        <v>6295</v>
      </c>
      <c r="Q17" s="335" t="s">
        <v>6296</v>
      </c>
      <c r="R17" s="323" t="s">
        <v>6297</v>
      </c>
      <c r="S17" s="321" t="s">
        <v>6298</v>
      </c>
      <c r="T17" s="143" t="s">
        <v>6299</v>
      </c>
      <c r="U17" s="30"/>
      <c r="V17" s="30"/>
      <c r="W17" s="30"/>
      <c r="X17" s="30"/>
      <c r="Y17" s="30"/>
      <c r="Z17" s="30"/>
    </row>
    <row r="18">
      <c r="A18" s="314" t="s">
        <v>6300</v>
      </c>
      <c r="B18" s="137" t="s">
        <v>6301</v>
      </c>
      <c r="C18" s="314" t="s">
        <v>6302</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6303</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6304</v>
      </c>
      <c r="P18" s="316" t="s">
        <v>6305</v>
      </c>
      <c r="Q18" s="335" t="s">
        <v>6306</v>
      </c>
      <c r="R18" s="323" t="s">
        <v>6307</v>
      </c>
      <c r="S18" s="321" t="s">
        <v>6308</v>
      </c>
      <c r="T18" s="143" t="s">
        <v>6309</v>
      </c>
      <c r="U18" s="30"/>
      <c r="V18" s="30"/>
      <c r="W18" s="30"/>
      <c r="X18" s="30"/>
      <c r="Y18" s="30"/>
      <c r="Z18" s="30"/>
    </row>
    <row r="19">
      <c r="A19" s="315" t="s">
        <v>6310</v>
      </c>
      <c r="B19" s="316" t="s">
        <v>6311</v>
      </c>
      <c r="C19" s="314" t="s">
        <v>6312</v>
      </c>
      <c r="D19" s="143" t="str">
        <f>IFERROR(__xludf.DUMMYFUNCTION("GOOGLETRANSLATE(B19,""zh-tw"",""ja"")"),"物理防御力：2
魔法耐性：10
フラッシュステップ効果強化")</f>
        <v>物理防御力：2
魔法耐性：10
フラッシュステップ効果強化</v>
      </c>
      <c r="E19" s="314" t="s">
        <v>6313</v>
      </c>
      <c r="F19" s="137" t="s">
        <v>6314</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6315</v>
      </c>
      <c r="P19" s="316" t="s">
        <v>6316</v>
      </c>
      <c r="Q19" s="335" t="s">
        <v>6317</v>
      </c>
      <c r="R19" s="323" t="s">
        <v>6318</v>
      </c>
      <c r="S19" s="321" t="s">
        <v>6319</v>
      </c>
      <c r="T19" s="143" t="s">
        <v>6320</v>
      </c>
      <c r="U19" s="30"/>
      <c r="V19" s="30"/>
      <c r="W19" s="30"/>
      <c r="X19" s="30"/>
      <c r="Y19" s="30"/>
      <c r="Z19" s="30"/>
    </row>
    <row r="20">
      <c r="A20" s="315" t="s">
        <v>6321</v>
      </c>
      <c r="B20" s="316" t="s">
        <v>6322</v>
      </c>
      <c r="C20" s="314" t="s">
        <v>6323</v>
      </c>
      <c r="D20" s="143" t="str">
        <f>IFERROR(__xludf.DUMMYFUNCTION("GOOGLETRANSLATE(B20,""zh-tw"",""ja"")"),"物理防御力: 1
幸運: 60
アイテムドロップ率アップ")</f>
        <v>物理防御力: 1
幸運: 60
アイテムドロップ率アップ</v>
      </c>
      <c r="E20" s="314" t="s">
        <v>6324</v>
      </c>
      <c r="F20" s="137" t="s">
        <v>6325</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6326</v>
      </c>
      <c r="P20" s="316" t="s">
        <v>6327</v>
      </c>
      <c r="Q20" s="335" t="s">
        <v>6328</v>
      </c>
      <c r="R20" s="323" t="s">
        <v>6329</v>
      </c>
      <c r="S20" s="321" t="s">
        <v>6330</v>
      </c>
      <c r="T20" s="143" t="s">
        <v>6331</v>
      </c>
      <c r="U20" s="30"/>
      <c r="V20" s="30"/>
      <c r="W20" s="30"/>
      <c r="X20" s="30"/>
      <c r="Y20" s="30"/>
      <c r="Z20" s="30"/>
    </row>
    <row r="21">
      <c r="A21" s="315" t="s">
        <v>6332</v>
      </c>
      <c r="B21" s="316" t="s">
        <v>6333</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6334</v>
      </c>
      <c r="F21" s="137" t="s">
        <v>6335</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6336</v>
      </c>
      <c r="L21" s="137" t="s">
        <v>6337</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6338</v>
      </c>
      <c r="P21" s="316" t="s">
        <v>6339</v>
      </c>
      <c r="Q21" s="335" t="s">
        <v>6340</v>
      </c>
      <c r="R21" s="320" t="s">
        <v>6341</v>
      </c>
      <c r="S21" s="321" t="s">
        <v>6342</v>
      </c>
      <c r="T21" s="143" t="s">
        <v>6343</v>
      </c>
      <c r="U21" s="30"/>
      <c r="V21" s="30"/>
      <c r="W21" s="30"/>
      <c r="X21" s="30"/>
      <c r="Y21" s="30"/>
      <c r="Z21" s="30"/>
    </row>
    <row r="22">
      <c r="A22" s="315" t="s">
        <v>6344</v>
      </c>
      <c r="B22" s="316" t="s">
        <v>6345</v>
      </c>
      <c r="C22" s="314" t="s">
        <v>6346</v>
      </c>
      <c r="D22" s="143" t="str">
        <f>IFERROR(__xludf.DUMMYFUNCTION("GOOGLETRANSLATE(B22,""zh-tw"",""ja"")"),"魔法攻撃力：20
魔法耐性：10
詠唱速度が上昇し、最大魔法威力が上昇")</f>
        <v>魔法攻撃力：20
魔法耐性：10
詠唱速度が上昇し、最大魔法威力が上昇</v>
      </c>
      <c r="E22" s="314" t="s">
        <v>6347</v>
      </c>
      <c r="F22" s="137" t="s">
        <v>6348</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6349</v>
      </c>
      <c r="L22" s="137" t="s">
        <v>6350</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6351</v>
      </c>
      <c r="P22" s="316" t="s">
        <v>6352</v>
      </c>
      <c r="Q22" s="335" t="s">
        <v>6353</v>
      </c>
      <c r="R22" s="323" t="s">
        <v>6354</v>
      </c>
      <c r="S22" s="321" t="s">
        <v>6355</v>
      </c>
      <c r="T22" s="143" t="s">
        <v>6356</v>
      </c>
      <c r="U22" s="30"/>
      <c r="V22" s="30"/>
      <c r="W22" s="30"/>
      <c r="X22" s="30"/>
      <c r="Y22" s="30"/>
      <c r="Z22" s="30"/>
    </row>
    <row r="23">
      <c r="A23" s="315" t="s">
        <v>6357</v>
      </c>
      <c r="B23" s="316" t="s">
        <v>6358</v>
      </c>
      <c r="C23" s="314" t="s">
        <v>6359</v>
      </c>
      <c r="D23" s="143" t="str">
        <f>IFERROR(__xludf.DUMMYFUNCTION("GOOGLETRANSLATE(B23,""zh-tw"",""ja"")"),"魔法攻撃力：35
魔法耐性：20
詠唱速度が上昇し、最大魔法威力が上昇")</f>
        <v>魔法攻撃力：35
魔法耐性：20
詠唱速度が上昇し、最大魔法威力が上昇</v>
      </c>
      <c r="E23" s="314" t="s">
        <v>6360</v>
      </c>
      <c r="F23" s="137" t="s">
        <v>6361</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6362</v>
      </c>
      <c r="L23" s="137" t="s">
        <v>6363</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6364</v>
      </c>
      <c r="P23" s="316" t="s">
        <v>6365</v>
      </c>
      <c r="Q23" s="335" t="s">
        <v>6366</v>
      </c>
      <c r="R23" s="323" t="s">
        <v>6367</v>
      </c>
      <c r="S23" s="321" t="s">
        <v>6368</v>
      </c>
      <c r="T23" s="143" t="s">
        <v>6369</v>
      </c>
      <c r="U23" s="30"/>
      <c r="V23" s="30"/>
      <c r="W23" s="30"/>
      <c r="X23" s="30"/>
      <c r="Y23" s="30"/>
      <c r="Z23" s="30"/>
    </row>
    <row r="24">
      <c r="A24" s="315" t="s">
        <v>6370</v>
      </c>
      <c r="B24" s="316" t="s">
        <v>6371</v>
      </c>
      <c r="C24" s="314" t="s">
        <v>6372</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6373</v>
      </c>
      <c r="F24" s="137" t="s">
        <v>6374</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6375</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6376</v>
      </c>
      <c r="P24" s="316" t="s">
        <v>6377</v>
      </c>
      <c r="Q24" s="335" t="s">
        <v>6378</v>
      </c>
      <c r="R24" s="320" t="s">
        <v>6379</v>
      </c>
      <c r="S24" s="321" t="s">
        <v>6380</v>
      </c>
      <c r="T24" s="143" t="s">
        <v>6381</v>
      </c>
      <c r="U24" s="30"/>
      <c r="V24" s="30"/>
      <c r="W24" s="30"/>
      <c r="X24" s="30"/>
      <c r="Y24" s="30"/>
      <c r="Z24" s="30"/>
    </row>
    <row r="25">
      <c r="A25" s="315" t="s">
        <v>6382</v>
      </c>
      <c r="B25" s="316" t="s">
        <v>6383</v>
      </c>
      <c r="C25" s="314" t="s">
        <v>6384</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6385</v>
      </c>
      <c r="F25" s="137" t="s">
        <v>6386</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6387</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6388</v>
      </c>
      <c r="P25" s="316" t="s">
        <v>6389</v>
      </c>
      <c r="Q25" s="335" t="s">
        <v>6390</v>
      </c>
      <c r="R25" s="323" t="s">
        <v>6391</v>
      </c>
      <c r="S25" s="321" t="s">
        <v>6392</v>
      </c>
      <c r="T25" s="143" t="s">
        <v>6393</v>
      </c>
      <c r="U25" s="30"/>
      <c r="V25" s="30"/>
      <c r="W25" s="30"/>
      <c r="X25" s="30"/>
      <c r="Y25" s="30"/>
      <c r="Z25" s="30"/>
    </row>
    <row r="26">
      <c r="A26" s="314" t="s">
        <v>6394</v>
      </c>
      <c r="B26" s="137" t="s">
        <v>6395</v>
      </c>
      <c r="C26" s="314" t="s">
        <v>6396</v>
      </c>
      <c r="D26" s="137" t="s">
        <v>6397</v>
      </c>
      <c r="E26" s="314" t="s">
        <v>6398</v>
      </c>
      <c r="F26" s="137" t="s">
        <v>6399</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6400</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6401</v>
      </c>
      <c r="P26" s="316" t="s">
        <v>6402</v>
      </c>
      <c r="Q26" s="335" t="s">
        <v>6403</v>
      </c>
      <c r="R26" s="336" t="s">
        <v>6404</v>
      </c>
      <c r="S26" s="321" t="s">
        <v>6405</v>
      </c>
      <c r="T26" s="143" t="s">
        <v>6406</v>
      </c>
      <c r="U26" s="30"/>
      <c r="V26" s="30"/>
      <c r="W26" s="30"/>
      <c r="X26" s="30"/>
      <c r="Y26" s="30"/>
      <c r="Z26" s="30"/>
    </row>
    <row r="27">
      <c r="A27" s="314" t="s">
        <v>6407</v>
      </c>
      <c r="B27" s="137" t="s">
        <v>6408</v>
      </c>
      <c r="C27" s="314" t="s">
        <v>6409</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6410</v>
      </c>
      <c r="F27" s="137" t="s">
        <v>6411</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6412</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6413</v>
      </c>
      <c r="L27" s="137" t="s">
        <v>6414</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6415</v>
      </c>
      <c r="P27" s="316" t="s">
        <v>6416</v>
      </c>
      <c r="Q27" s="335" t="s">
        <v>6417</v>
      </c>
      <c r="R27" s="320" t="s">
        <v>6418</v>
      </c>
      <c r="S27" s="337" t="s">
        <v>6410</v>
      </c>
      <c r="T27" s="143" t="s">
        <v>6419</v>
      </c>
      <c r="U27" s="30"/>
      <c r="V27" s="30"/>
      <c r="W27" s="30"/>
      <c r="X27" s="30"/>
      <c r="Y27" s="30"/>
      <c r="Z27" s="30"/>
    </row>
    <row r="28">
      <c r="A28" s="314" t="s">
        <v>6420</v>
      </c>
      <c r="B28" s="137" t="s">
        <v>6421</v>
      </c>
      <c r="C28" s="314" t="s">
        <v>6422</v>
      </c>
      <c r="D28" s="143" t="str">
        <f>IFERROR(__xludf.DUMMYFUNCTION("GOOGLETRANSLATE(B28,""zh-tw"",""ja"")"),"爆発効果または爆発軽減を発動する確率が低い。")</f>
        <v>爆発効果または爆発軽減を発動する確率が低い。</v>
      </c>
      <c r="E28" s="314" t="s">
        <v>6423</v>
      </c>
      <c r="F28" s="137" t="s">
        <v>6424</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6425</v>
      </c>
      <c r="L28" s="137" t="s">
        <v>6426</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6427</v>
      </c>
      <c r="P28" s="316" t="s">
        <v>6428</v>
      </c>
      <c r="Q28" s="335" t="s">
        <v>6429</v>
      </c>
      <c r="R28" s="320" t="s">
        <v>6430</v>
      </c>
      <c r="S28" s="321" t="s">
        <v>6431</v>
      </c>
      <c r="T28" s="143" t="s">
        <v>6432</v>
      </c>
      <c r="U28" s="30"/>
      <c r="V28" s="30"/>
      <c r="W28" s="30"/>
      <c r="X28" s="30"/>
      <c r="Y28" s="30"/>
      <c r="Z28" s="30"/>
    </row>
    <row r="29">
      <c r="A29" s="314" t="s">
        <v>6433</v>
      </c>
      <c r="B29" s="137" t="s">
        <v>6434</v>
      </c>
      <c r="C29" s="314" t="s">
        <v>6435</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6436</v>
      </c>
      <c r="F29" s="137" t="s">
        <v>6437</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6438</v>
      </c>
      <c r="L29" s="137" t="s">
        <v>6439</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6440</v>
      </c>
      <c r="P29" s="316" t="s">
        <v>6441</v>
      </c>
      <c r="Q29" s="335" t="s">
        <v>6442</v>
      </c>
      <c r="R29" s="323" t="s">
        <v>6443</v>
      </c>
      <c r="S29" s="321" t="s">
        <v>6444</v>
      </c>
      <c r="T29" s="143" t="s">
        <v>6445</v>
      </c>
      <c r="U29" s="30"/>
      <c r="V29" s="30"/>
      <c r="W29" s="30"/>
      <c r="X29" s="30"/>
      <c r="Y29" s="30"/>
      <c r="Z29" s="30"/>
    </row>
    <row r="30">
      <c r="A30" s="315" t="s">
        <v>6446</v>
      </c>
      <c r="B30" s="316" t="s">
        <v>6447</v>
      </c>
      <c r="C30" s="314" t="s">
        <v>6448</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6449</v>
      </c>
      <c r="F30" s="137" t="s">
        <v>6450</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6451</v>
      </c>
      <c r="L30" s="137" t="s">
        <v>6452</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6453</v>
      </c>
      <c r="P30" s="316" t="s">
        <v>6454</v>
      </c>
      <c r="Q30" s="335" t="s">
        <v>6455</v>
      </c>
      <c r="R30" s="323" t="s">
        <v>6456</v>
      </c>
      <c r="S30" s="321" t="s">
        <v>6457</v>
      </c>
      <c r="T30" s="143" t="s">
        <v>6458</v>
      </c>
      <c r="U30" s="30"/>
      <c r="V30" s="30"/>
      <c r="W30" s="30"/>
      <c r="X30" s="30"/>
      <c r="Y30" s="30"/>
      <c r="Z30" s="30"/>
    </row>
    <row r="31">
      <c r="A31" s="315" t="s">
        <v>6459</v>
      </c>
      <c r="B31" s="316" t="s">
        <v>6460</v>
      </c>
      <c r="C31" s="314" t="s">
        <v>6461</v>
      </c>
      <c r="D31" s="143" t="str">
        <f>IFERROR(__xludf.DUMMYFUNCTION("GOOGLETRANSLATE(B31,""zh-tw"",""ja"")"),"物理攻撃: 2 物理防御: 6 ダメージを与えるアーマー")</f>
        <v>物理攻撃: 2 物理防御: 6 ダメージを与えるアーマー</v>
      </c>
      <c r="E31" s="314" t="s">
        <v>6462</v>
      </c>
      <c r="F31" s="137" t="s">
        <v>6463</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6464</v>
      </c>
      <c r="L31" s="137" t="s">
        <v>6465</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6466</v>
      </c>
      <c r="P31" s="316" t="s">
        <v>6467</v>
      </c>
      <c r="Q31" s="335" t="s">
        <v>6468</v>
      </c>
      <c r="R31" s="320" t="s">
        <v>6469</v>
      </c>
      <c r="S31" s="321" t="s">
        <v>6470</v>
      </c>
      <c r="T31" s="143" t="s">
        <v>6471</v>
      </c>
      <c r="U31" s="30"/>
      <c r="V31" s="30"/>
      <c r="W31" s="30"/>
      <c r="X31" s="30"/>
      <c r="Y31" s="30"/>
      <c r="Z31" s="30"/>
    </row>
    <row r="32">
      <c r="A32" s="315" t="s">
        <v>6472</v>
      </c>
      <c r="B32" s="316" t="s">
        <v>6473</v>
      </c>
      <c r="C32" s="314" t="s">
        <v>6474</v>
      </c>
      <c r="D32" s="143" t="str">
        <f>IFERROR(__xludf.DUMMYFUNCTION("GOOGLETRANSLATE(B32,""zh-tw"",""ja"")"),"物理攻撃力：4
物理防御力：2
ダメージを与えるアーマー")</f>
        <v>物理攻撃力：4
物理防御力：2
ダメージを与えるアーマー</v>
      </c>
      <c r="E32" s="314" t="s">
        <v>6475</v>
      </c>
      <c r="F32" s="137" t="s">
        <v>6476</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6477</v>
      </c>
      <c r="L32" s="137" t="s">
        <v>6478</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6479</v>
      </c>
      <c r="P32" s="316" t="s">
        <v>6480</v>
      </c>
      <c r="Q32" s="335" t="s">
        <v>6481</v>
      </c>
      <c r="R32" s="320" t="s">
        <v>6482</v>
      </c>
      <c r="S32" s="321" t="s">
        <v>6483</v>
      </c>
      <c r="T32" s="143" t="s">
        <v>6484</v>
      </c>
      <c r="U32" s="30"/>
      <c r="V32" s="30"/>
      <c r="W32" s="30"/>
      <c r="X32" s="30"/>
      <c r="Y32" s="30"/>
      <c r="Z32" s="30"/>
    </row>
    <row r="33">
      <c r="A33" s="315" t="s">
        <v>6485</v>
      </c>
      <c r="B33" s="316" t="s">
        <v>6486</v>
      </c>
      <c r="C33" s="314" t="s">
        <v>6487</v>
      </c>
      <c r="D33" s="143" t="str">
        <f>IFERROR(__xludf.DUMMYFUNCTION("GOOGLETRANSLATE(B33,""zh-tw"",""ja"")"),"物理攻撃: 2 物理防御: 2 ダメージを与えるアーマー")</f>
        <v>物理攻撃: 2 物理防御: 2 ダメージを与えるアーマー</v>
      </c>
      <c r="E33" s="314" t="s">
        <v>6488</v>
      </c>
      <c r="F33" s="137" t="s">
        <v>6489</v>
      </c>
      <c r="G33" s="321" t="str">
        <f>IFERROR(__xludf.DUMMYFUNCTION("GOOGLETRANSLATE(A33,""zh-tw"",""zh"")"),"穿刺钉鞋")</f>
        <v>穿刺钉鞋</v>
      </c>
      <c r="H33" s="143" t="str">
        <f>IFERROR(__xludf.DUMMYFUNCTION("GOOGLETRANSLATE(B33,""zh-tw"",""zh"")"),"物攻：2
物防：2
伤害型防具")</f>
        <v>物攻：2
物防：2
伤害型防具</v>
      </c>
      <c r="I33" s="314" t="s">
        <v>6490</v>
      </c>
      <c r="J33" s="143" t="str">
        <f>IFERROR(__xludf.DUMMYFUNCTION("GOOGLETRANSLATE(B33,""zh-tw"",""es-MX"")"),"Ataque físico: 2 Defensa física: 2 Armadura que inflige daño")</f>
        <v>Ataque físico: 2 Defensa física: 2 Armadura que inflige daño</v>
      </c>
      <c r="K33" s="314" t="s">
        <v>6491</v>
      </c>
      <c r="L33" s="137" t="s">
        <v>6492</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6493</v>
      </c>
      <c r="P33" s="316" t="s">
        <v>6494</v>
      </c>
      <c r="Q33" s="335" t="s">
        <v>6495</v>
      </c>
      <c r="R33" s="320" t="s">
        <v>6496</v>
      </c>
      <c r="S33" s="321" t="s">
        <v>6488</v>
      </c>
      <c r="T33" s="143" t="s">
        <v>6497</v>
      </c>
      <c r="U33" s="30"/>
      <c r="V33" s="30"/>
      <c r="W33" s="30"/>
      <c r="X33" s="30"/>
      <c r="Y33" s="30"/>
      <c r="Z33" s="30"/>
    </row>
    <row r="34">
      <c r="A34" s="315" t="s">
        <v>6498</v>
      </c>
      <c r="B34" s="316" t="s">
        <v>6499</v>
      </c>
      <c r="C34" s="314" t="s">
        <v>6500</v>
      </c>
      <c r="D34" s="143" t="str">
        <f>IFERROR(__xludf.DUMMYFUNCTION("GOOGLETRANSLATE(B34,""zh-tw"",""ja"")"),"物理攻撃力：5
物理防御力：1
ダメージを与えるアーマー")</f>
        <v>物理攻撃力：5
物理防御力：1
ダメージを与えるアーマー</v>
      </c>
      <c r="E34" s="314" t="s">
        <v>6501</v>
      </c>
      <c r="F34" s="137" t="s">
        <v>6502</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6503</v>
      </c>
      <c r="L34" s="137" t="s">
        <v>6504</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6505</v>
      </c>
      <c r="P34" s="316" t="s">
        <v>6506</v>
      </c>
      <c r="Q34" s="335" t="s">
        <v>6507</v>
      </c>
      <c r="R34" s="320" t="s">
        <v>6508</v>
      </c>
      <c r="S34" s="321" t="s">
        <v>6509</v>
      </c>
      <c r="T34" s="143" t="s">
        <v>6510</v>
      </c>
      <c r="U34" s="30"/>
      <c r="V34" s="30"/>
      <c r="W34" s="30"/>
      <c r="X34" s="30"/>
      <c r="Y34" s="30"/>
      <c r="Z34" s="30"/>
    </row>
    <row r="35">
      <c r="A35" s="315" t="s">
        <v>6511</v>
      </c>
      <c r="B35" s="316" t="s">
        <v>6512</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6513</v>
      </c>
      <c r="F35" s="137" t="s">
        <v>6514</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6515</v>
      </c>
      <c r="L35" s="137" t="s">
        <v>6516</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6517</v>
      </c>
      <c r="P35" s="316" t="s">
        <v>6518</v>
      </c>
      <c r="Q35" s="335" t="s">
        <v>6519</v>
      </c>
      <c r="R35" s="323" t="s">
        <v>6520</v>
      </c>
      <c r="S35" s="321" t="s">
        <v>6521</v>
      </c>
      <c r="T35" s="143" t="s">
        <v>6522</v>
      </c>
      <c r="U35" s="30"/>
      <c r="V35" s="30"/>
      <c r="W35" s="30"/>
      <c r="X35" s="30"/>
      <c r="Y35" s="30"/>
      <c r="Z35" s="30"/>
    </row>
    <row r="36">
      <c r="A36" s="315" t="s">
        <v>6523</v>
      </c>
      <c r="B36" s="316" t="s">
        <v>6524</v>
      </c>
      <c r="C36" s="314" t="s">
        <v>6525</v>
      </c>
      <c r="D36" s="143" t="str">
        <f>IFERROR(__xludf.DUMMYFUNCTION("GOOGLETRANSLATE(B36,""zh-tw"",""ja"")"),"物理攻撃：3 物理防御：3 HPが少ないときに攻撃力と防御力が上昇します。")</f>
        <v>物理攻撃：3 物理防御：3 HPが少ないときに攻撃力と防御力が上昇します。</v>
      </c>
      <c r="E36" s="314" t="s">
        <v>6526</v>
      </c>
      <c r="F36" s="137" t="s">
        <v>6527</v>
      </c>
      <c r="G36" s="321" t="str">
        <f>IFERROR(__xludf.DUMMYFUNCTION("GOOGLETRANSLATE(A36,""zh-tw"",""zh"")"),"骑士护臂")</f>
        <v>骑士护臂</v>
      </c>
      <c r="H36" s="143" t="str">
        <f>IFERROR(__xludf.DUMMYFUNCTION("GOOGLETRANSLATE(B36,""zh-tw"",""zh"")"),"物攻：3
物防：3
低体力加攻击、防御")</f>
        <v>物攻：3
物防：3
低体力加攻击、防御</v>
      </c>
      <c r="I36" s="314" t="s">
        <v>6528</v>
      </c>
      <c r="J36" s="143" t="str">
        <f>IFERROR(__xludf.DUMMYFUNCTION("GOOGLETRANSLATE(B36,""zh-tw"",""es-MX"")"),"Ataque físico: 3 Defensa física: 3 Aumenta el ataque y la defensa cuando los HP son bajos.")</f>
        <v>Ataque físico: 3 Defensa física: 3 Aumenta el ataque y la defensa cuando los HP son bajos.</v>
      </c>
      <c r="K36" s="315" t="s">
        <v>6529</v>
      </c>
      <c r="L36" s="137" t="s">
        <v>6530</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6531</v>
      </c>
      <c r="P36" s="316" t="s">
        <v>6532</v>
      </c>
      <c r="Q36" s="335" t="s">
        <v>6533</v>
      </c>
      <c r="R36" s="336" t="s">
        <v>6534</v>
      </c>
      <c r="S36" s="321" t="s">
        <v>6535</v>
      </c>
      <c r="T36" s="143" t="s">
        <v>6536</v>
      </c>
      <c r="U36" s="30"/>
      <c r="V36" s="30"/>
      <c r="W36" s="30"/>
      <c r="X36" s="30"/>
      <c r="Y36" s="30"/>
      <c r="Z36" s="30"/>
    </row>
    <row r="37">
      <c r="A37" s="315" t="s">
        <v>6537</v>
      </c>
      <c r="B37" s="316" t="s">
        <v>6538</v>
      </c>
      <c r="C37" s="314" t="s">
        <v>6539</v>
      </c>
      <c r="D37" s="143" t="str">
        <f>IFERROR(__xludf.DUMMYFUNCTION("GOOGLETRANSLATE(B37,""zh-tw"",""ja"")"),"物理防御力：2
魔法耐性：2
スタミナ低下、移動速度上昇")</f>
        <v>物理防御力：2
魔法耐性：2
スタミナ低下、移動速度上昇</v>
      </c>
      <c r="E37" s="314" t="s">
        <v>6540</v>
      </c>
      <c r="F37" s="137" t="s">
        <v>6541</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6542</v>
      </c>
      <c r="L37" s="137" t="s">
        <v>6543</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6544</v>
      </c>
      <c r="P37" s="316" t="s">
        <v>6545</v>
      </c>
      <c r="Q37" s="335" t="s">
        <v>6546</v>
      </c>
      <c r="R37" s="323" t="s">
        <v>6547</v>
      </c>
      <c r="S37" s="321" t="s">
        <v>6548</v>
      </c>
      <c r="T37" s="143" t="s">
        <v>6549</v>
      </c>
      <c r="U37" s="30"/>
      <c r="V37" s="30"/>
      <c r="W37" s="30"/>
      <c r="X37" s="30"/>
      <c r="Y37" s="30"/>
      <c r="Z37" s="30"/>
    </row>
    <row r="38">
      <c r="A38" s="315" t="s">
        <v>6550</v>
      </c>
      <c r="B38" s="316" t="s">
        <v>6551</v>
      </c>
      <c r="C38" s="321" t="str">
        <f>IFERROR(__xludf.DUMMYFUNCTION("GOOGLETRANSLATE(A38,""zh-tw"",""ja"")"),"騎士の鎧")</f>
        <v>騎士の鎧</v>
      </c>
      <c r="D38" s="143" t="str">
        <f>IFERROR(__xludf.DUMMYFUNCTION("GOOGLETRANSLATE(B38,""zh-tw"",""ja"")"),"物理防御力: 10
魔法耐性: 4
スタミナが低いと防御力が上昇")</f>
        <v>物理防御力: 10
魔法耐性: 4
スタミナが低いと防御力が上昇</v>
      </c>
      <c r="E38" s="314" t="s">
        <v>6552</v>
      </c>
      <c r="F38" s="137" t="s">
        <v>6553</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Baja resistencia aumenta la defensa")</f>
        <v>Defensa física: 10
Resistencia mágica: 4
Baja resistencia aumenta la defensa</v>
      </c>
      <c r="K38" s="314" t="s">
        <v>6554</v>
      </c>
      <c r="L38" s="137" t="s">
        <v>6555</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15" t="s">
        <v>6556</v>
      </c>
      <c r="P38" s="316" t="s">
        <v>6557</v>
      </c>
      <c r="Q38" s="335" t="s">
        <v>6558</v>
      </c>
      <c r="R38" s="323" t="s">
        <v>6559</v>
      </c>
      <c r="S38" s="321" t="s">
        <v>6560</v>
      </c>
      <c r="T38" s="143" t="s">
        <v>6561</v>
      </c>
      <c r="U38" s="30"/>
      <c r="V38" s="30"/>
      <c r="W38" s="30"/>
      <c r="X38" s="30"/>
      <c r="Y38" s="30"/>
      <c r="Z38" s="30"/>
    </row>
    <row r="39">
      <c r="A39" s="322" t="s">
        <v>6562</v>
      </c>
      <c r="B39" s="137" t="s">
        <v>6563</v>
      </c>
      <c r="C39" s="314" t="s">
        <v>6564</v>
      </c>
      <c r="D39" s="137" t="s">
        <v>6565</v>
      </c>
      <c r="E39" s="314" t="s">
        <v>6566</v>
      </c>
      <c r="F39" s="137" t="s">
        <v>6567</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6568</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6569</v>
      </c>
      <c r="P39" s="316" t="s">
        <v>6570</v>
      </c>
      <c r="Q39" s="335" t="s">
        <v>6571</v>
      </c>
      <c r="R39" s="338" t="s">
        <v>6572</v>
      </c>
      <c r="S39" s="321" t="s">
        <v>6573</v>
      </c>
      <c r="T39" s="143" t="s">
        <v>6574</v>
      </c>
      <c r="U39" s="30"/>
      <c r="V39" s="30"/>
      <c r="W39" s="30"/>
      <c r="X39" s="30"/>
      <c r="Y39" s="30"/>
      <c r="Z39" s="30"/>
    </row>
    <row r="40">
      <c r="A40" s="314" t="s">
        <v>6575</v>
      </c>
      <c r="B40" s="137" t="s">
        <v>6576</v>
      </c>
      <c r="C40" s="314" t="s">
        <v>6577</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6578</v>
      </c>
      <c r="F40" s="137" t="s">
        <v>6579</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6580</v>
      </c>
      <c r="L40" s="137" t="s">
        <v>6581</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6582</v>
      </c>
      <c r="P40" s="316" t="s">
        <v>6583</v>
      </c>
      <c r="Q40" s="335" t="s">
        <v>6584</v>
      </c>
      <c r="R40" s="320" t="s">
        <v>6585</v>
      </c>
      <c r="S40" s="321" t="s">
        <v>6586</v>
      </c>
      <c r="T40" s="143" t="s">
        <v>6587</v>
      </c>
      <c r="U40" s="30"/>
      <c r="V40" s="30"/>
      <c r="W40" s="30"/>
      <c r="X40" s="30"/>
      <c r="Y40" s="30"/>
      <c r="Z40" s="30"/>
    </row>
    <row r="41">
      <c r="A41" s="314" t="s">
        <v>6588</v>
      </c>
      <c r="B41" s="137" t="s">
        <v>6589</v>
      </c>
      <c r="C41" s="314" t="s">
        <v>6590</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6591</v>
      </c>
      <c r="F41" s="137" t="s">
        <v>6592</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6593</v>
      </c>
      <c r="L41" s="137" t="s">
        <v>6594</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6595</v>
      </c>
      <c r="P41" s="316" t="s">
        <v>6596</v>
      </c>
      <c r="Q41" s="335" t="s">
        <v>6597</v>
      </c>
      <c r="R41" s="320" t="s">
        <v>6598</v>
      </c>
      <c r="S41" s="321" t="s">
        <v>6599</v>
      </c>
      <c r="T41" s="143" t="s">
        <v>6600</v>
      </c>
      <c r="U41" s="30"/>
      <c r="V41" s="30"/>
      <c r="W41" s="30"/>
      <c r="X41" s="30"/>
      <c r="Y41" s="30"/>
      <c r="Z41" s="30"/>
    </row>
    <row r="42">
      <c r="A42" s="322" t="s">
        <v>6601</v>
      </c>
      <c r="B42" s="137" t="s">
        <v>6602</v>
      </c>
      <c r="C42" s="314" t="s">
        <v>6603</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6604</v>
      </c>
      <c r="F42" s="137" t="s">
        <v>6605</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6606</v>
      </c>
      <c r="L42" s="137" t="s">
        <v>6607</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6608</v>
      </c>
      <c r="P42" s="316" t="s">
        <v>6609</v>
      </c>
      <c r="Q42" s="335" t="s">
        <v>6610</v>
      </c>
      <c r="R42" s="323" t="s">
        <v>6611</v>
      </c>
      <c r="S42" s="321" t="s">
        <v>6612</v>
      </c>
      <c r="T42" s="143" t="s">
        <v>6613</v>
      </c>
      <c r="U42" s="30"/>
      <c r="V42" s="30"/>
      <c r="W42" s="30"/>
      <c r="X42" s="30"/>
      <c r="Y42" s="30"/>
      <c r="Z42" s="30"/>
    </row>
    <row r="43">
      <c r="A43" s="314" t="s">
        <v>6614</v>
      </c>
      <c r="B43" s="137" t="s">
        <v>6615</v>
      </c>
      <c r="C43" s="314" t="s">
        <v>6616</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6617</v>
      </c>
      <c r="F43" s="137" t="s">
        <v>6618</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6619</v>
      </c>
      <c r="L43" s="137" t="s">
        <v>6620</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6621</v>
      </c>
      <c r="P43" s="316" t="s">
        <v>6622</v>
      </c>
      <c r="Q43" s="335" t="s">
        <v>6623</v>
      </c>
      <c r="R43" s="323" t="s">
        <v>6624</v>
      </c>
      <c r="S43" s="321" t="s">
        <v>6625</v>
      </c>
      <c r="T43" s="143" t="s">
        <v>6626</v>
      </c>
      <c r="U43" s="30"/>
      <c r="V43" s="30"/>
      <c r="W43" s="30"/>
      <c r="X43" s="30"/>
      <c r="Y43" s="30"/>
      <c r="Z43" s="30"/>
    </row>
    <row r="44">
      <c r="A44" s="314" t="s">
        <v>6627</v>
      </c>
      <c r="B44" s="137" t="s">
        <v>6628</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6629</v>
      </c>
      <c r="F44" s="137" t="s">
        <v>6630</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6631</v>
      </c>
      <c r="L44" s="137" t="s">
        <v>6632</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6633</v>
      </c>
      <c r="P44" s="316" t="s">
        <v>6634</v>
      </c>
      <c r="Q44" s="335" t="s">
        <v>6635</v>
      </c>
      <c r="R44" s="320" t="s">
        <v>6636</v>
      </c>
      <c r="S44" s="321" t="s">
        <v>6637</v>
      </c>
      <c r="T44" s="143" t="s">
        <v>6638</v>
      </c>
      <c r="U44" s="30"/>
      <c r="V44" s="30"/>
      <c r="W44" s="30"/>
      <c r="X44" s="30"/>
      <c r="Y44" s="30"/>
      <c r="Z44" s="30"/>
    </row>
    <row r="45">
      <c r="A45" s="314" t="s">
        <v>6639</v>
      </c>
      <c r="B45" s="137" t="s">
        <v>6640</v>
      </c>
      <c r="C45" s="314" t="s">
        <v>6641</v>
      </c>
      <c r="D45" s="137" t="s">
        <v>6642</v>
      </c>
      <c r="E45" s="314" t="s">
        <v>6643</v>
      </c>
      <c r="F45" s="137" t="s">
        <v>6644</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6645</v>
      </c>
      <c r="L45" s="137" t="s">
        <v>6646</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6647</v>
      </c>
      <c r="P45" s="316" t="s">
        <v>6648</v>
      </c>
      <c r="Q45" s="335" t="s">
        <v>6649</v>
      </c>
      <c r="R45" s="320" t="s">
        <v>6650</v>
      </c>
      <c r="S45" s="321" t="s">
        <v>6651</v>
      </c>
      <c r="T45" s="143" t="s">
        <v>6652</v>
      </c>
      <c r="U45" s="30"/>
      <c r="V45" s="30"/>
      <c r="W45" s="30"/>
      <c r="X45" s="30"/>
      <c r="Y45" s="30"/>
      <c r="Z45" s="30"/>
    </row>
    <row r="46">
      <c r="A46" s="315" t="s">
        <v>6653</v>
      </c>
      <c r="B46" s="316" t="s">
        <v>6654</v>
      </c>
      <c r="C46" s="314" t="s">
        <v>6655</v>
      </c>
      <c r="D46" s="137" t="s">
        <v>6656</v>
      </c>
      <c r="E46" s="314" t="s">
        <v>6657</v>
      </c>
      <c r="F46" s="137" t="s">
        <v>6658</v>
      </c>
      <c r="G46" s="321" t="str">
        <f>IFERROR(__xludf.DUMMYFUNCTION("GOOGLETRANSLATE(A46,""zh-tw"",""zh"")"),"晴天娃娃")</f>
        <v>晴天娃娃</v>
      </c>
      <c r="H46" s="143" t="str">
        <f>IFERROR(__xludf.DUMMYFUNCTION("GOOGLETRANSLATE(B46,""zh-tw"",""zh"")"),"魔抗：10
幸运：10
第二天晴天")</f>
        <v>魔抗：10
幸运：10
第二天晴天</v>
      </c>
      <c r="I46" s="314" t="s">
        <v>6657</v>
      </c>
      <c r="J46" s="143" t="str">
        <f>IFERROR(__xludf.DUMMYFUNCTION("GOOGLETRANSLATE(B46,""zh-tw"",""es-MX"")"),"Resistencia mágica: 10
Suerte: 10
Día soleado al día siguiente")</f>
        <v>Resistencia mágica: 10
Suerte: 10
Día soleado al día siguiente</v>
      </c>
      <c r="K46" s="314" t="s">
        <v>6659</v>
      </c>
      <c r="L46" s="137" t="s">
        <v>6660</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6661</v>
      </c>
      <c r="P46" s="316" t="s">
        <v>6662</v>
      </c>
      <c r="Q46" s="339" t="s">
        <v>6663</v>
      </c>
      <c r="R46" s="320" t="s">
        <v>6664</v>
      </c>
      <c r="S46" s="321" t="s">
        <v>6665</v>
      </c>
      <c r="T46" s="143" t="s">
        <v>6666</v>
      </c>
      <c r="U46" s="30"/>
      <c r="V46" s="30"/>
      <c r="W46" s="30"/>
      <c r="X46" s="30"/>
      <c r="Y46" s="30"/>
      <c r="Z46" s="30"/>
    </row>
    <row r="47">
      <c r="A47" s="315" t="s">
        <v>6667</v>
      </c>
      <c r="B47" s="316" t="s">
        <v>6668</v>
      </c>
      <c r="C47" s="314" t="s">
        <v>6669</v>
      </c>
      <c r="D47" s="137" t="s">
        <v>6670</v>
      </c>
      <c r="E47" s="314" t="s">
        <v>6671</v>
      </c>
      <c r="F47" s="137" t="s">
        <v>6672</v>
      </c>
      <c r="G47" s="321" t="str">
        <f>IFERROR(__xludf.DUMMYFUNCTION("GOOGLETRANSLATE(A47,""zh-tw"",""zh"")"),"阴天娃娃")</f>
        <v>阴天娃娃</v>
      </c>
      <c r="H47" s="143" t="str">
        <f>IFERROR(__xludf.DUMMYFUNCTION("GOOGLETRANSLATE(B47,""zh-tw"",""zh"")"),"魔抗：10
幸运：10
第二天阴天")</f>
        <v>魔抗：10
幸运：10
第二天阴天</v>
      </c>
      <c r="I47" s="314" t="s">
        <v>6671</v>
      </c>
      <c r="J47" s="143" t="str">
        <f>IFERROR(__xludf.DUMMYFUNCTION("GOOGLETRANSLATE(B47,""zh-tw"",""es-MX"")"),"Resistencia Mágica: 10
Suerte: 10
El segundo día estuvo nublado.")</f>
        <v>Resistencia Mágica: 10
Suerte: 10
El segundo día estuvo nublado.</v>
      </c>
      <c r="K47" s="315" t="s">
        <v>6673</v>
      </c>
      <c r="L47" s="137" t="s">
        <v>6674</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6675</v>
      </c>
      <c r="P47" s="316" t="s">
        <v>6676</v>
      </c>
      <c r="Q47" s="339" t="s">
        <v>6677</v>
      </c>
      <c r="R47" s="320" t="s">
        <v>6678</v>
      </c>
      <c r="S47" s="321" t="s">
        <v>6679</v>
      </c>
      <c r="T47" s="143" t="s">
        <v>6680</v>
      </c>
      <c r="U47" s="30"/>
      <c r="V47" s="30"/>
      <c r="W47" s="30"/>
      <c r="X47" s="30"/>
      <c r="Y47" s="30"/>
      <c r="Z47" s="30"/>
    </row>
    <row r="48">
      <c r="A48" s="315" t="s">
        <v>6681</v>
      </c>
      <c r="B48" s="316" t="s">
        <v>6682</v>
      </c>
      <c r="C48" s="314" t="s">
        <v>6683</v>
      </c>
      <c r="D48" s="137" t="s">
        <v>6684</v>
      </c>
      <c r="E48" s="314" t="s">
        <v>6685</v>
      </c>
      <c r="F48" s="137" t="s">
        <v>6686</v>
      </c>
      <c r="G48" s="321" t="str">
        <f>IFERROR(__xludf.DUMMYFUNCTION("GOOGLETRANSLATE(A48,""zh-tw"",""zh"")"),"雨天娃娃")</f>
        <v>雨天娃娃</v>
      </c>
      <c r="H48" s="143" t="str">
        <f>IFERROR(__xludf.DUMMYFUNCTION("GOOGLETRANSLATE(B48,""zh-tw"",""zh"")"),"魔抗：10
幸运：10
第二天雨天")</f>
        <v>魔抗：10
幸运：10
第二天雨天</v>
      </c>
      <c r="I48" s="314" t="s">
        <v>6685</v>
      </c>
      <c r="J48" s="143" t="str">
        <f>IFERROR(__xludf.DUMMYFUNCTION("GOOGLETRANSLATE(B48,""zh-tw"",""es-MX"")"),"Resistencia Mágica: 10
Suerte: 10
El día siguiente llovió.")</f>
        <v>Resistencia Mágica: 10
Suerte: 10
El día siguiente llovió.</v>
      </c>
      <c r="K48" s="314" t="s">
        <v>6687</v>
      </c>
      <c r="L48" s="137" t="s">
        <v>6688</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6689</v>
      </c>
      <c r="P48" s="316" t="s">
        <v>6690</v>
      </c>
      <c r="Q48" s="339" t="s">
        <v>6691</v>
      </c>
      <c r="R48" s="320" t="s">
        <v>6692</v>
      </c>
      <c r="S48" s="321" t="s">
        <v>6693</v>
      </c>
      <c r="T48" s="143" t="s">
        <v>6694</v>
      </c>
      <c r="U48" s="30"/>
      <c r="V48" s="30"/>
      <c r="W48" s="30"/>
      <c r="X48" s="30"/>
      <c r="Y48" s="30"/>
      <c r="Z48" s="30"/>
    </row>
    <row r="49">
      <c r="A49" s="314" t="s">
        <v>6695</v>
      </c>
      <c r="B49" s="137" t="s">
        <v>6696</v>
      </c>
      <c r="C49" s="314" t="s">
        <v>6695</v>
      </c>
      <c r="D49" s="143" t="str">
        <f>IFERROR(__xludf.DUMMYFUNCTION("GOOGLETRANSLATE(B49,""zh-tw"",""ja"")"),"物理防御力：1
魔法耐性：10
幸運：5
最大HPを増加")</f>
        <v>物理防御力：1
魔法耐性：10
幸運：5
最大HPを増加</v>
      </c>
      <c r="E49" s="314" t="s">
        <v>6697</v>
      </c>
      <c r="F49" s="137" t="s">
        <v>6698</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6699</v>
      </c>
      <c r="L49" s="137" t="s">
        <v>6700</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6701</v>
      </c>
      <c r="P49" s="316" t="s">
        <v>6702</v>
      </c>
      <c r="Q49" s="335" t="s">
        <v>6703</v>
      </c>
      <c r="R49" s="320" t="s">
        <v>6704</v>
      </c>
      <c r="S49" s="321" t="s">
        <v>6705</v>
      </c>
      <c r="T49" s="143" t="s">
        <v>6706</v>
      </c>
      <c r="U49" s="30"/>
      <c r="V49" s="30"/>
      <c r="W49" s="30"/>
      <c r="X49" s="30"/>
      <c r="Y49" s="30"/>
      <c r="Z49" s="30"/>
    </row>
    <row r="50">
      <c r="A50" s="314" t="s">
        <v>5253</v>
      </c>
      <c r="B50" s="137" t="s">
        <v>6707</v>
      </c>
      <c r="C50" s="314" t="s">
        <v>5255</v>
      </c>
      <c r="D50" s="143" t="str">
        <f>IFERROR(__xludf.DUMMYFUNCTION("GOOGLETRANSLATE(B50,""zh-tw"",""ja"")"),"魔法耐性: 30 回復不能、7秒間無敵")</f>
        <v>魔法耐性: 30 回復不能、7秒間無敵</v>
      </c>
      <c r="E50" s="314" t="s">
        <v>5257</v>
      </c>
      <c r="F50" s="137" t="s">
        <v>6708</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6709</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6710</v>
      </c>
      <c r="Q50" s="335" t="s">
        <v>5263</v>
      </c>
      <c r="R50" s="323" t="s">
        <v>6711</v>
      </c>
      <c r="S50" s="321" t="s">
        <v>5265</v>
      </c>
      <c r="T50" s="143" t="s">
        <v>6712</v>
      </c>
      <c r="U50" s="30"/>
      <c r="V50" s="30"/>
      <c r="W50" s="30"/>
      <c r="X50" s="30"/>
      <c r="Y50" s="30"/>
      <c r="Z50" s="30"/>
    </row>
    <row r="51">
      <c r="A51" s="314" t="s">
        <v>6713</v>
      </c>
      <c r="B51" s="137" t="s">
        <v>6714</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6715</v>
      </c>
      <c r="F51" s="137" t="s">
        <v>6716</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6717</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6718</v>
      </c>
      <c r="P51" s="316" t="s">
        <v>6719</v>
      </c>
      <c r="Q51" s="335" t="s">
        <v>6720</v>
      </c>
      <c r="R51" s="320" t="s">
        <v>6721</v>
      </c>
      <c r="S51" s="321" t="s">
        <v>6722</v>
      </c>
      <c r="T51" s="143" t="s">
        <v>6723</v>
      </c>
      <c r="U51" s="30"/>
      <c r="V51" s="30"/>
      <c r="W51" s="30"/>
      <c r="X51" s="30"/>
      <c r="Y51" s="30"/>
      <c r="Z51" s="30"/>
    </row>
    <row r="52">
      <c r="A52" s="314" t="s">
        <v>6724</v>
      </c>
      <c r="B52" s="137" t="s">
        <v>6725</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6726</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6727</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6728</v>
      </c>
      <c r="P52" s="316" t="s">
        <v>6729</v>
      </c>
      <c r="Q52" s="335" t="s">
        <v>6730</v>
      </c>
      <c r="R52" s="323" t="s">
        <v>6731</v>
      </c>
      <c r="S52" s="321" t="s">
        <v>6732</v>
      </c>
      <c r="T52" s="137" t="s">
        <v>6733</v>
      </c>
      <c r="U52" s="30"/>
      <c r="V52" s="30"/>
      <c r="W52" s="30"/>
      <c r="X52" s="30"/>
      <c r="Y52" s="30"/>
      <c r="Z52" s="30"/>
    </row>
    <row r="53">
      <c r="A53" s="314" t="s">
        <v>6734</v>
      </c>
      <c r="B53" s="137" t="s">
        <v>6735</v>
      </c>
      <c r="C53" s="314" t="s">
        <v>6736</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6737</v>
      </c>
      <c r="F53" s="137" t="s">
        <v>6738</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6739</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6740</v>
      </c>
      <c r="P53" s="316" t="s">
        <v>6741</v>
      </c>
      <c r="Q53" s="335" t="s">
        <v>6742</v>
      </c>
      <c r="R53" s="336" t="s">
        <v>6743</v>
      </c>
      <c r="S53" s="321" t="s">
        <v>6744</v>
      </c>
      <c r="T53" s="143" t="s">
        <v>6745</v>
      </c>
      <c r="U53" s="30"/>
      <c r="V53" s="30"/>
      <c r="W53" s="30"/>
      <c r="X53" s="30"/>
      <c r="Y53" s="30"/>
      <c r="Z53" s="30"/>
    </row>
    <row r="54">
      <c r="A54" s="314" t="s">
        <v>6746</v>
      </c>
      <c r="B54" s="137" t="s">
        <v>6747</v>
      </c>
      <c r="C54" s="314" t="s">
        <v>6748</v>
      </c>
      <c r="D54" s="137" t="s">
        <v>6749</v>
      </c>
      <c r="E54" s="314" t="s">
        <v>6750</v>
      </c>
      <c r="F54" s="137" t="s">
        <v>6751</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6752</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6753</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6754</v>
      </c>
      <c r="P54" s="316" t="s">
        <v>6755</v>
      </c>
      <c r="Q54" s="335" t="s">
        <v>6756</v>
      </c>
      <c r="R54" s="323" t="s">
        <v>6757</v>
      </c>
      <c r="S54" s="321" t="s">
        <v>6758</v>
      </c>
      <c r="T54" s="143" t="s">
        <v>6759</v>
      </c>
      <c r="U54" s="30"/>
      <c r="V54" s="30"/>
      <c r="W54" s="30"/>
      <c r="X54" s="30"/>
      <c r="Y54" s="30"/>
      <c r="Z54" s="30"/>
    </row>
    <row r="55">
      <c r="A55" s="314" t="s">
        <v>6760</v>
      </c>
      <c r="B55" s="137" t="s">
        <v>6761</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6762</v>
      </c>
      <c r="F55" s="137" t="s">
        <v>6763</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6764</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6765</v>
      </c>
      <c r="Q55" s="335" t="s">
        <v>6766</v>
      </c>
      <c r="R55" s="320" t="s">
        <v>6767</v>
      </c>
      <c r="S55" s="321" t="s">
        <v>6768</v>
      </c>
      <c r="T55" s="143" t="s">
        <v>6769</v>
      </c>
      <c r="U55" s="30"/>
      <c r="V55" s="30"/>
      <c r="W55" s="30"/>
      <c r="X55" s="30"/>
      <c r="Y55" s="30"/>
      <c r="Z55" s="30"/>
    </row>
    <row r="56">
      <c r="A56" s="314" t="s">
        <v>6770</v>
      </c>
      <c r="B56" s="316" t="s">
        <v>6771</v>
      </c>
      <c r="C56" s="314" t="s">
        <v>6772</v>
      </c>
      <c r="D56" s="137" t="s">
        <v>6773</v>
      </c>
      <c r="E56" s="314" t="s">
        <v>6774</v>
      </c>
      <c r="F56" s="137" t="s">
        <v>6775</v>
      </c>
      <c r="G56" s="321" t="str">
        <f>IFERROR(__xludf.DUMMYFUNCTION("GOOGLETRANSLATE(A56,""zh-tw"",""zh"")"),"炎天娃娃")</f>
        <v>炎天娃娃</v>
      </c>
      <c r="H56" s="143" t="str">
        <f>IFERROR(__xludf.DUMMYFUNCTION("GOOGLETRANSLATE(B56,""zh-tw"",""zh"")"),"魔抗：10
幸运：10
第二天炎热")</f>
        <v>魔抗：10
幸运：10
第二天炎热</v>
      </c>
      <c r="I56" s="314" t="s">
        <v>6774</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6776</v>
      </c>
      <c r="P56" s="316" t="s">
        <v>6777</v>
      </c>
      <c r="Q56" s="339" t="s">
        <v>6778</v>
      </c>
      <c r="R56" s="320" t="s">
        <v>6779</v>
      </c>
      <c r="S56" s="321" t="s">
        <v>6780</v>
      </c>
      <c r="T56" s="143" t="s">
        <v>6781</v>
      </c>
      <c r="U56" s="30"/>
      <c r="V56" s="30"/>
      <c r="W56" s="30"/>
      <c r="X56" s="30"/>
      <c r="Y56" s="30"/>
      <c r="Z56" s="30"/>
    </row>
    <row r="57">
      <c r="A57" s="314" t="s">
        <v>6782</v>
      </c>
      <c r="B57" s="137" t="s">
        <v>6783</v>
      </c>
      <c r="C57" s="314" t="s">
        <v>6784</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6785</v>
      </c>
      <c r="F57" s="137" t="s">
        <v>6786</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6787</v>
      </c>
      <c r="J57" s="137" t="s">
        <v>6788</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15" t="s">
        <v>6789</v>
      </c>
      <c r="P57" s="316" t="s">
        <v>6790</v>
      </c>
      <c r="Q57" s="335" t="s">
        <v>6791</v>
      </c>
      <c r="R57" s="323" t="s">
        <v>6792</v>
      </c>
      <c r="S57" s="321" t="s">
        <v>6793</v>
      </c>
      <c r="T57" s="143" t="s">
        <v>6794</v>
      </c>
      <c r="U57" s="30"/>
      <c r="V57" s="30"/>
      <c r="W57" s="30"/>
      <c r="X57" s="30"/>
      <c r="Y57" s="30"/>
      <c r="Z57" s="30"/>
    </row>
    <row r="58">
      <c r="A58" s="321" t="s">
        <v>6795</v>
      </c>
      <c r="B58" s="143" t="s">
        <v>6796</v>
      </c>
      <c r="C58" s="314" t="s">
        <v>6797</v>
      </c>
      <c r="D58" s="143" t="s">
        <v>6798</v>
      </c>
      <c r="E58" s="321" t="s">
        <v>6799</v>
      </c>
      <c r="F58" s="143" t="s">
        <v>6800</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6799</v>
      </c>
      <c r="P58" s="137" t="s">
        <v>6801</v>
      </c>
      <c r="Q58" s="340" t="s">
        <v>6802</v>
      </c>
      <c r="R58" s="341" t="s">
        <v>6803</v>
      </c>
      <c r="S58" s="321" t="s">
        <v>6804</v>
      </c>
      <c r="T58" s="143" t="s">
        <v>6805</v>
      </c>
      <c r="U58" s="30"/>
      <c r="V58" s="30"/>
      <c r="W58" s="30"/>
      <c r="X58" s="30"/>
      <c r="Y58" s="30"/>
      <c r="Z58" s="30"/>
    </row>
    <row r="59">
      <c r="A59" s="321" t="s">
        <v>6806</v>
      </c>
      <c r="B59" s="143" t="s">
        <v>6807</v>
      </c>
      <c r="C59" s="314" t="s">
        <v>6808</v>
      </c>
      <c r="D59" s="143" t="s">
        <v>6809</v>
      </c>
      <c r="E59" s="321" t="s">
        <v>6810</v>
      </c>
      <c r="F59" s="137" t="s">
        <v>6811</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6812</v>
      </c>
      <c r="P59" s="137" t="s">
        <v>6813</v>
      </c>
      <c r="Q59" s="342" t="s">
        <v>6814</v>
      </c>
      <c r="R59" s="323" t="s">
        <v>6815</v>
      </c>
      <c r="S59" s="321" t="s">
        <v>6816</v>
      </c>
      <c r="T59" s="143" t="s">
        <v>6817</v>
      </c>
      <c r="U59" s="30"/>
      <c r="V59" s="30"/>
      <c r="W59" s="30"/>
      <c r="X59" s="30"/>
      <c r="Y59" s="30"/>
      <c r="Z59" s="30"/>
    </row>
    <row r="60">
      <c r="A60" s="321" t="s">
        <v>6818</v>
      </c>
      <c r="B60" s="143" t="s">
        <v>6819</v>
      </c>
      <c r="C60" s="314" t="s">
        <v>6820</v>
      </c>
      <c r="D60" s="137" t="s">
        <v>6821</v>
      </c>
      <c r="E60" s="314" t="s">
        <v>6822</v>
      </c>
      <c r="F60" s="137" t="s">
        <v>6823</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6824</v>
      </c>
      <c r="P60" s="137" t="s">
        <v>6825</v>
      </c>
      <c r="Q60" s="340" t="s">
        <v>6826</v>
      </c>
      <c r="R60" s="323" t="s">
        <v>6827</v>
      </c>
      <c r="S60" s="321" t="s">
        <v>6828</v>
      </c>
      <c r="T60" s="137" t="s">
        <v>6829</v>
      </c>
      <c r="U60" s="30"/>
      <c r="V60" s="30"/>
      <c r="W60" s="30"/>
      <c r="X60" s="30"/>
      <c r="Y60" s="30"/>
      <c r="Z60" s="30"/>
    </row>
    <row r="61">
      <c r="A61" s="314" t="s">
        <v>6830</v>
      </c>
      <c r="B61" s="137" t="s">
        <v>6831</v>
      </c>
      <c r="C61" s="314" t="s">
        <v>6832</v>
      </c>
      <c r="D61" s="137" t="s">
        <v>6833</v>
      </c>
      <c r="E61" s="314" t="s">
        <v>6834</v>
      </c>
      <c r="F61" s="137" t="s">
        <v>6835</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6836</v>
      </c>
      <c r="P61" s="137" t="s">
        <v>6837</v>
      </c>
      <c r="Q61" s="335" t="s">
        <v>6838</v>
      </c>
      <c r="R61" s="323" t="s">
        <v>6839</v>
      </c>
      <c r="S61" s="321" t="s">
        <v>6840</v>
      </c>
      <c r="T61" s="137" t="s">
        <v>6841</v>
      </c>
      <c r="U61" s="30"/>
      <c r="V61" s="30"/>
      <c r="W61" s="30"/>
      <c r="X61" s="30"/>
      <c r="Y61" s="30"/>
      <c r="Z61" s="30"/>
    </row>
    <row r="62">
      <c r="A62" s="322" t="s">
        <v>6842</v>
      </c>
      <c r="B62" s="137" t="s">
        <v>6843</v>
      </c>
      <c r="C62" s="322" t="s">
        <v>6844</v>
      </c>
      <c r="D62" s="137" t="s">
        <v>6845</v>
      </c>
      <c r="E62" s="322" t="s">
        <v>6846</v>
      </c>
      <c r="F62" s="137" t="s">
        <v>6847</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6848</v>
      </c>
      <c r="P62" s="137" t="s">
        <v>6849</v>
      </c>
      <c r="Q62" s="335" t="s">
        <v>6850</v>
      </c>
      <c r="R62" s="323" t="s">
        <v>6851</v>
      </c>
      <c r="S62" s="321" t="s">
        <v>6846</v>
      </c>
      <c r="T62" s="143" t="s">
        <v>6852</v>
      </c>
      <c r="U62" s="30"/>
      <c r="V62" s="30"/>
      <c r="W62" s="30"/>
      <c r="X62" s="30"/>
      <c r="Y62" s="30"/>
      <c r="Z62" s="30"/>
    </row>
    <row r="63">
      <c r="A63" s="322" t="s">
        <v>6853</v>
      </c>
      <c r="B63" s="47" t="s">
        <v>6854</v>
      </c>
      <c r="C63" s="314" t="s">
        <v>6855</v>
      </c>
      <c r="D63" s="137" t="s">
        <v>6856</v>
      </c>
      <c r="E63" s="322" t="s">
        <v>6857</v>
      </c>
      <c r="F63" s="47" t="s">
        <v>6858</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6859</v>
      </c>
      <c r="P63" s="143" t="s">
        <v>6860</v>
      </c>
      <c r="Q63" s="335" t="s">
        <v>6861</v>
      </c>
      <c r="R63" s="336" t="s">
        <v>6862</v>
      </c>
      <c r="S63" s="321" t="s">
        <v>6863</v>
      </c>
      <c r="T63" s="143" t="s">
        <v>6864</v>
      </c>
      <c r="U63" s="30"/>
      <c r="V63" s="30"/>
      <c r="W63" s="30"/>
      <c r="X63" s="30"/>
      <c r="Y63" s="30"/>
      <c r="Z63" s="30"/>
    </row>
    <row r="64">
      <c r="A64" s="314" t="s">
        <v>6865</v>
      </c>
      <c r="B64" s="137" t="s">
        <v>6866</v>
      </c>
      <c r="C64" s="314" t="s">
        <v>6867</v>
      </c>
      <c r="D64" s="143" t="str">
        <f>IFERROR(__xludf.DUMMYFUNCTION("GOOGLETRANSLATE(B64,""zh-tw"",""ja"")"),"物理防御力：3
魔法耐性：10
草の上にいる間、スタミナが回復する")</f>
        <v>物理防御力：3
魔法耐性：10
草の上にいる間、スタミナが回復する</v>
      </c>
      <c r="E64" s="314" t="s">
        <v>6868</v>
      </c>
      <c r="F64" s="137" t="s">
        <v>6869</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6870</v>
      </c>
      <c r="R64" s="320" t="s">
        <v>6871</v>
      </c>
      <c r="S64" s="321" t="s">
        <v>6872</v>
      </c>
      <c r="T64" s="143" t="s">
        <v>6873</v>
      </c>
      <c r="U64" s="30"/>
      <c r="V64" s="30"/>
      <c r="W64" s="30"/>
      <c r="X64" s="30"/>
      <c r="Y64" s="30"/>
      <c r="Z64" s="30"/>
    </row>
    <row r="65">
      <c r="A65" s="314" t="s">
        <v>6874</v>
      </c>
      <c r="B65" s="137" t="s">
        <v>6875</v>
      </c>
      <c r="C65" s="314" t="s">
        <v>6876</v>
      </c>
      <c r="D65" s="143" t="str">
        <f>IFERROR(__xludf.DUMMYFUNCTION("GOOGLETRANSLATE(B65,""zh-tw"",""ja"")"),"物理防御力：1 わずかに増加：最大スタミナ、移動速度、装備容量")</f>
        <v>物理防御力：1 わずかに増加：最大スタミナ、移動速度、装備容量</v>
      </c>
      <c r="E65" s="314" t="s">
        <v>6877</v>
      </c>
      <c r="F65" s="137" t="s">
        <v>6878</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Aumentos leves: Resistencia máxima, velocidad de movimiento, capacidad de equipo")</f>
        <v>Defensa física: 1 Aumentos leves: Resistencia máxima, velocidad de movimiento, capacidad de equipo</v>
      </c>
      <c r="K65" s="321" t="str">
        <f>IFERROR(__xludf.DUMMYFUNCTION("GOOGLETRANSLATE(A65,""zh-tw"",""KO"")"),"헌터스 벨트")</f>
        <v>헌터스 벨트</v>
      </c>
      <c r="L65" s="143" t="str">
        <f>IFERROR(__xludf.DUMMYFUNCTION("GOOGLETRANSLATE(B65,""zh-tw"",""KO"")"),"물리 방어력: 1 약간 증가: 최대 체력, 이동 속도, 장비 소지량")</f>
        <v>물리 방어력: 1 약간 증가: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17" t="str">
        <f>IFERROR(__xludf.DUMMYFUNCTION("GOOGLETRANSLATE(A65,""zh-tw"",""de"")"),"Jägergürtel")</f>
        <v>Jägergürtel</v>
      </c>
      <c r="P65" s="318"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5" t="s">
        <v>6879</v>
      </c>
      <c r="R65" s="323" t="s">
        <v>6880</v>
      </c>
      <c r="S65" s="321" t="s">
        <v>6881</v>
      </c>
      <c r="T65" s="143" t="s">
        <v>6882</v>
      </c>
      <c r="U65" s="30"/>
      <c r="V65" s="30"/>
      <c r="W65" s="30"/>
      <c r="X65" s="30"/>
      <c r="Y65" s="30"/>
      <c r="Z65" s="30"/>
    </row>
    <row r="66">
      <c r="A66" s="314" t="s">
        <v>6883</v>
      </c>
      <c r="B66" s="137" t="s">
        <v>6884</v>
      </c>
      <c r="C66" s="314" t="s">
        <v>6885</v>
      </c>
      <c r="D66" s="143" t="str">
        <f>IFERROR(__xludf.DUMMYFUNCTION("GOOGLETRANSLATE(B66,""zh-tw"",""ja"")"),"物理攻撃力：6
幸運：20
肉のドロップ率が2倍（魚のフライを含む）")</f>
        <v>物理攻撃力：6
幸運：20
肉のドロップ率が2倍（魚のフライを含む）</v>
      </c>
      <c r="E66" s="314" t="s">
        <v>6886</v>
      </c>
      <c r="F66" s="137" t="s">
        <v>6887</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6888</v>
      </c>
      <c r="R66" s="320" t="s">
        <v>6889</v>
      </c>
      <c r="S66" s="321" t="s">
        <v>6890</v>
      </c>
      <c r="T66" s="143" t="s">
        <v>6891</v>
      </c>
      <c r="U66" s="30"/>
      <c r="V66" s="30"/>
      <c r="W66" s="30"/>
      <c r="X66" s="30"/>
      <c r="Y66" s="30"/>
      <c r="Z66" s="30"/>
    </row>
    <row r="67">
      <c r="A67" s="314" t="s">
        <v>6892</v>
      </c>
      <c r="B67" s="137" t="s">
        <v>6893</v>
      </c>
      <c r="C67" s="314" t="s">
        <v>6894</v>
      </c>
      <c r="D67" s="143" t="str">
        <f>IFERROR(__xludf.DUMMYFUNCTION("GOOGLETRANSLATE(B67,""zh-tw"",""ja"")"),"物理防御力：20
魔法耐性：60
水泳速度が上昇し、陸上移動速度が低下")</f>
        <v>物理防御力：20
魔法耐性：60
水泳速度が上昇し、陸上移動速度が低下</v>
      </c>
      <c r="E67" s="314" t="s">
        <v>6895</v>
      </c>
      <c r="F67" s="137" t="s">
        <v>6896</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6897</v>
      </c>
      <c r="R67" s="320" t="s">
        <v>6898</v>
      </c>
      <c r="S67" s="321" t="s">
        <v>6899</v>
      </c>
      <c r="T67" s="143" t="s">
        <v>6900</v>
      </c>
      <c r="U67" s="30"/>
      <c r="V67" s="30"/>
      <c r="W67" s="30"/>
      <c r="X67" s="30"/>
      <c r="Y67" s="30"/>
      <c r="Z67" s="30"/>
    </row>
    <row r="68">
      <c r="A68" s="314" t="s">
        <v>6901</v>
      </c>
      <c r="B68" s="137" t="s">
        <v>6902</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6903</v>
      </c>
      <c r="F68" s="137" t="s">
        <v>6904</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6905</v>
      </c>
      <c r="R68" s="336" t="s">
        <v>6906</v>
      </c>
      <c r="S68" s="321" t="s">
        <v>6907</v>
      </c>
      <c r="T68" s="143" t="s">
        <v>6908</v>
      </c>
      <c r="U68" s="30"/>
      <c r="V68" s="30"/>
      <c r="W68" s="30"/>
      <c r="X68" s="30"/>
      <c r="Y68" s="30"/>
      <c r="Z68" s="30"/>
    </row>
    <row r="69">
      <c r="A69" s="314" t="s">
        <v>6909</v>
      </c>
      <c r="B69" s="137" t="s">
        <v>6910</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6911</v>
      </c>
      <c r="F69" s="137" t="s">
        <v>6912</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6913</v>
      </c>
      <c r="R69" s="323" t="s">
        <v>6914</v>
      </c>
      <c r="S69" s="321" t="s">
        <v>6915</v>
      </c>
      <c r="T69" s="143" t="s">
        <v>6916</v>
      </c>
      <c r="U69" s="30"/>
      <c r="V69" s="30"/>
      <c r="W69" s="30"/>
      <c r="X69" s="30"/>
      <c r="Y69" s="30"/>
      <c r="Z69" s="30"/>
    </row>
    <row r="70">
      <c r="A70" s="314" t="s">
        <v>6917</v>
      </c>
      <c r="B70" s="137" t="s">
        <v>6918</v>
      </c>
      <c r="C70" s="314" t="s">
        <v>6919</v>
      </c>
      <c r="D70" s="143" t="str">
        <f>IFERROR(__xludf.DUMMYFUNCTION("GOOGLETRANSLATE(B70,""zh-tw"",""ja"")"),"物理攻撃力：4
物理防御力：1
物理攻撃力 +15%
")</f>
        <v>物理攻撃力：4
物理防御力：1
物理攻撃力 +15%
</v>
      </c>
      <c r="E70" s="314" t="s">
        <v>6920</v>
      </c>
      <c r="F70" s="137" t="s">
        <v>6921</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6922</v>
      </c>
      <c r="R70" s="323" t="s">
        <v>6923</v>
      </c>
      <c r="S70" s="321" t="s">
        <v>6924</v>
      </c>
      <c r="T70" s="143" t="s">
        <v>6925</v>
      </c>
      <c r="U70" s="30"/>
      <c r="V70" s="30"/>
      <c r="W70" s="30"/>
      <c r="X70" s="30"/>
      <c r="Y70" s="30"/>
      <c r="Z70" s="30"/>
    </row>
    <row r="71">
      <c r="A71" s="314" t="s">
        <v>6926</v>
      </c>
      <c r="B71" s="137" t="s">
        <v>6927</v>
      </c>
      <c r="C71" s="314" t="s">
        <v>6926</v>
      </c>
      <c r="D71" s="137" t="s">
        <v>6928</v>
      </c>
      <c r="E71" s="314" t="s">
        <v>6929</v>
      </c>
      <c r="F71" s="137" t="s">
        <v>6930</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6929</v>
      </c>
      <c r="R71" s="336" t="s">
        <v>6931</v>
      </c>
      <c r="S71" s="321" t="s">
        <v>6929</v>
      </c>
      <c r="T71" s="143" t="s">
        <v>6932</v>
      </c>
      <c r="U71" s="30"/>
      <c r="V71" s="30"/>
      <c r="W71" s="30"/>
      <c r="X71" s="30"/>
      <c r="Y71" s="30"/>
      <c r="Z71" s="30"/>
    </row>
    <row r="72">
      <c r="A72" s="314" t="s">
        <v>6933</v>
      </c>
      <c r="B72" s="137" t="s">
        <v>6934</v>
      </c>
      <c r="C72" s="314" t="s">
        <v>6935</v>
      </c>
      <c r="D72" s="143" t="str">
        <f>IFERROR(__xludf.DUMMYFUNCTION("GOOGLETRANSLATE(B72,""zh-tw"",""ja"")"),"物理防御力：15
魔法耐性：10
詳細はヒントをご覧ください")</f>
        <v>物理防御力：15
魔法耐性：10
詳細はヒントをご覧ください</v>
      </c>
      <c r="E72" s="314" t="s">
        <v>6936</v>
      </c>
      <c r="F72" s="137" t="s">
        <v>6937</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6938</v>
      </c>
      <c r="R72" s="320" t="s">
        <v>6939</v>
      </c>
      <c r="S72" s="321" t="s">
        <v>6940</v>
      </c>
      <c r="T72" s="143" t="s">
        <v>6941</v>
      </c>
      <c r="U72" s="30"/>
      <c r="V72" s="30"/>
      <c r="W72" s="30"/>
      <c r="X72" s="30"/>
      <c r="Y72" s="30"/>
      <c r="Z72" s="30"/>
    </row>
    <row r="73">
      <c r="A73" s="314" t="s">
        <v>6942</v>
      </c>
      <c r="B73" s="137" t="s">
        <v>6943</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6944</v>
      </c>
      <c r="F73" s="137" t="s">
        <v>6945</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6946</v>
      </c>
      <c r="R73" s="323" t="s">
        <v>6947</v>
      </c>
      <c r="S73" s="321" t="s">
        <v>6948</v>
      </c>
      <c r="T73" s="143" t="s">
        <v>6949</v>
      </c>
      <c r="U73" s="30"/>
      <c r="V73" s="30"/>
      <c r="W73" s="30"/>
      <c r="X73" s="30"/>
      <c r="Y73" s="30"/>
      <c r="Z73" s="30"/>
    </row>
    <row r="74">
      <c r="A74" s="314" t="s">
        <v>6950</v>
      </c>
      <c r="B74" s="137" t="s">
        <v>6951</v>
      </c>
      <c r="C74" s="314" t="s">
        <v>6952</v>
      </c>
      <c r="D74" s="143" t="str">
        <f>IFERROR(__xludf.DUMMYFUNCTION("GOOGLETRANSLATE(B74,""zh-tw"",""ja"")"),"コマンドタイプの装備
(スキルスロット参照)")</f>
        <v>コマンドタイプの装備
(スキルスロット参照)</v>
      </c>
      <c r="E74" s="314" t="s">
        <v>6953</v>
      </c>
      <c r="F74" s="137" t="s">
        <v>6954</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6955</v>
      </c>
      <c r="R74" s="320" t="s">
        <v>6956</v>
      </c>
      <c r="S74" s="321" t="s">
        <v>6957</v>
      </c>
      <c r="T74" s="143" t="s">
        <v>6958</v>
      </c>
      <c r="U74" s="30"/>
      <c r="V74" s="30"/>
      <c r="W74" s="30"/>
      <c r="X74" s="30"/>
      <c r="Y74" s="30"/>
      <c r="Z74" s="30"/>
    </row>
    <row r="75">
      <c r="A75" s="322" t="s">
        <v>5018</v>
      </c>
      <c r="B75" s="137" t="s">
        <v>6959</v>
      </c>
      <c r="C75" s="314" t="s">
        <v>6960</v>
      </c>
      <c r="D75" s="137" t="s">
        <v>6961</v>
      </c>
      <c r="E75" s="314" t="s">
        <v>5024</v>
      </c>
      <c r="F75" s="137" t="s">
        <v>6962</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6963</v>
      </c>
      <c r="Q75" s="335" t="s">
        <v>5030</v>
      </c>
      <c r="R75" s="320" t="s">
        <v>6964</v>
      </c>
      <c r="S75" s="321" t="s">
        <v>5033</v>
      </c>
      <c r="T75" s="143" t="s">
        <v>6965</v>
      </c>
      <c r="U75" s="30"/>
      <c r="V75" s="30"/>
      <c r="W75" s="30"/>
      <c r="X75" s="30"/>
      <c r="Y75" s="30"/>
      <c r="Z75" s="30"/>
    </row>
    <row r="76">
      <c r="A76" s="321" t="s">
        <v>5036</v>
      </c>
      <c r="B76" s="137" t="s">
        <v>6966</v>
      </c>
      <c r="C76" s="321" t="s">
        <v>5036</v>
      </c>
      <c r="D76" s="137" t="s">
        <v>6967</v>
      </c>
      <c r="E76" s="314" t="s">
        <v>5040</v>
      </c>
      <c r="F76" s="137" t="s">
        <v>6968</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6969</v>
      </c>
      <c r="Q76" s="340" t="s">
        <v>5044</v>
      </c>
      <c r="R76" s="320" t="s">
        <v>6970</v>
      </c>
      <c r="S76" s="321" t="s">
        <v>5046</v>
      </c>
      <c r="T76" s="143" t="s">
        <v>6971</v>
      </c>
      <c r="U76" s="30"/>
      <c r="V76" s="30"/>
      <c r="W76" s="30"/>
      <c r="X76" s="30"/>
      <c r="Y76" s="30"/>
      <c r="Z76" s="30"/>
    </row>
    <row r="77">
      <c r="A77" s="321" t="s">
        <v>6972</v>
      </c>
      <c r="B77" s="137" t="s">
        <v>6973</v>
      </c>
      <c r="C77" s="314" t="s">
        <v>6974</v>
      </c>
      <c r="D77" s="137" t="s">
        <v>6975</v>
      </c>
      <c r="E77" s="314" t="s">
        <v>6976</v>
      </c>
      <c r="F77" s="137" t="s">
        <v>6977</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6978</v>
      </c>
      <c r="P77" s="137" t="s">
        <v>6979</v>
      </c>
      <c r="Q77" s="340" t="s">
        <v>6980</v>
      </c>
      <c r="R77" s="320" t="s">
        <v>6981</v>
      </c>
      <c r="S77" s="321" t="s">
        <v>6982</v>
      </c>
      <c r="T77" s="143" t="s">
        <v>6983</v>
      </c>
      <c r="U77" s="30"/>
      <c r="V77" s="30"/>
      <c r="W77" s="30"/>
      <c r="X77" s="30"/>
      <c r="Y77" s="30"/>
      <c r="Z77" s="30"/>
    </row>
    <row r="78">
      <c r="A78" s="314" t="s">
        <v>6984</v>
      </c>
      <c r="B78" s="137" t="s">
        <v>6985</v>
      </c>
      <c r="C78" s="314" t="s">
        <v>6986</v>
      </c>
      <c r="D78" s="137" t="s">
        <v>6987</v>
      </c>
      <c r="E78" s="314" t="s">
        <v>6988</v>
      </c>
      <c r="F78" s="137" t="s">
        <v>6989</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6990</v>
      </c>
      <c r="P78" s="137" t="s">
        <v>6991</v>
      </c>
      <c r="Q78" s="335" t="s">
        <v>6988</v>
      </c>
      <c r="R78" s="323" t="s">
        <v>6992</v>
      </c>
      <c r="S78" s="321" t="s">
        <v>6993</v>
      </c>
      <c r="T78" s="143" t="s">
        <v>6994</v>
      </c>
      <c r="U78" s="30"/>
      <c r="V78" s="30"/>
      <c r="W78" s="30"/>
      <c r="X78" s="30"/>
      <c r="Y78" s="30"/>
      <c r="Z78" s="30"/>
    </row>
    <row r="79">
      <c r="A79" s="314" t="s">
        <v>6995</v>
      </c>
      <c r="B79" s="137" t="s">
        <v>6996</v>
      </c>
      <c r="C79" s="314" t="s">
        <v>6997</v>
      </c>
      <c r="D79" s="137" t="s">
        <v>6998</v>
      </c>
      <c r="E79" s="314" t="s">
        <v>6999</v>
      </c>
      <c r="F79" s="137" t="s">
        <v>7000</v>
      </c>
      <c r="G79" s="321" t="str">
        <f>IFERROR(__xludf.DUMMYFUNCTION("GOOGLETRANSLATE(A79,""zh-tw"",""zh"")"),"Ruika的万宝槌")</f>
        <v>Ruika的万宝槌</v>
      </c>
      <c r="H79" s="143" t="str">
        <f>IFERROR(__xludf.DUMMYFUNCTION("GOOGLETRANSLATE(B79,""zh-tw"",""zh"")"),"幸运：777
增加掉落率
※此为作弊神器，请参考TIPS")</f>
        <v>幸运：777
增加掉落率
※此为作弊神器，请参考TIPS</v>
      </c>
      <c r="I79" s="321" t="str">
        <f>IFERROR(__xludf.DUMMYFUNCTION("GOOGLETRANSLATE(A79,""zh-tw"",""es-MX"")"),"El martillo de Ruika")</f>
        <v>El martillo de Ruika</v>
      </c>
      <c r="J79" s="143"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1" t="str">
        <f>IFERROR(__xludf.DUMMYFUNCTION("GOOGLETRANSLATE(A79,""zh-tw"",""KO"")"),"루이카의 망치")</f>
        <v>루이카의 망치</v>
      </c>
      <c r="L79" s="143"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17" t="str">
        <f>IFERROR(__xludf.DUMMYFUNCTION("GOOGLETRANSLATE(A79,""zh-tw"",""ru"")"),"Молоток Руики")</f>
        <v>Молоток Руики</v>
      </c>
      <c r="N79" s="31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17" t="str">
        <f>IFERROR(__xludf.DUMMYFUNCTION("GOOGLETRANSLATE(A79,""zh-tw"",""de"")"),"Ruikas Hammer")</f>
        <v>Ruikas Hammer</v>
      </c>
      <c r="P79" s="318" t="str">
        <f>IFERROR(__xludf.DUMMYFUNCTION("GOOGLETRANSLATE(B79,""zh-tw"",""de"")"),"Glück: 777
Erhöht die Drop-Rate
※Dies ist ein Cheat-Tool. Bitte beachte die Tipps.")</f>
        <v>Glück: 777
Erhöht die Drop-Rate
※Dies ist ein Cheat-Tool. Bitte beachte die Tipps.</v>
      </c>
      <c r="Q79" s="339" t="s">
        <v>7001</v>
      </c>
      <c r="R79" s="323" t="s">
        <v>7002</v>
      </c>
      <c r="S79" s="139" t="s">
        <v>7003</v>
      </c>
      <c r="T79" s="137" t="s">
        <v>7004</v>
      </c>
      <c r="U79" s="30"/>
      <c r="V79" s="30"/>
      <c r="W79" s="30"/>
      <c r="X79" s="30"/>
      <c r="Y79" s="30"/>
      <c r="Z79" s="30"/>
    </row>
    <row r="80">
      <c r="A80" s="314" t="s">
        <v>7005</v>
      </c>
      <c r="B80" s="137" t="s">
        <v>7006</v>
      </c>
      <c r="C80" s="314" t="s">
        <v>7007</v>
      </c>
      <c r="D80" s="137" t="s">
        <v>7008</v>
      </c>
      <c r="E80" s="314" t="s">
        <v>7009</v>
      </c>
      <c r="F80" s="137" t="s">
        <v>7010</v>
      </c>
      <c r="G80" s="321" t="str">
        <f>IFERROR(__xludf.DUMMYFUNCTION("GOOGLETRANSLATE(A80,""zh-tw"",""zh"")"),"Mio的急救箱")</f>
        <v>Mio的急救箱</v>
      </c>
      <c r="H80" s="143" t="str">
        <f>IFERROR(__xludf.DUMMYFUNCTION("GOOGLETRANSLATE(B80,""zh-tw"",""zh"")"),"每秒回复血
※此为作弊神器，请参考TIPS")</f>
        <v>每秒回复血
※此为作弊神器，请参考TIPS</v>
      </c>
      <c r="I80" s="321" t="str">
        <f>IFERROR(__xludf.DUMMYFUNCTION("GOOGLETRANSLATE(A80,""zh-tw"",""es-MX"")"),"Botiquín de primeros auxilios de Mio")</f>
        <v>Botiquín de primeros auxilios de Mio</v>
      </c>
      <c r="J80" s="143" t="str">
        <f>IFERROR(__xludf.DUMMYFUNCTION("GOOGLETRANSLATE(B80,""zh-tw"",""es-MX"")"),"Regenera salud por segundo.
※Esta herramienta es una trampa; consulta los consejos.")</f>
        <v>Regenera salud por segundo.
※Esta herramienta es una trampa; consulta los consejos.</v>
      </c>
      <c r="K80" s="321" t="str">
        <f>IFERROR(__xludf.DUMMYFUNCTION("GOOGLETRANSLATE(A80,""zh-tw"",""KO"")"),"미오의 구급상자")</f>
        <v>미오의 구급상자</v>
      </c>
      <c r="L80" s="143"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17" t="str">
        <f>IFERROR(__xludf.DUMMYFUNCTION("GOOGLETRANSLATE(A80,""zh-tw"",""de"")"),"Mios Erste-Hilfe-Set")</f>
        <v>Mios Erste-Hilfe-Set</v>
      </c>
      <c r="P80" s="318" t="str">
        <f>IFERROR(__xludf.DUMMYFUNCTION("GOOGLETRANSLATE(B80,""zh-tw"",""de"")"),"Regeneriert Gesundheit pro Sekunde
※Dies ist ein Cheat-Tool. Bitte beachte die Tipps.")</f>
        <v>Regeneriert Gesundheit pro Sekunde
※Dies ist ein Cheat-Tool. Bitte beachte die Tipps.</v>
      </c>
      <c r="Q80" s="339" t="s">
        <v>7011</v>
      </c>
      <c r="R80" s="323" t="s">
        <v>7012</v>
      </c>
      <c r="S80" s="139" t="s">
        <v>7013</v>
      </c>
      <c r="T80" s="137" t="s">
        <v>7014</v>
      </c>
      <c r="U80" s="30"/>
      <c r="V80" s="30"/>
      <c r="W80" s="30"/>
      <c r="X80" s="30"/>
      <c r="Y80" s="30"/>
      <c r="Z80" s="30"/>
    </row>
    <row r="81">
      <c r="A81" s="314" t="s">
        <v>7015</v>
      </c>
      <c r="B81" s="137" t="s">
        <v>7016</v>
      </c>
      <c r="C81" s="314" t="s">
        <v>7017</v>
      </c>
      <c r="D81" s="137" t="s">
        <v>7018</v>
      </c>
      <c r="E81" s="314" t="s">
        <v>7019</v>
      </c>
      <c r="F81" s="137" t="s">
        <v>7020</v>
      </c>
      <c r="G81" s="321" t="str">
        <f>IFERROR(__xludf.DUMMYFUNCTION("GOOGLETRANSLATE(A81,""zh-tw"",""zh"")"),"白湮的金手指")</f>
        <v>白湮的金手指</v>
      </c>
      <c r="H81" s="143" t="str">
        <f>IFERROR(__xludf.DUMMYFUNCTION("GOOGLETRANSLATE(B81,""zh-tw"",""zh"")"),"武器无消耗
※此为作弊神器，请参考TIPS")</f>
        <v>武器无消耗
※此为作弊神器，请参考TIPS</v>
      </c>
      <c r="I81" s="321" t="str">
        <f>IFERROR(__xludf.DUMMYFUNCTION("GOOGLETRANSLATE(A81,""zh-tw"",""es-MX"")"),"El dedo dorado de Bai Yan")</f>
        <v>El dedo dorado de Bai Yan</v>
      </c>
      <c r="J81" s="143" t="str">
        <f>IFERROR(__xludf.DUMMYFUNCTION("GOOGLETRANSLATE(B81,""zh-tw"",""es-MX"")"),"El arma es gratuita.
※Esta es una herramienta para hacer trampa; consulta los CONSEJOS.")</f>
        <v>El arma es gratuita.
※Esta es una herramienta para hacer trampa; consulta los CONSEJOS.</v>
      </c>
      <c r="K81" s="321" t="str">
        <f>IFERROR(__xludf.DUMMYFUNCTION("GOOGLETRANSLATE(A81,""zh-tw"",""KO"")"),"바이옌의 황금손가락")</f>
        <v>바이옌의 황금손가락</v>
      </c>
      <c r="L81" s="143" t="str">
        <f>IFERROR(__xludf.DUMMYFUNCTION("GOOGLETRANSLATE(B81,""zh-tw"",""KO"")"),"무기는 비용이 들지 않습니다.
※이것은 치트 도구입니다. 팁을 참고하세요.")</f>
        <v>무기는 비용이 들지 않습니다.
※이것은 치트 도구입니다. 팁을 참고하세요.</v>
      </c>
      <c r="M81" s="317" t="str">
        <f>IFERROR(__xludf.DUMMYFUNCTION("GOOGLETRANSLATE(A81,""zh-tw"",""ru"")"),"Золотой палец Бай Яня")</f>
        <v>Золотой палец Бай Яня</v>
      </c>
      <c r="N81" s="31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17" t="str">
        <f>IFERROR(__xludf.DUMMYFUNCTION("GOOGLETRANSLATE(A81,""zh-tw"",""de"")"),"Bai Yans goldener Finger")</f>
        <v>Bai Yans goldener Finger</v>
      </c>
      <c r="P81" s="318" t="str">
        <f>IFERROR(__xludf.DUMMYFUNCTION("GOOGLETRANSLATE(B81,""zh-tw"",""de"")"),"Die Waffe ist kostenlos.
※Dies ist ein Cheat-Tool; bitte beachte die Tipps.")</f>
        <v>Die Waffe ist kostenlos.
※Dies ist ein Cheat-Tool; bitte beachte die Tipps.</v>
      </c>
      <c r="Q81" s="339" t="s">
        <v>7021</v>
      </c>
      <c r="R81" s="323" t="s">
        <v>7022</v>
      </c>
      <c r="S81" s="139" t="s">
        <v>7023</v>
      </c>
      <c r="T81" s="137" t="s">
        <v>7024</v>
      </c>
      <c r="U81" s="30"/>
      <c r="V81" s="30"/>
      <c r="W81" s="30"/>
      <c r="X81" s="30"/>
      <c r="Y81" s="30"/>
      <c r="Z81" s="30"/>
    </row>
    <row r="82">
      <c r="A82" s="321" t="s">
        <v>7025</v>
      </c>
      <c r="B82" s="143" t="s">
        <v>7026</v>
      </c>
      <c r="C82" s="321" t="s">
        <v>7027</v>
      </c>
      <c r="D82" s="143" t="s">
        <v>7028</v>
      </c>
      <c r="E82" s="321" t="s">
        <v>7029</v>
      </c>
      <c r="F82" s="143" t="s">
        <v>7030</v>
      </c>
      <c r="G82" s="321" t="s">
        <v>7031</v>
      </c>
      <c r="H82" s="143" t="s">
        <v>7032</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7033</v>
      </c>
      <c r="S82" s="139" t="s">
        <v>7034</v>
      </c>
      <c r="T82" s="143" t="s">
        <v>7035</v>
      </c>
      <c r="U82" s="30"/>
      <c r="V82" s="30"/>
      <c r="W82" s="30"/>
      <c r="X82" s="30"/>
      <c r="Y82" s="30"/>
      <c r="Z82" s="30"/>
    </row>
    <row r="83">
      <c r="A83" s="321" t="s">
        <v>7036</v>
      </c>
      <c r="B83" s="143" t="s">
        <v>7037</v>
      </c>
      <c r="C83" s="321" t="s">
        <v>7038</v>
      </c>
      <c r="D83" s="143" t="s">
        <v>7039</v>
      </c>
      <c r="E83" s="321" t="s">
        <v>7040</v>
      </c>
      <c r="F83" s="143" t="s">
        <v>7041</v>
      </c>
      <c r="G83" s="321" t="s">
        <v>7042</v>
      </c>
      <c r="H83" s="143" t="s">
        <v>7043</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7044</v>
      </c>
      <c r="R83" s="172" t="s">
        <v>7045</v>
      </c>
      <c r="S83" s="139" t="s">
        <v>7046</v>
      </c>
      <c r="T83" s="143" t="s">
        <v>7047</v>
      </c>
      <c r="U83" s="30"/>
      <c r="V83" s="30"/>
      <c r="W83" s="30"/>
      <c r="X83" s="30"/>
      <c r="Y83" s="30"/>
      <c r="Z83" s="30"/>
    </row>
    <row r="84">
      <c r="A84" s="314" t="s">
        <v>7048</v>
      </c>
      <c r="B84" s="137" t="s">
        <v>7049</v>
      </c>
      <c r="C84" s="321"/>
      <c r="D84" s="143"/>
      <c r="E84" s="321"/>
      <c r="F84" s="143"/>
      <c r="G84" s="321"/>
      <c r="H84" s="143"/>
      <c r="I84" s="321"/>
      <c r="J84" s="143"/>
      <c r="K84" s="321"/>
      <c r="L84" s="143"/>
      <c r="M84" s="321"/>
      <c r="N84" s="143"/>
      <c r="O84" s="321"/>
      <c r="P84" s="143"/>
      <c r="Q84" s="345"/>
      <c r="R84" s="346"/>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7050</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7051</v>
      </c>
      <c r="B2" s="88" t="s">
        <v>7052</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7053</v>
      </c>
      <c r="P2" s="88" t="s">
        <v>7054</v>
      </c>
      <c r="Q2" s="351" t="s">
        <v>7055</v>
      </c>
      <c r="R2" s="81" t="s">
        <v>7056</v>
      </c>
      <c r="S2" s="311" t="s">
        <v>7057</v>
      </c>
      <c r="T2" s="85" t="s">
        <v>7058</v>
      </c>
      <c r="U2" s="352"/>
      <c r="V2" s="352"/>
    </row>
    <row r="3">
      <c r="A3" s="314" t="s">
        <v>7059</v>
      </c>
      <c r="B3" s="137" t="s">
        <v>7060</v>
      </c>
      <c r="C3" s="314" t="s">
        <v>7061</v>
      </c>
      <c r="D3" s="137" t="s">
        <v>7062</v>
      </c>
      <c r="E3" s="314" t="s">
        <v>7063</v>
      </c>
      <c r="F3" s="137" t="s">
        <v>7064</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7065</v>
      </c>
      <c r="K3" s="321" t="str">
        <f>IFERROR(__xludf.DUMMYFUNCTION("GOOGLETRANSLATE(A3,""zh-tw"",""KO"")"),"맛있는 우유")</f>
        <v>맛있는 우유</v>
      </c>
      <c r="L3" s="137" t="s">
        <v>7066</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7067</v>
      </c>
      <c r="P3" s="137" t="s">
        <v>7068</v>
      </c>
      <c r="Q3" s="322" t="s">
        <v>7069</v>
      </c>
      <c r="R3" s="47" t="s">
        <v>7070</v>
      </c>
      <c r="S3" s="321" t="s">
        <v>7071</v>
      </c>
      <c r="T3" s="137" t="s">
        <v>7072</v>
      </c>
      <c r="U3" s="30"/>
      <c r="V3" s="30"/>
    </row>
    <row r="4">
      <c r="A4" s="314" t="s">
        <v>7073</v>
      </c>
      <c r="B4" s="137" t="s">
        <v>7074</v>
      </c>
      <c r="C4" s="314" t="s">
        <v>7075</v>
      </c>
      <c r="D4" s="137" t="s">
        <v>7076</v>
      </c>
      <c r="E4" s="314" t="s">
        <v>7077</v>
      </c>
      <c r="F4" s="137" t="s">
        <v>7078</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7079</v>
      </c>
      <c r="K4" s="321" t="str">
        <f>IFERROR(__xludf.DUMMYFUNCTION("GOOGLETRANSLATE(A4,""zh-tw"",""KO"")"),"당근 우유")</f>
        <v>당근 우유</v>
      </c>
      <c r="L4" s="137" t="s">
        <v>7080</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7081</v>
      </c>
      <c r="P4" s="137" t="s">
        <v>7082</v>
      </c>
      <c r="Q4" s="322" t="s">
        <v>7083</v>
      </c>
      <c r="R4" s="47" t="s">
        <v>7084</v>
      </c>
      <c r="S4" s="321" t="s">
        <v>7085</v>
      </c>
      <c r="T4" s="143" t="s">
        <v>7086</v>
      </c>
      <c r="U4" s="30"/>
      <c r="V4" s="30"/>
    </row>
    <row r="5">
      <c r="A5" s="314" t="s">
        <v>7087</v>
      </c>
      <c r="B5" s="137" t="s">
        <v>7088</v>
      </c>
      <c r="C5" s="314" t="s">
        <v>7089</v>
      </c>
      <c r="D5" s="137" t="s">
        <v>7090</v>
      </c>
      <c r="E5" s="314" t="s">
        <v>7091</v>
      </c>
      <c r="F5" s="137" t="s">
        <v>7092</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7093</v>
      </c>
      <c r="K5" s="314" t="s">
        <v>7094</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7095</v>
      </c>
      <c r="P5" s="137" t="s">
        <v>7096</v>
      </c>
      <c r="Q5" s="322" t="s">
        <v>7097</v>
      </c>
      <c r="R5" s="47" t="s">
        <v>7098</v>
      </c>
      <c r="S5" s="321" t="s">
        <v>7099</v>
      </c>
      <c r="T5" s="143" t="s">
        <v>7100</v>
      </c>
      <c r="U5" s="30"/>
      <c r="V5" s="30"/>
    </row>
    <row r="6">
      <c r="A6" s="314" t="s">
        <v>7101</v>
      </c>
      <c r="B6" s="137" t="s">
        <v>7102</v>
      </c>
      <c r="C6" s="314" t="s">
        <v>7103</v>
      </c>
      <c r="D6" s="137" t="s">
        <v>7104</v>
      </c>
      <c r="E6" s="314" t="s">
        <v>7105</v>
      </c>
      <c r="F6" s="137" t="s">
        <v>7106</v>
      </c>
      <c r="G6" s="314" t="str">
        <f>IFERROR(__xludf.DUMMYFUNCTION("GOOGLETRANSLATE(A6,""zh-tw"",""zh"")"),"蜜瓜味牛奶")</f>
        <v>蜜瓜味牛奶</v>
      </c>
      <c r="H6" s="137" t="str">
        <f>IFERROR(__xludf.DUMMYFUNCTION("GOOGLETRANSLATE(B6,""zh-tw"",""zh"")"),"回复体力75，提高50%魔力")</f>
        <v>回复体力75，提高50%魔力</v>
      </c>
      <c r="I6" s="314" t="s">
        <v>7107</v>
      </c>
      <c r="J6" s="137" t="s">
        <v>7108</v>
      </c>
      <c r="K6" s="314" t="s">
        <v>7109</v>
      </c>
      <c r="L6" s="143" t="str">
        <f>IFERROR(__xludf.DUMMYFUNCTION("GOOGLETRANSLATE(B6,""zh-tw"",""KO"")"),"스태미나를 75 회복하고 마나를 50% 증가시킵니다.")</f>
        <v>스태미나를 75 회복하고 마나를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ману на 50%.")</f>
        <v>Восстанавливает 75 единиц выносливости и увеличивает ману на 50%.</v>
      </c>
      <c r="O6" s="314" t="s">
        <v>7110</v>
      </c>
      <c r="P6" s="137" t="s">
        <v>7111</v>
      </c>
      <c r="Q6" s="322" t="s">
        <v>7112</v>
      </c>
      <c r="R6" s="47" t="s">
        <v>7113</v>
      </c>
      <c r="S6" s="321" t="s">
        <v>7114</v>
      </c>
      <c r="T6" s="143" t="s">
        <v>7115</v>
      </c>
      <c r="U6" s="30"/>
      <c r="V6" s="30"/>
    </row>
    <row r="7">
      <c r="A7" s="314" t="s">
        <v>7116</v>
      </c>
      <c r="B7" s="137" t="s">
        <v>7117</v>
      </c>
      <c r="C7" s="314" t="s">
        <v>7118</v>
      </c>
      <c r="D7" s="137" t="s">
        <v>7119</v>
      </c>
      <c r="E7" s="314" t="s">
        <v>7120</v>
      </c>
      <c r="F7" s="137" t="s">
        <v>7121</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7122</v>
      </c>
      <c r="K7" s="321" t="str">
        <f>IFERROR(__xludf.DUMMYFUNCTION("GOOGLETRANSLATE(A7,""zh-tw"",""KO"")"),"바나나맛 우유")</f>
        <v>바나나맛 우유</v>
      </c>
      <c r="L7" s="137" t="s">
        <v>7123</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7124</v>
      </c>
      <c r="P7" s="137" t="s">
        <v>7125</v>
      </c>
      <c r="Q7" s="322" t="s">
        <v>7126</v>
      </c>
      <c r="R7" s="47" t="s">
        <v>7127</v>
      </c>
      <c r="S7" s="321" t="s">
        <v>7128</v>
      </c>
      <c r="T7" s="143" t="s">
        <v>7129</v>
      </c>
      <c r="U7" s="30"/>
      <c r="V7" s="30"/>
    </row>
    <row r="8">
      <c r="A8" s="314" t="s">
        <v>7130</v>
      </c>
      <c r="B8" s="137" t="s">
        <v>7131</v>
      </c>
      <c r="C8" s="314" t="s">
        <v>7132</v>
      </c>
      <c r="D8" s="137" t="s">
        <v>7133</v>
      </c>
      <c r="E8" s="314" t="s">
        <v>7134</v>
      </c>
      <c r="F8" s="137" t="s">
        <v>7135</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7136</v>
      </c>
      <c r="K8" s="314" t="s">
        <v>7137</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7138</v>
      </c>
      <c r="P8" s="137" t="s">
        <v>7139</v>
      </c>
      <c r="Q8" s="322" t="s">
        <v>7140</v>
      </c>
      <c r="R8" s="47" t="s">
        <v>7141</v>
      </c>
      <c r="S8" s="337" t="s">
        <v>7134</v>
      </c>
      <c r="T8" s="143" t="s">
        <v>7142</v>
      </c>
      <c r="U8" s="30"/>
      <c r="V8" s="30"/>
    </row>
    <row r="9">
      <c r="A9" s="314" t="s">
        <v>7143</v>
      </c>
      <c r="B9" s="137" t="s">
        <v>7144</v>
      </c>
      <c r="C9" s="314" t="s">
        <v>7145</v>
      </c>
      <c r="D9" s="137" t="s">
        <v>7146</v>
      </c>
      <c r="E9" s="314" t="s">
        <v>7147</v>
      </c>
      <c r="F9" s="137" t="s">
        <v>7148</v>
      </c>
      <c r="G9" s="314" t="str">
        <f>IFERROR(__xludf.DUMMYFUNCTION("GOOGLETRANSLATE(A9,""zh-tw"",""zh"")"),"逆流可乐")</f>
        <v>逆流可乐</v>
      </c>
      <c r="H9" s="137" t="str">
        <f>IFERROR(__xludf.DUMMYFUNCTION("GOOGLETRANSLATE(B9,""zh-tw"",""zh"")"),"(战斗效果未实装)")</f>
        <v>(战斗效果未实装)</v>
      </c>
      <c r="I9" s="314" t="s">
        <v>7147</v>
      </c>
      <c r="J9" s="137" t="s">
        <v>7149</v>
      </c>
      <c r="K9" s="314" t="s">
        <v>7150</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7147</v>
      </c>
      <c r="P9" s="137" t="s">
        <v>7151</v>
      </c>
      <c r="Q9" s="322" t="s">
        <v>7147</v>
      </c>
      <c r="R9" s="47" t="s">
        <v>7152</v>
      </c>
      <c r="S9" s="321" t="s">
        <v>7153</v>
      </c>
      <c r="T9" s="143" t="s">
        <v>7154</v>
      </c>
      <c r="U9" s="30"/>
      <c r="V9" s="30"/>
    </row>
    <row r="10">
      <c r="A10" s="314" t="s">
        <v>7155</v>
      </c>
      <c r="B10" s="137" t="s">
        <v>7156</v>
      </c>
      <c r="C10" s="314" t="s">
        <v>7157</v>
      </c>
      <c r="D10" s="137" t="s">
        <v>7158</v>
      </c>
      <c r="E10" s="314" t="s">
        <v>7159</v>
      </c>
      <c r="F10" s="137" t="s">
        <v>7160</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7161</v>
      </c>
      <c r="K10" s="314" t="s">
        <v>7162</v>
      </c>
      <c r="L10" s="137" t="s">
        <v>7163</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7164</v>
      </c>
      <c r="P10" s="137" t="s">
        <v>7165</v>
      </c>
      <c r="Q10" s="322" t="s">
        <v>7166</v>
      </c>
      <c r="R10" s="47" t="s">
        <v>7167</v>
      </c>
      <c r="S10" s="314" t="s">
        <v>7168</v>
      </c>
      <c r="T10" s="143" t="s">
        <v>7169</v>
      </c>
      <c r="U10" s="30"/>
      <c r="V10" s="30"/>
    </row>
    <row r="11">
      <c r="A11" s="314" t="s">
        <v>7170</v>
      </c>
      <c r="B11" s="137" t="s">
        <v>7171</v>
      </c>
      <c r="C11" s="314" t="s">
        <v>7172</v>
      </c>
      <c r="D11" s="137" t="s">
        <v>7173</v>
      </c>
      <c r="E11" s="314" t="s">
        <v>7174</v>
      </c>
      <c r="F11" s="137" t="s">
        <v>7175</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7176</v>
      </c>
      <c r="K11" s="314" t="s">
        <v>7177</v>
      </c>
      <c r="L11" s="137" t="s">
        <v>7178</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7179</v>
      </c>
      <c r="P11" s="137" t="s">
        <v>7180</v>
      </c>
      <c r="Q11" s="322" t="s">
        <v>7181</v>
      </c>
      <c r="R11" s="47" t="s">
        <v>7182</v>
      </c>
      <c r="S11" s="314" t="s">
        <v>7183</v>
      </c>
      <c r="T11" s="143" t="s">
        <v>7184</v>
      </c>
      <c r="U11" s="30"/>
      <c r="V11" s="30"/>
    </row>
    <row r="12">
      <c r="A12" s="314" t="s">
        <v>7185</v>
      </c>
      <c r="B12" s="137" t="s">
        <v>7186</v>
      </c>
      <c r="C12" s="314" t="s">
        <v>7187</v>
      </c>
      <c r="D12" s="137" t="s">
        <v>668</v>
      </c>
      <c r="E12" s="314" t="s">
        <v>7188</v>
      </c>
      <c r="F12" s="137" t="s">
        <v>7189</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7190</v>
      </c>
      <c r="K12" s="314" t="s">
        <v>7191</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7192</v>
      </c>
      <c r="P12" s="137" t="s">
        <v>3095</v>
      </c>
      <c r="Q12" s="322" t="s">
        <v>7193</v>
      </c>
      <c r="R12" s="47" t="s">
        <v>7194</v>
      </c>
      <c r="S12" s="321" t="s">
        <v>7195</v>
      </c>
      <c r="T12" s="143" t="s">
        <v>7196</v>
      </c>
      <c r="U12" s="30"/>
      <c r="V12" s="30"/>
    </row>
    <row r="13">
      <c r="A13" s="314" t="s">
        <v>7197</v>
      </c>
      <c r="B13" s="137" t="s">
        <v>7198</v>
      </c>
      <c r="C13" s="314" t="s">
        <v>7199</v>
      </c>
      <c r="D13" s="137" t="s">
        <v>7200</v>
      </c>
      <c r="E13" s="314" t="s">
        <v>7201</v>
      </c>
      <c r="F13" s="137" t="s">
        <v>7202</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7203</v>
      </c>
      <c r="J13" s="137" t="s">
        <v>7204</v>
      </c>
      <c r="K13" s="321" t="str">
        <f>IFERROR(__xludf.DUMMYFUNCTION("GOOGLETRANSLATE(A13,""zh-tw"",""KO"")"),"천상의 돌 조각들")</f>
        <v>천상의 돌 조각들</v>
      </c>
      <c r="L13" s="137" t="s">
        <v>7205</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7206</v>
      </c>
      <c r="P13" s="137" t="s">
        <v>7207</v>
      </c>
      <c r="Q13" s="322" t="s">
        <v>7208</v>
      </c>
      <c r="R13" s="137" t="s">
        <v>7209</v>
      </c>
      <c r="S13" s="314" t="s">
        <v>7210</v>
      </c>
      <c r="T13" s="137" t="s">
        <v>7211</v>
      </c>
      <c r="U13" s="30"/>
      <c r="V13" s="30"/>
    </row>
    <row r="14">
      <c r="A14" s="314" t="s">
        <v>7212</v>
      </c>
      <c r="B14" s="137" t="s">
        <v>7213</v>
      </c>
      <c r="C14" s="314" t="s">
        <v>7214</v>
      </c>
      <c r="D14" s="137" t="s">
        <v>7215</v>
      </c>
      <c r="E14" s="314" t="s">
        <v>7216</v>
      </c>
      <c r="F14" s="137" t="s">
        <v>7217</v>
      </c>
      <c r="G14" s="314" t="str">
        <f>IFERROR(__xludf.DUMMYFUNCTION("GOOGLETRANSLATE(A14,""zh-tw"",""zh"")"),"卢恩符文A")</f>
        <v>卢恩符文A</v>
      </c>
      <c r="H14" s="137" t="s">
        <v>7218</v>
      </c>
      <c r="I14" s="321" t="str">
        <f>IFERROR(__xludf.DUMMYFUNCTION("GOOGLETRANSLATE(A14,""zh-tw"",""es-MX"")"),"Runa A")</f>
        <v>Runa A</v>
      </c>
      <c r="J14" s="137" t="s">
        <v>7219</v>
      </c>
      <c r="K14" s="314" t="s">
        <v>7220</v>
      </c>
      <c r="L14" s="137" t="s">
        <v>7221</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7222</v>
      </c>
      <c r="P14" s="137" t="s">
        <v>7223</v>
      </c>
      <c r="Q14" s="314" t="s">
        <v>7224</v>
      </c>
      <c r="R14" s="47" t="s">
        <v>7225</v>
      </c>
      <c r="S14" s="314" t="s">
        <v>7226</v>
      </c>
      <c r="T14" s="143" t="s">
        <v>7227</v>
      </c>
      <c r="U14" s="30"/>
      <c r="V14" s="30"/>
    </row>
    <row r="15">
      <c r="A15" s="314" t="s">
        <v>7228</v>
      </c>
      <c r="B15" s="137" t="s">
        <v>7229</v>
      </c>
      <c r="C15" s="314" t="s">
        <v>7230</v>
      </c>
      <c r="D15" s="137" t="s">
        <v>7231</v>
      </c>
      <c r="E15" s="314" t="s">
        <v>7232</v>
      </c>
      <c r="F15" s="137" t="s">
        <v>7233</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7234</v>
      </c>
      <c r="K15" s="314" t="s">
        <v>7235</v>
      </c>
      <c r="L15" s="137" t="s">
        <v>7236</v>
      </c>
      <c r="M15" s="321" t="str">
        <f>IFERROR(__xludf.DUMMYFUNCTION("GOOGLETRANSLATE(A15,""zh-tw"",""ru"")"),"Руна Р")</f>
        <v>Руна Р</v>
      </c>
      <c r="N15" s="143"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14" t="s">
        <v>7237</v>
      </c>
      <c r="P15" s="137" t="s">
        <v>7238</v>
      </c>
      <c r="Q15" s="314" t="s">
        <v>7239</v>
      </c>
      <c r="R15" s="47" t="s">
        <v>7240</v>
      </c>
      <c r="S15" s="314" t="s">
        <v>7241</v>
      </c>
      <c r="T15" s="143" t="s">
        <v>7242</v>
      </c>
      <c r="U15" s="30"/>
      <c r="V15" s="30"/>
    </row>
    <row r="16">
      <c r="A16" s="314" t="s">
        <v>7243</v>
      </c>
      <c r="B16" s="137" t="s">
        <v>7244</v>
      </c>
      <c r="C16" s="314" t="s">
        <v>7245</v>
      </c>
      <c r="D16" s="137" t="s">
        <v>7246</v>
      </c>
      <c r="E16" s="314" t="s">
        <v>7247</v>
      </c>
      <c r="F16" s="137" t="s">
        <v>7248</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7249</v>
      </c>
      <c r="K16" s="314" t="s">
        <v>7250</v>
      </c>
      <c r="L16" s="137" t="s">
        <v>7251</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7252</v>
      </c>
      <c r="P16" s="137" t="s">
        <v>7253</v>
      </c>
      <c r="Q16" s="314" t="s">
        <v>7254</v>
      </c>
      <c r="R16" s="47" t="s">
        <v>7255</v>
      </c>
      <c r="S16" s="314" t="s">
        <v>7256</v>
      </c>
      <c r="T16" s="143" t="s">
        <v>7257</v>
      </c>
      <c r="U16" s="30"/>
      <c r="V16" s="30"/>
    </row>
    <row r="17">
      <c r="A17" s="322" t="s">
        <v>7258</v>
      </c>
      <c r="B17" s="143" t="s">
        <v>7259</v>
      </c>
      <c r="C17" s="321" t="s">
        <v>7260</v>
      </c>
      <c r="D17" s="143" t="s">
        <v>7261</v>
      </c>
      <c r="E17" s="321" t="s">
        <v>7262</v>
      </c>
      <c r="F17" s="143" t="s">
        <v>7263</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7262</v>
      </c>
      <c r="P17" s="143" t="s">
        <v>7263</v>
      </c>
      <c r="Q17" s="314" t="s">
        <v>7264</v>
      </c>
      <c r="R17" s="143" t="s">
        <v>7265</v>
      </c>
      <c r="S17" s="314" t="s">
        <v>7266</v>
      </c>
      <c r="T17" s="137" t="s">
        <v>7267</v>
      </c>
      <c r="U17" s="30"/>
      <c r="V17" s="30"/>
    </row>
    <row r="18">
      <c r="A18" s="314" t="s">
        <v>7268</v>
      </c>
      <c r="B18" s="137" t="s">
        <v>7269</v>
      </c>
      <c r="C18" s="314" t="s">
        <v>7270</v>
      </c>
      <c r="D18" s="137" t="s">
        <v>7271</v>
      </c>
      <c r="E18" s="314" t="s">
        <v>7272</v>
      </c>
      <c r="F18" s="137" t="s">
        <v>7273</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7274</v>
      </c>
      <c r="K18" s="314" t="s">
        <v>7275</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7276</v>
      </c>
      <c r="P18" s="137" t="s">
        <v>7277</v>
      </c>
      <c r="Q18" s="322" t="s">
        <v>7272</v>
      </c>
      <c r="R18" s="47" t="s">
        <v>7278</v>
      </c>
      <c r="S18" s="321" t="s">
        <v>7279</v>
      </c>
      <c r="T18" s="143" t="s">
        <v>7280</v>
      </c>
      <c r="U18" s="30"/>
      <c r="V18" s="30"/>
    </row>
    <row r="19">
      <c r="A19" s="314" t="s">
        <v>7281</v>
      </c>
      <c r="B19" s="137" t="s">
        <v>7282</v>
      </c>
      <c r="C19" s="314" t="s">
        <v>7283</v>
      </c>
      <c r="D19" s="137" t="s">
        <v>7284</v>
      </c>
      <c r="E19" s="314" t="s">
        <v>7285</v>
      </c>
      <c r="F19" s="137" t="s">
        <v>7286</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7287</v>
      </c>
      <c r="K19" s="314" t="s">
        <v>7288</v>
      </c>
      <c r="L19" s="316" t="s">
        <v>7289</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7290</v>
      </c>
      <c r="P19" s="137" t="s">
        <v>7291</v>
      </c>
      <c r="Q19" s="322" t="s">
        <v>7285</v>
      </c>
      <c r="R19" s="137" t="s">
        <v>7292</v>
      </c>
      <c r="S19" s="321" t="s">
        <v>7293</v>
      </c>
      <c r="T19" s="143" t="s">
        <v>7294</v>
      </c>
      <c r="U19" s="30"/>
      <c r="V19" s="30"/>
    </row>
    <row r="20">
      <c r="A20" s="314" t="s">
        <v>7295</v>
      </c>
      <c r="B20" s="137" t="s">
        <v>7296</v>
      </c>
      <c r="C20" s="314" t="s">
        <v>7297</v>
      </c>
      <c r="D20" s="137" t="s">
        <v>7298</v>
      </c>
      <c r="E20" s="314" t="s">
        <v>7299</v>
      </c>
      <c r="F20" s="137" t="s">
        <v>7300</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7301</v>
      </c>
      <c r="K20" s="321" t="str">
        <f>IFERROR(__xludf.DUMMYFUNCTION("GOOGLETRANSLATE(A20,""zh-tw"",""KO"")"),"타로 카드 - 힘")</f>
        <v>타로 카드 - 힘</v>
      </c>
      <c r="L20" s="137" t="s">
        <v>7302</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7303</v>
      </c>
      <c r="P20" s="137" t="s">
        <v>7304</v>
      </c>
      <c r="Q20" s="322" t="s">
        <v>7299</v>
      </c>
      <c r="R20" s="47" t="s">
        <v>7305</v>
      </c>
      <c r="S20" s="321" t="s">
        <v>7306</v>
      </c>
      <c r="T20" s="143" t="s">
        <v>7307</v>
      </c>
      <c r="U20" s="30"/>
      <c r="V20" s="30"/>
    </row>
    <row r="21">
      <c r="A21" s="314" t="s">
        <v>7308</v>
      </c>
      <c r="B21" s="137" t="s">
        <v>7309</v>
      </c>
      <c r="C21" s="314" t="s">
        <v>7310</v>
      </c>
      <c r="D21" s="137" t="s">
        <v>7311</v>
      </c>
      <c r="E21" s="314" t="s">
        <v>7312</v>
      </c>
      <c r="F21" s="137" t="s">
        <v>7313</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7314</v>
      </c>
      <c r="K21" s="321" t="str">
        <f>IFERROR(__xludf.DUMMYFUNCTION("GOOGLETRANSLATE(A21,""zh-tw"",""KO"")"),"타로 - 황제 카드")</f>
        <v>타로 - 황제 카드</v>
      </c>
      <c r="L21" s="137" t="s">
        <v>7315</v>
      </c>
      <c r="M21" s="321" t="str">
        <f>IFERROR(__xludf.DUMMYFUNCTION("GOOGLETRANSLATE(A21,""zh-tw"",""ru"")"),"Таро - Император")</f>
        <v>Таро - Император</v>
      </c>
      <c r="N21" s="143" t="str">
        <f>IFERROR(__xludf.DUMMYFUNCTION("GOOGLETRANSLATE(B21,""zh-tw"",""ru"")"),"Рев дракона")</f>
        <v>Рев дракона</v>
      </c>
      <c r="O21" s="314" t="s">
        <v>7316</v>
      </c>
      <c r="P21" s="137" t="s">
        <v>7317</v>
      </c>
      <c r="Q21" s="322" t="s">
        <v>7312</v>
      </c>
      <c r="R21" s="47" t="s">
        <v>7318</v>
      </c>
      <c r="S21" s="321" t="s">
        <v>7319</v>
      </c>
      <c r="T21" s="143" t="s">
        <v>7320</v>
      </c>
      <c r="U21" s="30"/>
      <c r="V21" s="30"/>
    </row>
    <row r="22">
      <c r="A22" s="314" t="s">
        <v>7321</v>
      </c>
      <c r="B22" s="137" t="s">
        <v>7322</v>
      </c>
      <c r="C22" s="314" t="str">
        <f>IFERROR(__xludf.DUMMYFUNCTION("GOOGLETRANSLATE(A22,""zh-tw"",""ja"")"),"タロット - 星")</f>
        <v>タロット - 星</v>
      </c>
      <c r="D22" s="137" t="s">
        <v>7323</v>
      </c>
      <c r="E22" s="314" t="s">
        <v>7324</v>
      </c>
      <c r="F22" s="137" t="s">
        <v>7325</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7326</v>
      </c>
      <c r="K22" s="321" t="str">
        <f>IFERROR(__xludf.DUMMYFUNCTION("GOOGLETRANSLATE(A22,""zh-tw"",""KO"")"),"타로 - 별")</f>
        <v>타로 - 별</v>
      </c>
      <c r="L22" s="137" t="s">
        <v>7327</v>
      </c>
      <c r="M22" s="321" t="str">
        <f>IFERROR(__xludf.DUMMYFUNCTION("GOOGLETRANSLATE(A22,""zh-tw"",""ru"")"),"Таро - Звезда")</f>
        <v>Таро - Звезда</v>
      </c>
      <c r="N22" s="143" t="str">
        <f>IFERROR(__xludf.DUMMYFUNCTION("GOOGLETRANSLATE(B22,""zh-tw"",""ru"")"),"Звёздные Врата")</f>
        <v>Звёздные Врата</v>
      </c>
      <c r="O22" s="314" t="s">
        <v>7328</v>
      </c>
      <c r="P22" s="137" t="s">
        <v>7329</v>
      </c>
      <c r="Q22" s="322" t="s">
        <v>7324</v>
      </c>
      <c r="R22" s="47" t="s">
        <v>7330</v>
      </c>
      <c r="S22" s="321" t="s">
        <v>7331</v>
      </c>
      <c r="T22" s="137" t="s">
        <v>7332</v>
      </c>
      <c r="U22" s="30"/>
      <c r="V22" s="30"/>
    </row>
    <row r="23">
      <c r="A23" s="314" t="s">
        <v>7333</v>
      </c>
      <c r="B23" s="137" t="s">
        <v>7334</v>
      </c>
      <c r="C23" s="314" t="s">
        <v>7335</v>
      </c>
      <c r="D23" s="137" t="s">
        <v>7336</v>
      </c>
      <c r="E23" s="314" t="s">
        <v>7337</v>
      </c>
      <c r="F23" s="137" t="s">
        <v>7338</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7339</v>
      </c>
      <c r="K23" s="314" t="s">
        <v>7340</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7341</v>
      </c>
      <c r="P23" s="137" t="s">
        <v>7342</v>
      </c>
      <c r="Q23" s="322" t="s">
        <v>7337</v>
      </c>
      <c r="R23" s="47" t="s">
        <v>7343</v>
      </c>
      <c r="S23" s="321" t="s">
        <v>7344</v>
      </c>
      <c r="T23" s="143" t="s">
        <v>7345</v>
      </c>
      <c r="U23" s="30"/>
      <c r="V23" s="30"/>
    </row>
    <row r="24">
      <c r="A24" s="314" t="s">
        <v>7346</v>
      </c>
      <c r="B24" s="137" t="s">
        <v>7347</v>
      </c>
      <c r="C24" s="314" t="s">
        <v>7348</v>
      </c>
      <c r="D24" s="137" t="s">
        <v>7349</v>
      </c>
      <c r="E24" s="314" t="s">
        <v>7350</v>
      </c>
      <c r="F24" s="137" t="s">
        <v>7351</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7352</v>
      </c>
      <c r="K24" s="314" t="s">
        <v>7353</v>
      </c>
      <c r="L24" s="137" t="s">
        <v>7354</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7355</v>
      </c>
      <c r="P24" s="137" t="s">
        <v>7356</v>
      </c>
      <c r="Q24" s="322" t="s">
        <v>7350</v>
      </c>
      <c r="R24" s="47" t="s">
        <v>7357</v>
      </c>
      <c r="S24" s="321" t="s">
        <v>7358</v>
      </c>
      <c r="T24" s="143" t="s">
        <v>7359</v>
      </c>
      <c r="U24" s="30"/>
      <c r="V24" s="30"/>
    </row>
    <row r="25">
      <c r="A25" s="314" t="s">
        <v>7360</v>
      </c>
      <c r="B25" s="137" t="s">
        <v>7361</v>
      </c>
      <c r="C25" s="314" t="s">
        <v>7362</v>
      </c>
      <c r="D25" s="137" t="s">
        <v>7363</v>
      </c>
      <c r="E25" s="314" t="s">
        <v>7364</v>
      </c>
      <c r="F25" s="137" t="s">
        <v>7365</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7366</v>
      </c>
      <c r="K25" s="314" t="s">
        <v>7367</v>
      </c>
      <c r="L25" s="137" t="s">
        <v>7368</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7369</v>
      </c>
      <c r="P25" s="137" t="s">
        <v>7370</v>
      </c>
      <c r="Q25" s="322" t="s">
        <v>7364</v>
      </c>
      <c r="R25" s="47" t="s">
        <v>7371</v>
      </c>
      <c r="S25" s="321" t="s">
        <v>7372</v>
      </c>
      <c r="T25" s="143" t="s">
        <v>7373</v>
      </c>
      <c r="U25" s="30"/>
      <c r="V25" s="30"/>
    </row>
    <row r="26">
      <c r="A26" s="314" t="s">
        <v>7374</v>
      </c>
      <c r="B26" s="137" t="s">
        <v>7375</v>
      </c>
      <c r="C26" s="314" t="s">
        <v>7376</v>
      </c>
      <c r="D26" s="137" t="s">
        <v>7377</v>
      </c>
      <c r="E26" s="314" t="s">
        <v>7378</v>
      </c>
      <c r="F26" s="137" t="s">
        <v>7379</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7380</v>
      </c>
      <c r="K26" s="321" t="str">
        <f>IFERROR(__xludf.DUMMYFUNCTION("GOOGLETRANSLATE(A26,""zh-tw"",""KO"")"),"타로 - 세계")</f>
        <v>타로 - 세계</v>
      </c>
      <c r="L26" s="137" t="s">
        <v>7381</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7382</v>
      </c>
      <c r="P26" s="137" t="s">
        <v>7383</v>
      </c>
      <c r="Q26" s="322" t="s">
        <v>7378</v>
      </c>
      <c r="R26" s="47" t="s">
        <v>7384</v>
      </c>
      <c r="S26" s="321" t="s">
        <v>7385</v>
      </c>
      <c r="T26" s="143" t="s">
        <v>7386</v>
      </c>
      <c r="U26" s="30"/>
      <c r="V26" s="30"/>
    </row>
    <row r="27">
      <c r="A27" s="314" t="s">
        <v>7387</v>
      </c>
      <c r="B27" s="137" t="s">
        <v>7388</v>
      </c>
      <c r="C27" s="314" t="s">
        <v>7389</v>
      </c>
      <c r="D27" s="143" t="str">
        <f>IFERROR(__xludf.DUMMYFUNCTION("GOOGLETRANSLATE(B27,""zh-tw"",""ja"")"),"一定時間内に1回復活することができます。")</f>
        <v>一定時間内に1回復活することができます。</v>
      </c>
      <c r="E27" s="314" t="s">
        <v>7390</v>
      </c>
      <c r="F27" s="137" t="s">
        <v>7391</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7392</v>
      </c>
      <c r="K27" s="353" t="s">
        <v>7393</v>
      </c>
      <c r="L27" s="137" t="s">
        <v>7394</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7395</v>
      </c>
      <c r="P27" s="137" t="s">
        <v>7396</v>
      </c>
      <c r="Q27" s="322" t="s">
        <v>7390</v>
      </c>
      <c r="R27" s="47" t="s">
        <v>7397</v>
      </c>
      <c r="S27" s="321" t="s">
        <v>7398</v>
      </c>
      <c r="T27" s="143" t="s">
        <v>7399</v>
      </c>
      <c r="U27" s="30"/>
      <c r="V27" s="30"/>
    </row>
    <row r="28">
      <c r="A28" s="322" t="s">
        <v>7400</v>
      </c>
      <c r="B28" s="137" t="s">
        <v>7401</v>
      </c>
      <c r="C28" s="322" t="s">
        <v>7402</v>
      </c>
      <c r="D28" s="137" t="s">
        <v>7403</v>
      </c>
      <c r="E28" s="322" t="s">
        <v>7404</v>
      </c>
      <c r="F28" s="47" t="s">
        <v>7405</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7406</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7407</v>
      </c>
      <c r="P28" s="137" t="s">
        <v>7408</v>
      </c>
      <c r="Q28" s="322" t="s">
        <v>7404</v>
      </c>
      <c r="R28" s="47" t="s">
        <v>7409</v>
      </c>
      <c r="S28" s="321" t="s">
        <v>7410</v>
      </c>
      <c r="T28" s="143" t="s">
        <v>7411</v>
      </c>
      <c r="U28" s="30"/>
      <c r="V28" s="30"/>
    </row>
    <row r="29">
      <c r="A29" s="314" t="s">
        <v>7412</v>
      </c>
      <c r="B29" s="137" t="s">
        <v>7413</v>
      </c>
      <c r="C29" s="314" t="str">
        <f>IFERROR(__xludf.DUMMYFUNCTION("GOOGLETRANSLATE(A29,""zh-tw"",""ja"")"),"ジャック・ボム")</f>
        <v>ジャック・ボム</v>
      </c>
      <c r="D29" s="137" t="s">
        <v>7414</v>
      </c>
      <c r="E29" s="314" t="s">
        <v>7415</v>
      </c>
      <c r="F29" s="137" t="s">
        <v>7416</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7417</v>
      </c>
      <c r="K29" s="314" t="s">
        <v>7418</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7419</v>
      </c>
      <c r="P29" s="137" t="s">
        <v>7420</v>
      </c>
      <c r="Q29" s="322" t="s">
        <v>7415</v>
      </c>
      <c r="R29" s="47" t="s">
        <v>7421</v>
      </c>
      <c r="S29" s="321" t="s">
        <v>7422</v>
      </c>
      <c r="T29" s="143" t="s">
        <v>7423</v>
      </c>
      <c r="U29" s="30"/>
      <c r="V29" s="30"/>
    </row>
    <row r="30">
      <c r="A30" s="314" t="s">
        <v>7424</v>
      </c>
      <c r="B30" s="137" t="s">
        <v>7425</v>
      </c>
      <c r="C30" s="314" t="s">
        <v>7426</v>
      </c>
      <c r="D30" s="137" t="s">
        <v>7427</v>
      </c>
      <c r="E30" s="314" t="s">
        <v>7428</v>
      </c>
      <c r="F30" s="137" t="s">
        <v>7429</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7430</v>
      </c>
      <c r="K30" s="321" t="str">
        <f>IFERROR(__xludf.DUMMYFUNCTION("GOOGLETRANSLATE(A30,""zh-tw"",""KO"")"),"프로스트 잭 밤")</f>
        <v>프로스트 잭 밤</v>
      </c>
      <c r="L30" s="137" t="s">
        <v>7431</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7432</v>
      </c>
      <c r="P30" s="137" t="s">
        <v>7433</v>
      </c>
      <c r="Q30" s="322" t="s">
        <v>7428</v>
      </c>
      <c r="R30" s="47" t="s">
        <v>7434</v>
      </c>
      <c r="S30" s="321" t="s">
        <v>7435</v>
      </c>
      <c r="T30" s="143" t="s">
        <v>7436</v>
      </c>
      <c r="U30" s="30"/>
      <c r="V30" s="30"/>
    </row>
    <row r="31">
      <c r="A31" s="314" t="s">
        <v>7437</v>
      </c>
      <c r="B31" s="137" t="s">
        <v>7438</v>
      </c>
      <c r="C31" s="314" t="s">
        <v>7439</v>
      </c>
      <c r="D31" s="137" t="s">
        <v>7440</v>
      </c>
      <c r="E31" s="314" t="s">
        <v>7441</v>
      </c>
      <c r="F31" s="137" t="s">
        <v>7442</v>
      </c>
      <c r="G31" s="314" t="str">
        <f>IFERROR(__xludf.DUMMYFUNCTION("GOOGLETRANSLATE(A31,""zh-tw"",""zh"")"),"猛毒杰克爆弹")</f>
        <v>猛毒杰克爆弹</v>
      </c>
      <c r="H31" s="137" t="str">
        <f>IFERROR(__xludf.DUMMYFUNCTION("GOOGLETRANSLATE(B31,""zh-tw"",""zh"")"),"毒属性炸弹")</f>
        <v>毒属性炸弹</v>
      </c>
      <c r="I31" s="314" t="s">
        <v>7441</v>
      </c>
      <c r="J31" s="137" t="s">
        <v>7443</v>
      </c>
      <c r="K31" s="314" t="s">
        <v>7444</v>
      </c>
      <c r="L31" s="137" t="s">
        <v>7445</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7446</v>
      </c>
      <c r="P31" s="137" t="s">
        <v>7447</v>
      </c>
      <c r="Q31" s="322" t="s">
        <v>7441</v>
      </c>
      <c r="R31" s="47" t="s">
        <v>7448</v>
      </c>
      <c r="S31" s="321" t="s">
        <v>7449</v>
      </c>
      <c r="T31" s="143" t="s">
        <v>7450</v>
      </c>
      <c r="U31" s="30"/>
      <c r="V31" s="30"/>
    </row>
    <row r="32">
      <c r="A32" s="314" t="s">
        <v>7451</v>
      </c>
      <c r="B32" s="137" t="s">
        <v>7452</v>
      </c>
      <c r="C32" s="314" t="s">
        <v>7453</v>
      </c>
      <c r="D32" s="137" t="s">
        <v>7454</v>
      </c>
      <c r="E32" s="314" t="s">
        <v>7455</v>
      </c>
      <c r="F32" s="137" t="s">
        <v>7456</v>
      </c>
      <c r="G32" s="314" t="str">
        <f>IFERROR(__xludf.DUMMYFUNCTION("GOOGLETRANSLATE(A32,""zh-tw"",""zh"")"),"封存的时计")</f>
        <v>封存的时计</v>
      </c>
      <c r="H32" s="137" t="str">
        <f>IFERROR(__xludf.DUMMYFUNCTION("GOOGLETRANSLATE(B32,""zh-tw"",""zh"")"),"范围暂停")</f>
        <v>范围暂停</v>
      </c>
      <c r="I32" s="314" t="s">
        <v>7457</v>
      </c>
      <c r="J32" s="137" t="s">
        <v>7458</v>
      </c>
      <c r="K32" s="314" t="s">
        <v>7459</v>
      </c>
      <c r="L32" s="137" t="s">
        <v>7460</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7461</v>
      </c>
      <c r="P32" s="137" t="s">
        <v>7462</v>
      </c>
      <c r="Q32" s="322" t="s">
        <v>7463</v>
      </c>
      <c r="R32" s="47" t="s">
        <v>7464</v>
      </c>
      <c r="S32" s="321" t="s">
        <v>7465</v>
      </c>
      <c r="T32" s="143" t="s">
        <v>7466</v>
      </c>
      <c r="U32" s="30"/>
      <c r="V32" s="30"/>
    </row>
    <row r="33">
      <c r="A33" s="314" t="s">
        <v>7467</v>
      </c>
      <c r="B33" s="137" t="s">
        <v>7468</v>
      </c>
      <c r="C33" s="314" t="str">
        <f>IFERROR(__xludf.DUMMYFUNCTION("GOOGLETRANSLATE(A33,""zh-tw"",""ja"")"),"寿司プリン")</f>
        <v>寿司プリン</v>
      </c>
      <c r="D33" s="137" t="s">
        <v>7469</v>
      </c>
      <c r="E33" s="314" t="s">
        <v>7470</v>
      </c>
      <c r="F33" s="137" t="s">
        <v>7471</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7472</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7470</v>
      </c>
      <c r="P33" s="137" t="s">
        <v>7473</v>
      </c>
      <c r="Q33" s="322" t="s">
        <v>7470</v>
      </c>
      <c r="R33" s="47" t="s">
        <v>7474</v>
      </c>
      <c r="S33" s="321" t="s">
        <v>7475</v>
      </c>
      <c r="T33" s="143" t="s">
        <v>7476</v>
      </c>
      <c r="U33" s="30"/>
      <c r="V33" s="30"/>
    </row>
    <row r="34">
      <c r="A34" s="314" t="s">
        <v>7477</v>
      </c>
      <c r="B34" s="137" t="s">
        <v>7478</v>
      </c>
      <c r="C34" s="314" t="str">
        <f>IFERROR(__xludf.DUMMYFUNCTION("GOOGLETRANSLATE(A34,""zh-tw"",""ja"")"),"ポラロイド 1～35")</f>
        <v>ポラロイド 1～35</v>
      </c>
      <c r="D34" s="137" t="s">
        <v>7479</v>
      </c>
      <c r="E34" s="314" t="s">
        <v>7480</v>
      </c>
      <c r="F34" s="137" t="s">
        <v>7481</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7482</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7483</v>
      </c>
      <c r="P34" s="137" t="s">
        <v>7484</v>
      </c>
      <c r="Q34" s="322" t="s">
        <v>7480</v>
      </c>
      <c r="R34" s="47" t="s">
        <v>7485</v>
      </c>
      <c r="S34" s="321" t="s">
        <v>7480</v>
      </c>
      <c r="T34" s="143" t="s">
        <v>7486</v>
      </c>
      <c r="U34" s="30"/>
      <c r="V34" s="30"/>
    </row>
    <row r="35">
      <c r="A35" s="322" t="s">
        <v>7487</v>
      </c>
      <c r="B35" s="143" t="s">
        <v>7488</v>
      </c>
      <c r="C35" s="314" t="s">
        <v>7489</v>
      </c>
      <c r="D35" s="137" t="s">
        <v>7490</v>
      </c>
      <c r="E35" s="314" t="s">
        <v>7491</v>
      </c>
      <c r="F35" s="137" t="s">
        <v>7492</v>
      </c>
      <c r="G35" s="314" t="str">
        <f>IFERROR(__xludf.DUMMYFUNCTION("GOOGLETRANSLATE(A35,""zh-tw"",""zh"")"),"茶会拍立得收藏集")</f>
        <v>茶会拍立得收藏集</v>
      </c>
      <c r="H35" s="137" t="str">
        <f>IFERROR(__xludf.DUMMYFUNCTION("GOOGLETRANSLATE(B35,""zh-tw"",""zh"")"),"完成后提升幸运值")</f>
        <v>完成后提升幸运值</v>
      </c>
      <c r="I35" s="314" t="s">
        <v>7491</v>
      </c>
      <c r="J35" s="137" t="s">
        <v>7493</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7494</v>
      </c>
      <c r="P35" s="137" t="s">
        <v>7495</v>
      </c>
      <c r="Q35" s="314" t="s">
        <v>7496</v>
      </c>
      <c r="R35" s="137" t="s">
        <v>7497</v>
      </c>
      <c r="S35" s="337" t="s">
        <v>7498</v>
      </c>
      <c r="T35" s="143" t="s">
        <v>7499</v>
      </c>
      <c r="U35" s="30"/>
      <c r="V35" s="30"/>
    </row>
    <row r="36">
      <c r="A36" s="314" t="s">
        <v>7500</v>
      </c>
      <c r="B36" s="137" t="s">
        <v>7501</v>
      </c>
      <c r="C36" s="314" t="s">
        <v>7502</v>
      </c>
      <c r="D36" s="137" t="s">
        <v>7503</v>
      </c>
      <c r="E36" s="314" t="s">
        <v>7498</v>
      </c>
      <c r="F36" s="137" t="s">
        <v>7504</v>
      </c>
      <c r="G36" s="314" t="str">
        <f>IFERROR(__xludf.DUMMYFUNCTION("GOOGLETRANSLATE(A36,""zh-tw"",""zh"")"),"魔力小凝胶")</f>
        <v>魔力小凝胶</v>
      </c>
      <c r="H36" s="137" t="str">
        <f>IFERROR(__xludf.DUMMYFUNCTION("GOOGLETRANSLATE(B36,""zh-tw"",""zh"")"),"扩充格子")</f>
        <v>扩充格子</v>
      </c>
      <c r="I36" s="314" t="s">
        <v>7505</v>
      </c>
      <c r="J36" s="137" t="s">
        <v>7506</v>
      </c>
      <c r="K36" s="315" t="s">
        <v>7507</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7508</v>
      </c>
      <c r="P36" s="137" t="s">
        <v>7509</v>
      </c>
      <c r="Q36" s="322" t="s">
        <v>7510</v>
      </c>
      <c r="R36" s="47" t="s">
        <v>7511</v>
      </c>
      <c r="S36" s="321" t="s">
        <v>7512</v>
      </c>
      <c r="T36" s="143" t="s">
        <v>7513</v>
      </c>
      <c r="U36" s="30"/>
      <c r="V36" s="30"/>
    </row>
    <row r="37">
      <c r="A37" s="314" t="s">
        <v>7514</v>
      </c>
      <c r="B37" s="137" t="s">
        <v>7515</v>
      </c>
      <c r="C37" s="314" t="s">
        <v>7516</v>
      </c>
      <c r="D37" s="137" t="s">
        <v>7517</v>
      </c>
      <c r="E37" s="314" t="s">
        <v>7518</v>
      </c>
      <c r="F37" s="137" t="s">
        <v>7519</v>
      </c>
      <c r="G37" s="314" t="str">
        <f>IFERROR(__xludf.DUMMYFUNCTION("GOOGLETRANSLATE(A37,""zh-tw"",""zh"")"),"百合同人本")</f>
        <v>百合同人本</v>
      </c>
      <c r="H37" s="137" t="str">
        <f>IFERROR(__xludf.DUMMYFUNCTION("GOOGLETRANSLATE(B37,""zh-tw"",""zh"")"),"提升性欲
(战车商店贩售)")</f>
        <v>提升性欲
(战车商店贩售)</v>
      </c>
      <c r="I37" s="314" t="s">
        <v>7520</v>
      </c>
      <c r="J37" s="137" t="s">
        <v>7521</v>
      </c>
      <c r="K37" s="321" t="str">
        <f>IFERROR(__xludf.DUMMYFUNCTION("GOOGLETRANSLATE(A37,""zh-tw"",""KO"")"),"바이헤헤헤헤헤")</f>
        <v>바이헤헤헤헤헤</v>
      </c>
      <c r="L37" s="137" t="s">
        <v>7522</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7523</v>
      </c>
      <c r="P37" s="137" t="s">
        <v>7524</v>
      </c>
      <c r="Q37" s="322" t="s">
        <v>7525</v>
      </c>
      <c r="R37" s="47" t="s">
        <v>7526</v>
      </c>
      <c r="S37" s="321" t="s">
        <v>7525</v>
      </c>
      <c r="T37" s="143" t="s">
        <v>7527</v>
      </c>
      <c r="U37" s="30"/>
      <c r="V37" s="30"/>
    </row>
    <row r="38">
      <c r="A38" s="314" t="s">
        <v>7528</v>
      </c>
      <c r="B38" s="137" t="s">
        <v>7515</v>
      </c>
      <c r="C38" s="314" t="s">
        <v>7529</v>
      </c>
      <c r="D38" s="137" t="s">
        <v>7530</v>
      </c>
      <c r="E38" s="314" t="s">
        <v>7531</v>
      </c>
      <c r="F38" s="137" t="s">
        <v>7519</v>
      </c>
      <c r="G38" s="314" t="str">
        <f>IFERROR(__xludf.DUMMYFUNCTION("GOOGLETRANSLATE(A38,""zh-tw"",""zh"")"),"萌萌同人本")</f>
        <v>萌萌同人本</v>
      </c>
      <c r="H38" s="137" t="str">
        <f>IFERROR(__xludf.DUMMYFUNCTION("GOOGLETRANSLATE(B38,""zh-tw"",""zh"")"),"提升性欲
(战车商店贩售)")</f>
        <v>提升性欲
(战车商店贩售)</v>
      </c>
      <c r="I38" s="314" t="s">
        <v>7532</v>
      </c>
      <c r="J38" s="137" t="s">
        <v>7521</v>
      </c>
      <c r="K38" s="315" t="s">
        <v>7507</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7508</v>
      </c>
      <c r="P38" s="137" t="s">
        <v>7509</v>
      </c>
      <c r="Q38" s="322" t="s">
        <v>7533</v>
      </c>
      <c r="R38" s="47" t="s">
        <v>7526</v>
      </c>
      <c r="S38" s="321" t="s">
        <v>7533</v>
      </c>
      <c r="T38" s="143" t="s">
        <v>7527</v>
      </c>
      <c r="U38" s="30"/>
      <c r="V38" s="30"/>
    </row>
    <row r="39">
      <c r="A39" s="314" t="s">
        <v>7534</v>
      </c>
      <c r="B39" s="137" t="s">
        <v>7535</v>
      </c>
      <c r="C39" s="314" t="s">
        <v>7536</v>
      </c>
      <c r="D39" s="137" t="s">
        <v>7537</v>
      </c>
      <c r="E39" s="314" t="s">
        <v>7538</v>
      </c>
      <c r="F39" s="137" t="s">
        <v>7539</v>
      </c>
      <c r="G39" s="314" t="str">
        <f>IFERROR(__xludf.DUMMYFUNCTION("GOOGLETRANSLATE(A39,""zh-tw"",""zh"")"),"电风扇")</f>
        <v>电风扇</v>
      </c>
      <c r="H39" s="137" t="str">
        <f>IFERROR(__xludf.DUMMYFUNCTION("GOOGLETRANSLATE(B39,""zh-tw"",""zh"")"),"炎热剧情道具
(战车商店贩售)")</f>
        <v>炎热剧情道具
(战车商店贩售)</v>
      </c>
      <c r="I39" s="314" t="s">
        <v>7540</v>
      </c>
      <c r="J39" s="137" t="s">
        <v>7541</v>
      </c>
      <c r="K39" s="321" t="str">
        <f>IFERROR(__xludf.DUMMYFUNCTION("GOOGLETRANSLATE(A39,""zh-tw"",""KO"")"),"선풍기")</f>
        <v>선풍기</v>
      </c>
      <c r="L39" s="137" t="s">
        <v>7522</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7523</v>
      </c>
      <c r="P39" s="137" t="s">
        <v>7524</v>
      </c>
      <c r="Q39" s="322" t="s">
        <v>7542</v>
      </c>
      <c r="R39" s="47" t="s">
        <v>7543</v>
      </c>
      <c r="S39" s="321" t="s">
        <v>7544</v>
      </c>
      <c r="T39" s="143" t="s">
        <v>7545</v>
      </c>
      <c r="U39" s="30"/>
      <c r="V39" s="30"/>
    </row>
    <row r="40">
      <c r="A40" s="322" t="s">
        <v>7546</v>
      </c>
      <c r="B40" s="143" t="s">
        <v>7547</v>
      </c>
      <c r="C40" s="314" t="s">
        <v>7548</v>
      </c>
      <c r="D40" s="137" t="s">
        <v>7549</v>
      </c>
      <c r="E40" s="321" t="s">
        <v>7550</v>
      </c>
      <c r="F40" s="143" t="s">
        <v>7551</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7552</v>
      </c>
      <c r="J40" s="137" t="s">
        <v>7553</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7554</v>
      </c>
      <c r="P40" s="137" t="s">
        <v>7555</v>
      </c>
      <c r="Q40" s="322" t="s">
        <v>7556</v>
      </c>
      <c r="R40" s="137" t="s">
        <v>7557</v>
      </c>
      <c r="S40" s="321" t="s">
        <v>7558</v>
      </c>
      <c r="T40" s="143" t="s">
        <v>7559</v>
      </c>
      <c r="U40" s="30"/>
      <c r="V40" s="30"/>
    </row>
    <row r="41">
      <c r="A41" s="314" t="s">
        <v>7560</v>
      </c>
      <c r="B41" s="137" t="s">
        <v>7561</v>
      </c>
      <c r="C41" s="314" t="s">
        <v>7562</v>
      </c>
      <c r="D41" s="137" t="s">
        <v>7563</v>
      </c>
      <c r="E41" s="314" t="s">
        <v>7564</v>
      </c>
      <c r="F41" s="137" t="s">
        <v>7565</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7566</v>
      </c>
      <c r="J41" s="137" t="s">
        <v>7567</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7568</v>
      </c>
      <c r="P41" s="137" t="s">
        <v>7569</v>
      </c>
      <c r="Q41" s="322" t="s">
        <v>7570</v>
      </c>
      <c r="R41" s="47" t="s">
        <v>7571</v>
      </c>
      <c r="S41" s="321" t="s">
        <v>7572</v>
      </c>
      <c r="T41" s="143" t="s">
        <v>7573</v>
      </c>
      <c r="U41" s="30"/>
      <c r="V41" s="30"/>
    </row>
    <row r="42">
      <c r="A42" s="314" t="s">
        <v>7574</v>
      </c>
      <c r="B42" s="137" t="s">
        <v>7575</v>
      </c>
      <c r="C42" s="314" t="s">
        <v>7576</v>
      </c>
      <c r="D42" s="143" t="str">
        <f>IFERROR(__xludf.DUMMYFUNCTION("GOOGLETRANSLATE(B42,""zh-tw"",""ja"")"),"現時点では（宝石を）引き換える方法はありません。")</f>
        <v>現時点では（宝石を）引き換える方法はありません。</v>
      </c>
      <c r="E42" s="314" t="s">
        <v>7577</v>
      </c>
      <c r="F42" s="137" t="s">
        <v>7578</v>
      </c>
      <c r="G42" s="314" t="str">
        <f>IFERROR(__xludf.DUMMYFUNCTION("GOOGLETRANSLATE(A42,""zh-tw"",""zh"")"),"蓝辉石")</f>
        <v>蓝辉石</v>
      </c>
      <c r="H42" s="137" t="str">
        <f>IFERROR(__xludf.DUMMYFUNCTION("GOOGLETRANSLATE(B42,""zh-tw"",""zh"")"),"目前没有兑换方式
(宝石)")</f>
        <v>目前没有兑换方式
(宝石)</v>
      </c>
      <c r="I42" s="314" t="s">
        <v>7579</v>
      </c>
      <c r="J42" s="137" t="s">
        <v>7580</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7581</v>
      </c>
      <c r="P42" s="316" t="s">
        <v>7582</v>
      </c>
      <c r="Q42" s="314" t="s">
        <v>7583</v>
      </c>
      <c r="R42" s="47" t="s">
        <v>7584</v>
      </c>
      <c r="S42" s="337" t="s">
        <v>7577</v>
      </c>
      <c r="T42" s="143" t="s">
        <v>7585</v>
      </c>
      <c r="U42" s="30"/>
      <c r="V42" s="30"/>
    </row>
    <row r="43">
      <c r="A43" s="314" t="s">
        <v>7586</v>
      </c>
      <c r="B43" s="137" t="s">
        <v>7575</v>
      </c>
      <c r="C43" s="314" t="s">
        <v>7587</v>
      </c>
      <c r="D43" s="137" t="s">
        <v>7588</v>
      </c>
      <c r="E43" s="314" t="s">
        <v>7589</v>
      </c>
      <c r="F43" s="137" t="s">
        <v>2228</v>
      </c>
      <c r="G43" s="314" t="str">
        <f>IFERROR(__xludf.DUMMYFUNCTION("GOOGLETRANSLATE(A43,""zh-tw"",""zh"")"),"火菱石")</f>
        <v>火菱石</v>
      </c>
      <c r="H43" s="137" t="str">
        <f>IFERROR(__xludf.DUMMYFUNCTION("GOOGLETRANSLATE(B43,""zh-tw"",""zh"")"),"目前没有兑换方式
(宝石)")</f>
        <v>目前没有兑换方式
(宝石)</v>
      </c>
      <c r="I43" s="314" t="s">
        <v>7590</v>
      </c>
      <c r="J43" s="137" t="s">
        <v>7591</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7592</v>
      </c>
      <c r="P43" s="137" t="s">
        <v>7593</v>
      </c>
      <c r="Q43" s="314" t="s">
        <v>7594</v>
      </c>
      <c r="R43" s="47" t="s">
        <v>2235</v>
      </c>
      <c r="S43" s="337" t="s">
        <v>7589</v>
      </c>
      <c r="T43" s="143" t="s">
        <v>7595</v>
      </c>
      <c r="U43" s="30"/>
      <c r="V43" s="30"/>
    </row>
    <row r="44">
      <c r="A44" s="314" t="s">
        <v>7596</v>
      </c>
      <c r="B44" s="137" t="s">
        <v>7597</v>
      </c>
      <c r="C44" s="314" t="s">
        <v>7598</v>
      </c>
      <c r="D44" s="137" t="s">
        <v>7599</v>
      </c>
      <c r="E44" s="314" t="s">
        <v>7600</v>
      </c>
      <c r="F44" s="137" t="s">
        <v>7601</v>
      </c>
      <c r="G44" s="314" t="str">
        <f>IFERROR(__xludf.DUMMYFUNCTION("GOOGLETRANSLATE(A44,""zh-tw"",""zh"")"),"银坷拉")</f>
        <v>银坷拉</v>
      </c>
      <c r="H44" s="137" t="str">
        <f>IFERROR(__xludf.DUMMYFUNCTION("GOOGLETRANSLATE(B44,""zh-tw"",""zh"")"),"诱饵/粉尘爆炸")</f>
        <v>诱饵/粉尘爆炸</v>
      </c>
      <c r="I44" s="314" t="s">
        <v>7600</v>
      </c>
      <c r="J44" s="137" t="s">
        <v>7602</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7600</v>
      </c>
      <c r="P44" s="137" t="s">
        <v>7603</v>
      </c>
      <c r="Q44" s="314" t="s">
        <v>7600</v>
      </c>
      <c r="R44" s="137" t="s">
        <v>7604</v>
      </c>
      <c r="S44" s="321" t="s">
        <v>7600</v>
      </c>
      <c r="T44" s="143" t="s">
        <v>7605</v>
      </c>
      <c r="U44" s="30"/>
      <c r="V44" s="30"/>
    </row>
    <row r="45">
      <c r="A45" s="314" t="s">
        <v>7606</v>
      </c>
      <c r="B45" s="137" t="s">
        <v>7607</v>
      </c>
      <c r="C45" s="314" t="s">
        <v>7608</v>
      </c>
      <c r="D45" s="137" t="s">
        <v>7609</v>
      </c>
      <c r="E45" s="314" t="s">
        <v>7610</v>
      </c>
      <c r="F45" s="137" t="s">
        <v>7611</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7612</v>
      </c>
      <c r="J45" s="137" t="s">
        <v>7613</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7614</v>
      </c>
      <c r="P45" s="137" t="s">
        <v>7615</v>
      </c>
      <c r="Q45" s="314" t="s">
        <v>7616</v>
      </c>
      <c r="R45" s="137" t="s">
        <v>7617</v>
      </c>
      <c r="S45" s="321" t="s">
        <v>7618</v>
      </c>
      <c r="T45" s="143" t="s">
        <v>7619</v>
      </c>
      <c r="U45" s="30"/>
      <c r="V45" s="30"/>
    </row>
    <row r="46">
      <c r="A46" s="314" t="s">
        <v>7620</v>
      </c>
      <c r="B46" s="137" t="s">
        <v>7621</v>
      </c>
      <c r="C46" s="314" t="s">
        <v>7622</v>
      </c>
      <c r="D46" s="137" t="s">
        <v>7623</v>
      </c>
      <c r="E46" s="314" t="s">
        <v>7624</v>
      </c>
      <c r="F46" s="137" t="s">
        <v>7625</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7626</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7627</v>
      </c>
      <c r="P46" s="137" t="s">
        <v>7628</v>
      </c>
      <c r="Q46" s="314" t="s">
        <v>7629</v>
      </c>
      <c r="R46" s="137" t="s">
        <v>7630</v>
      </c>
      <c r="S46" s="321" t="s">
        <v>7631</v>
      </c>
      <c r="T46" s="143" t="s">
        <v>7632</v>
      </c>
      <c r="U46" s="30"/>
      <c r="V46" s="30"/>
    </row>
    <row r="47">
      <c r="A47" s="314" t="s">
        <v>7633</v>
      </c>
      <c r="B47" s="137" t="s">
        <v>7634</v>
      </c>
      <c r="C47" s="314" t="s">
        <v>7635</v>
      </c>
      <c r="D47" s="137" t="s">
        <v>7636</v>
      </c>
      <c r="E47" s="314" t="s">
        <v>7637</v>
      </c>
      <c r="F47" s="137" t="s">
        <v>7638</v>
      </c>
      <c r="G47" s="314" t="str">
        <f>IFERROR(__xludf.DUMMYFUNCTION("GOOGLETRANSLATE(A47,""zh-tw"",""zh"")"),"红髓液")</f>
        <v>红髓液</v>
      </c>
      <c r="H47" s="137" t="str">
        <f>IFERROR(__xludf.DUMMYFUNCTION("GOOGLETRANSLATE(B47,""zh-tw"",""zh"")"),"使用于治疗妹妹")</f>
        <v>使用于治疗妹妹</v>
      </c>
      <c r="I47" s="314" t="s">
        <v>7639</v>
      </c>
      <c r="J47" s="137" t="s">
        <v>7640</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7641</v>
      </c>
      <c r="P47" s="137" t="s">
        <v>7642</v>
      </c>
      <c r="Q47" s="314" t="s">
        <v>7643</v>
      </c>
      <c r="R47" s="137" t="s">
        <v>7644</v>
      </c>
      <c r="S47" s="321" t="s">
        <v>7645</v>
      </c>
      <c r="T47" s="143" t="s">
        <v>7646</v>
      </c>
      <c r="U47" s="30"/>
      <c r="V47" s="30"/>
    </row>
    <row r="48">
      <c r="A48" s="314" t="s">
        <v>7647</v>
      </c>
      <c r="B48" s="137" t="s">
        <v>7648</v>
      </c>
      <c r="C48" s="314" t="s">
        <v>7649</v>
      </c>
      <c r="D48" s="137" t="s">
        <v>7650</v>
      </c>
      <c r="E48" s="314" t="s">
        <v>7651</v>
      </c>
      <c r="F48" s="137" t="s">
        <v>7652</v>
      </c>
      <c r="G48" s="314" t="str">
        <f>IFERROR(__xludf.DUMMYFUNCTION("GOOGLETRANSLATE(A48,""zh-tw"",""zh"")"),"什么都行券")</f>
        <v>什么都行券</v>
      </c>
      <c r="H48" s="137" t="str">
        <f>IFERROR(__xludf.DUMMYFUNCTION("GOOGLETRANSLATE(B48,""zh-tw"",""zh"")"),"使用于SLG相关的事件")</f>
        <v>使用于SLG相关的事件</v>
      </c>
      <c r="I48" s="314" t="s">
        <v>7653</v>
      </c>
      <c r="J48" s="137" t="s">
        <v>7654</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7655</v>
      </c>
      <c r="P48" s="137" t="s">
        <v>7656</v>
      </c>
      <c r="Q48" s="314" t="s">
        <v>7657</v>
      </c>
      <c r="R48" s="137" t="s">
        <v>7658</v>
      </c>
      <c r="S48" s="321" t="s">
        <v>7659</v>
      </c>
      <c r="T48" s="143" t="s">
        <v>7660</v>
      </c>
      <c r="U48" s="30"/>
      <c r="V48" s="30"/>
    </row>
    <row r="49">
      <c r="A49" s="354" t="s">
        <v>7661</v>
      </c>
      <c r="B49" s="355" t="s">
        <v>7662</v>
      </c>
      <c r="C49" s="354" t="s">
        <v>7663</v>
      </c>
      <c r="D49" s="355" t="s">
        <v>7664</v>
      </c>
      <c r="E49" s="354" t="s">
        <v>7665</v>
      </c>
      <c r="F49" s="355" t="s">
        <v>7666</v>
      </c>
      <c r="G49" s="354" t="s">
        <v>7667</v>
      </c>
      <c r="H49" s="355" t="s">
        <v>7668</v>
      </c>
      <c r="I49" s="321" t="str">
        <f>IFERROR(__xludf.DUMMYFUNCTION("GOOGLETRANSLATE(A49,""zh-tw"",""es-MX"")"),"Cinta de vídeo de terror")</f>
        <v>Cinta de vídeo de terror</v>
      </c>
      <c r="J49" s="137" t="s">
        <v>7669</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7670</v>
      </c>
      <c r="P49" s="137" t="s">
        <v>7671</v>
      </c>
      <c r="Q49" s="356" t="s">
        <v>7672</v>
      </c>
      <c r="R49" s="357" t="s">
        <v>7673</v>
      </c>
      <c r="S49" s="358" t="s">
        <v>7674</v>
      </c>
      <c r="T49" s="359" t="s">
        <v>7675</v>
      </c>
      <c r="U49" s="30"/>
      <c r="V49" s="30"/>
    </row>
    <row r="50">
      <c r="A50" s="354" t="s">
        <v>7676</v>
      </c>
      <c r="B50" s="355" t="s">
        <v>7662</v>
      </c>
      <c r="C50" s="354" t="s">
        <v>7677</v>
      </c>
      <c r="D50" s="355" t="s">
        <v>7664</v>
      </c>
      <c r="E50" s="354" t="s">
        <v>7678</v>
      </c>
      <c r="F50" s="355" t="s">
        <v>7666</v>
      </c>
      <c r="G50" s="354" t="s">
        <v>7679</v>
      </c>
      <c r="H50" s="355" t="s">
        <v>7668</v>
      </c>
      <c r="I50" s="314" t="s">
        <v>7680</v>
      </c>
      <c r="J50" s="137" t="s">
        <v>7669</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7681</v>
      </c>
      <c r="P50" s="137" t="s">
        <v>7671</v>
      </c>
      <c r="Q50" s="356" t="s">
        <v>7682</v>
      </c>
      <c r="R50" s="357" t="s">
        <v>7673</v>
      </c>
      <c r="S50" s="358" t="s">
        <v>7683</v>
      </c>
      <c r="T50" s="359" t="s">
        <v>7675</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7684</v>
      </c>
      <c r="B1" s="362" t="s">
        <v>263</v>
      </c>
      <c r="C1" s="363" t="s">
        <v>7685</v>
      </c>
      <c r="F1" s="361" t="s">
        <v>7686</v>
      </c>
      <c r="G1" s="362" t="s">
        <v>263</v>
      </c>
      <c r="H1" s="364" t="s">
        <v>7687</v>
      </c>
      <c r="K1" s="361" t="s">
        <v>7688</v>
      </c>
      <c r="L1" s="362" t="s">
        <v>263</v>
      </c>
      <c r="M1" s="364" t="s">
        <v>7689</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6" t="s">
        <v>7690</v>
      </c>
      <c r="AK1" s="362" t="s">
        <v>263</v>
      </c>
      <c r="AL1" s="363" t="s">
        <v>7691</v>
      </c>
      <c r="AO1" s="367" t="s">
        <v>7692</v>
      </c>
      <c r="AP1" s="368" t="s">
        <v>263</v>
      </c>
      <c r="AQ1" s="125" t="s">
        <v>7693</v>
      </c>
      <c r="AT1" s="361" t="s">
        <v>7694</v>
      </c>
      <c r="AU1" s="362" t="s">
        <v>263</v>
      </c>
      <c r="AV1" s="365" t="s">
        <v>7695</v>
      </c>
      <c r="AY1" s="125"/>
      <c r="AZ1" s="125"/>
      <c r="BA1" s="125"/>
      <c r="BB1" s="125"/>
      <c r="BC1" s="125"/>
    </row>
    <row r="2" ht="75.0" customHeight="1">
      <c r="A2" s="361" t="s">
        <v>7696</v>
      </c>
      <c r="B2" s="362" t="s">
        <v>934</v>
      </c>
      <c r="F2" s="361" t="s">
        <v>7697</v>
      </c>
      <c r="G2" s="362" t="s">
        <v>934</v>
      </c>
      <c r="K2" s="361" t="s">
        <v>7698</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(우연한 계기).")</f>
        <v>내 여동생은 음식이 너무 매워서 울었어요 (우연한 계기).</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7699</v>
      </c>
      <c r="AK2" s="362" t="s">
        <v>934</v>
      </c>
      <c r="AO2" s="177" t="s">
        <v>7700</v>
      </c>
      <c r="AP2" s="162" t="s">
        <v>934</v>
      </c>
      <c r="AT2" s="361" t="s">
        <v>7701</v>
      </c>
      <c r="AU2" s="362" t="s">
        <v>934</v>
      </c>
      <c r="AY2" s="125"/>
      <c r="AZ2" s="125"/>
      <c r="BA2" s="125"/>
      <c r="BB2" s="125"/>
      <c r="BC2" s="125"/>
    </row>
    <row r="3">
      <c r="A3" s="369" t="s">
        <v>7702</v>
      </c>
      <c r="B3" s="370" t="s">
        <v>7052</v>
      </c>
      <c r="F3" s="369" t="str">
        <f>IFERROR(__xludf.DUMMYFUNCTION("GOOGLETRANSLATE(A3,""zh-tw"",""ja"")"),"料理名")</f>
        <v>料理名</v>
      </c>
      <c r="G3" s="370" t="str">
        <f>IFERROR(__xludf.DUMMYFUNCTION("GOOGLETRANSLATE(B3,""zh-tw"",""ja"")"),"効果")</f>
        <v>効果</v>
      </c>
      <c r="K3" s="369" t="s">
        <v>7703</v>
      </c>
      <c r="L3" s="370" t="s">
        <v>7704</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7705</v>
      </c>
      <c r="AK3" s="372" t="s">
        <v>7706</v>
      </c>
      <c r="AO3" s="83" t="s">
        <v>7707</v>
      </c>
      <c r="AP3" s="82" t="s">
        <v>5562</v>
      </c>
      <c r="AT3" s="369" t="s">
        <v>7708</v>
      </c>
      <c r="AU3" s="370" t="s">
        <v>7058</v>
      </c>
      <c r="AY3" s="125"/>
      <c r="AZ3" s="125"/>
      <c r="BA3" s="125"/>
      <c r="BB3" s="125"/>
      <c r="BC3" s="125"/>
    </row>
    <row r="4">
      <c r="A4" s="127" t="s">
        <v>7709</v>
      </c>
      <c r="B4" s="190"/>
      <c r="C4" s="168" t="s">
        <v>7710</v>
      </c>
      <c r="D4" s="125"/>
      <c r="E4" s="125"/>
      <c r="F4" s="127" t="s">
        <v>7711</v>
      </c>
      <c r="G4" s="190"/>
      <c r="H4" s="168" t="s">
        <v>7712</v>
      </c>
      <c r="I4" s="125"/>
      <c r="J4" s="125"/>
      <c r="K4" s="117" t="s">
        <v>7713</v>
      </c>
      <c r="L4" s="190"/>
      <c r="M4" s="137" t="s">
        <v>7714</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7715</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7716</v>
      </c>
      <c r="AK4" s="372"/>
      <c r="AL4" s="137" t="s">
        <v>7717</v>
      </c>
      <c r="AM4" s="143"/>
      <c r="AN4" s="143"/>
      <c r="AO4" s="139" t="s">
        <v>7718</v>
      </c>
      <c r="AP4" s="190"/>
      <c r="AQ4" s="143" t="s">
        <v>7719</v>
      </c>
      <c r="AR4" s="125"/>
      <c r="AS4" s="125"/>
      <c r="AT4" s="127" t="s">
        <v>7713</v>
      </c>
      <c r="AU4" s="191"/>
      <c r="AV4" s="143" t="s">
        <v>7720</v>
      </c>
      <c r="AW4" s="28"/>
      <c r="AX4" s="28"/>
      <c r="AY4" s="125"/>
      <c r="AZ4" s="125"/>
      <c r="BA4" s="125"/>
      <c r="BB4" s="125"/>
      <c r="BC4" s="125"/>
    </row>
    <row r="5">
      <c r="A5" s="127" t="s">
        <v>7721</v>
      </c>
      <c r="B5" s="190"/>
      <c r="C5" s="168" t="s">
        <v>7722</v>
      </c>
      <c r="D5" s="168" t="s">
        <v>7723</v>
      </c>
      <c r="E5" s="125"/>
      <c r="F5" s="127" t="s">
        <v>7724</v>
      </c>
      <c r="G5" s="190"/>
      <c r="H5" s="168" t="s">
        <v>7725</v>
      </c>
      <c r="I5" s="168" t="s">
        <v>7726</v>
      </c>
      <c r="J5" s="125"/>
      <c r="K5" s="114" t="s">
        <v>7727</v>
      </c>
      <c r="L5" s="190"/>
      <c r="M5" s="137" t="s">
        <v>7728</v>
      </c>
      <c r="N5" s="137" t="s">
        <v>7729</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7730</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7731</v>
      </c>
      <c r="AK5" s="372"/>
      <c r="AL5" s="137" t="s">
        <v>7732</v>
      </c>
      <c r="AM5" s="137" t="s">
        <v>7733</v>
      </c>
      <c r="AN5" s="143"/>
      <c r="AO5" s="139" t="s">
        <v>7734</v>
      </c>
      <c r="AP5" s="190"/>
      <c r="AQ5" s="143" t="s">
        <v>7735</v>
      </c>
      <c r="AR5" s="143" t="s">
        <v>7736</v>
      </c>
      <c r="AS5" s="125"/>
      <c r="AT5" s="127" t="s">
        <v>7737</v>
      </c>
      <c r="AU5" s="191"/>
      <c r="AV5" s="143" t="s">
        <v>7738</v>
      </c>
      <c r="AW5" s="137" t="s">
        <v>7739</v>
      </c>
      <c r="AX5" s="28"/>
      <c r="AY5" s="125"/>
      <c r="AZ5" s="125"/>
      <c r="BA5" s="125"/>
      <c r="BB5" s="125"/>
      <c r="BC5" s="125"/>
    </row>
    <row r="6">
      <c r="A6" s="127" t="s">
        <v>7740</v>
      </c>
      <c r="B6" s="190"/>
      <c r="C6" s="168" t="s">
        <v>5466</v>
      </c>
      <c r="D6" s="168" t="s">
        <v>7741</v>
      </c>
      <c r="E6" s="125"/>
      <c r="F6" s="127" t="s">
        <v>7742</v>
      </c>
      <c r="G6" s="190"/>
      <c r="H6" s="168" t="s">
        <v>5467</v>
      </c>
      <c r="I6" s="168" t="s">
        <v>7743</v>
      </c>
      <c r="J6" s="125"/>
      <c r="K6" s="117" t="s">
        <v>7744</v>
      </c>
      <c r="L6" s="190"/>
      <c r="M6" s="137" t="s">
        <v>5468</v>
      </c>
      <c r="N6" s="137" t="s">
        <v>7745</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7746</v>
      </c>
      <c r="AK6" s="372"/>
      <c r="AL6" s="137" t="s">
        <v>5469</v>
      </c>
      <c r="AM6" s="137" t="s">
        <v>7747</v>
      </c>
      <c r="AN6" s="143"/>
      <c r="AO6" s="139" t="s">
        <v>7748</v>
      </c>
      <c r="AP6" s="190"/>
      <c r="AQ6" s="143" t="s">
        <v>5470</v>
      </c>
      <c r="AR6" s="143" t="s">
        <v>7749</v>
      </c>
      <c r="AS6" s="125"/>
      <c r="AT6" s="127" t="s">
        <v>7750</v>
      </c>
      <c r="AU6" s="191"/>
      <c r="AV6" s="143" t="s">
        <v>5471</v>
      </c>
      <c r="AW6" s="143" t="s">
        <v>7751</v>
      </c>
      <c r="AX6" s="28"/>
      <c r="AY6" s="125"/>
      <c r="AZ6" s="125"/>
      <c r="BA6" s="125"/>
      <c r="BB6" s="125"/>
      <c r="BC6" s="125"/>
    </row>
    <row r="7">
      <c r="A7" s="127" t="s">
        <v>7752</v>
      </c>
      <c r="B7" s="190"/>
      <c r="C7" s="168" t="s">
        <v>5466</v>
      </c>
      <c r="D7" s="125"/>
      <c r="E7" s="125"/>
      <c r="F7" s="127" t="s">
        <v>7753</v>
      </c>
      <c r="G7" s="190"/>
      <c r="H7" s="168" t="s">
        <v>5467</v>
      </c>
      <c r="I7" s="125"/>
      <c r="J7" s="125"/>
      <c r="K7" s="117" t="s">
        <v>7754</v>
      </c>
      <c r="L7" s="190"/>
      <c r="M7" s="137" t="s">
        <v>5468</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7755</v>
      </c>
      <c r="AK7" s="372"/>
      <c r="AL7" s="137" t="s">
        <v>5469</v>
      </c>
      <c r="AM7" s="143"/>
      <c r="AN7" s="143"/>
      <c r="AO7" s="139" t="s">
        <v>7756</v>
      </c>
      <c r="AP7" s="190"/>
      <c r="AQ7" s="143" t="s">
        <v>5470</v>
      </c>
      <c r="AR7" s="125"/>
      <c r="AS7" s="125"/>
      <c r="AT7" s="127" t="s">
        <v>7757</v>
      </c>
      <c r="AU7" s="191"/>
      <c r="AV7" s="143" t="s">
        <v>5471</v>
      </c>
      <c r="AW7" s="28"/>
      <c r="AX7" s="28"/>
      <c r="AY7" s="125"/>
      <c r="AZ7" s="125"/>
      <c r="BA7" s="125"/>
      <c r="BB7" s="125"/>
      <c r="BC7" s="125"/>
    </row>
    <row r="8">
      <c r="A8" s="127" t="s">
        <v>7758</v>
      </c>
      <c r="B8" s="190"/>
      <c r="C8" s="168" t="s">
        <v>7759</v>
      </c>
      <c r="F8" s="127" t="s">
        <v>7760</v>
      </c>
      <c r="G8" s="190"/>
      <c r="H8" s="168" t="s">
        <v>668</v>
      </c>
      <c r="I8" s="125"/>
      <c r="J8" s="125"/>
      <c r="K8" s="117" t="s">
        <v>7761</v>
      </c>
      <c r="L8" s="190"/>
      <c r="M8" s="137" t="s">
        <v>7762</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7763</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7764</v>
      </c>
      <c r="AK8" s="372"/>
      <c r="AL8" s="137" t="s">
        <v>7765</v>
      </c>
      <c r="AO8" s="139" t="s">
        <v>7766</v>
      </c>
      <c r="AP8" s="190"/>
      <c r="AQ8" s="143" t="s">
        <v>7767</v>
      </c>
      <c r="AR8" s="125"/>
      <c r="AS8" s="125"/>
      <c r="AT8" s="127" t="s">
        <v>7768</v>
      </c>
      <c r="AU8" s="191"/>
      <c r="AV8" s="143" t="s">
        <v>2238</v>
      </c>
      <c r="AW8" s="28"/>
      <c r="AX8" s="28"/>
      <c r="AY8" s="125"/>
      <c r="AZ8" s="125"/>
      <c r="BA8" s="125"/>
      <c r="BB8" s="125"/>
      <c r="BC8" s="125"/>
    </row>
    <row r="9">
      <c r="A9" s="127" t="s">
        <v>7769</v>
      </c>
      <c r="B9" s="190"/>
      <c r="C9" s="168" t="s">
        <v>7770</v>
      </c>
      <c r="D9" s="125"/>
      <c r="E9" s="125"/>
      <c r="F9" s="127" t="s">
        <v>7771</v>
      </c>
      <c r="G9" s="190"/>
      <c r="H9" s="168" t="s">
        <v>7770</v>
      </c>
      <c r="I9" s="125"/>
      <c r="J9" s="125"/>
      <c r="K9" s="117" t="s">
        <v>7772</v>
      </c>
      <c r="L9" s="190"/>
      <c r="M9" s="137" t="s">
        <v>7773</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7774</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7775</v>
      </c>
      <c r="AK9" s="372"/>
      <c r="AL9" s="137" t="s">
        <v>7776</v>
      </c>
      <c r="AM9" s="143"/>
      <c r="AN9" s="143"/>
      <c r="AO9" s="139" t="s">
        <v>7777</v>
      </c>
      <c r="AP9" s="190"/>
      <c r="AQ9" s="143" t="s">
        <v>7778</v>
      </c>
      <c r="AR9" s="125"/>
      <c r="AS9" s="125"/>
      <c r="AT9" s="127" t="s">
        <v>7779</v>
      </c>
      <c r="AU9" s="191"/>
      <c r="AV9" s="143" t="s">
        <v>7780</v>
      </c>
      <c r="AW9" s="28"/>
      <c r="AX9" s="28"/>
      <c r="AY9" s="125"/>
      <c r="AZ9" s="125"/>
      <c r="BA9" s="125"/>
      <c r="BB9" s="125"/>
      <c r="BC9" s="125"/>
    </row>
    <row r="10">
      <c r="A10" s="127" t="s">
        <v>7781</v>
      </c>
      <c r="B10" s="190"/>
      <c r="C10" s="168" t="s">
        <v>7782</v>
      </c>
      <c r="D10" s="168" t="s">
        <v>7782</v>
      </c>
      <c r="E10" s="168" t="s">
        <v>7782</v>
      </c>
      <c r="F10" s="127" t="s">
        <v>7783</v>
      </c>
      <c r="G10" s="190"/>
      <c r="H10" s="168" t="s">
        <v>7784</v>
      </c>
      <c r="I10" s="168" t="s">
        <v>7784</v>
      </c>
      <c r="J10" s="168" t="s">
        <v>7784</v>
      </c>
      <c r="K10" s="117" t="s">
        <v>7785</v>
      </c>
      <c r="L10" s="190"/>
      <c r="M10" s="137" t="s">
        <v>7786</v>
      </c>
      <c r="N10" s="137" t="s">
        <v>7786</v>
      </c>
      <c r="O10" s="137" t="s">
        <v>7786</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7787</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7788</v>
      </c>
      <c r="AK10" s="372"/>
      <c r="AL10" s="137" t="s">
        <v>7789</v>
      </c>
      <c r="AM10" s="137" t="s">
        <v>7789</v>
      </c>
      <c r="AN10" s="137" t="s">
        <v>7789</v>
      </c>
      <c r="AO10" s="139" t="s">
        <v>7790</v>
      </c>
      <c r="AP10" s="190"/>
      <c r="AQ10" s="143" t="s">
        <v>7791</v>
      </c>
      <c r="AR10" s="143" t="s">
        <v>7791</v>
      </c>
      <c r="AS10" s="143" t="s">
        <v>7791</v>
      </c>
      <c r="AT10" s="127" t="s">
        <v>7792</v>
      </c>
      <c r="AU10" s="191"/>
      <c r="AV10" s="143" t="s">
        <v>7793</v>
      </c>
      <c r="AW10" s="143" t="s">
        <v>7793</v>
      </c>
      <c r="AX10" s="143" t="s">
        <v>7793</v>
      </c>
      <c r="AY10" s="143"/>
      <c r="AZ10" s="143"/>
      <c r="BA10" s="143"/>
      <c r="BB10" s="143"/>
      <c r="BC10" s="143"/>
    </row>
    <row r="11">
      <c r="A11" s="134" t="s">
        <v>7794</v>
      </c>
      <c r="B11" s="190"/>
      <c r="C11" s="168" t="s">
        <v>7795</v>
      </c>
      <c r="D11" s="168" t="s">
        <v>5489</v>
      </c>
      <c r="E11" s="125"/>
      <c r="F11" s="127" t="s">
        <v>7796</v>
      </c>
      <c r="G11" s="190"/>
      <c r="H11" s="168" t="s">
        <v>7797</v>
      </c>
      <c r="I11" s="168" t="s">
        <v>7798</v>
      </c>
      <c r="J11" s="125"/>
      <c r="K11" s="117" t="s">
        <v>7799</v>
      </c>
      <c r="L11" s="190"/>
      <c r="M11" s="137" t="s">
        <v>7800</v>
      </c>
      <c r="N11" s="137" t="s">
        <v>5491</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7801</v>
      </c>
      <c r="AA11" s="372"/>
      <c r="AB11" s="137" t="s">
        <v>7802</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7803</v>
      </c>
      <c r="AK11" s="372"/>
      <c r="AL11" s="137" t="s">
        <v>7804</v>
      </c>
      <c r="AM11" s="137" t="s">
        <v>5494</v>
      </c>
      <c r="AN11" s="143"/>
      <c r="AO11" s="107" t="s">
        <v>7799</v>
      </c>
      <c r="AP11" s="190"/>
      <c r="AQ11" s="143" t="s">
        <v>7805</v>
      </c>
      <c r="AR11" s="143" t="s">
        <v>5496</v>
      </c>
      <c r="AS11" s="125"/>
      <c r="AT11" s="127" t="s">
        <v>7799</v>
      </c>
      <c r="AU11" s="191"/>
      <c r="AV11" s="143" t="s">
        <v>7806</v>
      </c>
      <c r="AW11" s="143" t="s">
        <v>5498</v>
      </c>
      <c r="AX11" s="28"/>
      <c r="AY11" s="125"/>
      <c r="AZ11" s="125"/>
      <c r="BA11" s="125"/>
      <c r="BB11" s="125"/>
      <c r="BC11" s="125"/>
    </row>
    <row r="12">
      <c r="A12" s="127" t="s">
        <v>7807</v>
      </c>
      <c r="B12" s="190"/>
      <c r="C12" s="168" t="s">
        <v>7722</v>
      </c>
      <c r="D12" s="125"/>
      <c r="E12" s="125"/>
      <c r="F12" s="127" t="s">
        <v>7808</v>
      </c>
      <c r="G12" s="190"/>
      <c r="H12" s="168" t="s">
        <v>7725</v>
      </c>
      <c r="I12" s="125"/>
      <c r="J12" s="125"/>
      <c r="K12" s="117" t="s">
        <v>7809</v>
      </c>
      <c r="L12" s="190"/>
      <c r="M12" s="137" t="s">
        <v>7728</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7810</v>
      </c>
      <c r="AK12" s="372"/>
      <c r="AL12" s="137" t="s">
        <v>7732</v>
      </c>
      <c r="AM12" s="143"/>
      <c r="AN12" s="143"/>
      <c r="AO12" s="139" t="s">
        <v>7811</v>
      </c>
      <c r="AP12" s="190"/>
      <c r="AQ12" s="143" t="s">
        <v>7735</v>
      </c>
      <c r="AR12" s="125"/>
      <c r="AS12" s="125"/>
      <c r="AT12" s="127" t="s">
        <v>7809</v>
      </c>
      <c r="AU12" s="191"/>
      <c r="AV12" s="143" t="s">
        <v>7738</v>
      </c>
      <c r="AW12" s="28"/>
      <c r="AX12" s="28"/>
      <c r="AY12" s="125"/>
      <c r="AZ12" s="125"/>
      <c r="BA12" s="125"/>
      <c r="BB12" s="125"/>
      <c r="BC12" s="125"/>
    </row>
    <row r="13">
      <c r="A13" s="127" t="s">
        <v>7812</v>
      </c>
      <c r="B13" s="190"/>
      <c r="C13" s="168" t="s">
        <v>7722</v>
      </c>
      <c r="D13" s="168" t="s">
        <v>7723</v>
      </c>
      <c r="E13" s="168" t="s">
        <v>7795</v>
      </c>
      <c r="F13" s="127" t="s">
        <v>7813</v>
      </c>
      <c r="G13" s="190"/>
      <c r="H13" s="168" t="s">
        <v>7725</v>
      </c>
      <c r="I13" s="168" t="s">
        <v>7726</v>
      </c>
      <c r="J13" s="168" t="s">
        <v>7797</v>
      </c>
      <c r="K13" s="114" t="s">
        <v>7814</v>
      </c>
      <c r="L13" s="190"/>
      <c r="M13" s="137" t="s">
        <v>7728</v>
      </c>
      <c r="N13" s="137" t="s">
        <v>7729</v>
      </c>
      <c r="O13" s="137" t="s">
        <v>7800</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7815</v>
      </c>
      <c r="AA13" s="372"/>
      <c r="AB13" s="143" t="str">
        <f>IFERROR(__xludf.DUMMYFUNCTION("GOOGLETRANSLATE(C13,""zh-tw"",""KO"")"),"흰쌀")</f>
        <v>흰쌀</v>
      </c>
      <c r="AC13" s="137" t="s">
        <v>7730</v>
      </c>
      <c r="AD13" s="137" t="s">
        <v>7802</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7816</v>
      </c>
      <c r="AK13" s="372"/>
      <c r="AL13" s="137" t="s">
        <v>7732</v>
      </c>
      <c r="AM13" s="137" t="s">
        <v>7733</v>
      </c>
      <c r="AN13" s="137" t="s">
        <v>7804</v>
      </c>
      <c r="AO13" s="139" t="s">
        <v>7817</v>
      </c>
      <c r="AP13" s="190"/>
      <c r="AQ13" s="143" t="s">
        <v>7735</v>
      </c>
      <c r="AR13" s="143" t="s">
        <v>7736</v>
      </c>
      <c r="AS13" s="143" t="s">
        <v>7805</v>
      </c>
      <c r="AT13" s="127" t="s">
        <v>7818</v>
      </c>
      <c r="AU13" s="191"/>
      <c r="AV13" s="143" t="s">
        <v>7738</v>
      </c>
      <c r="AW13" s="137" t="s">
        <v>7739</v>
      </c>
      <c r="AX13" s="143" t="s">
        <v>7806</v>
      </c>
      <c r="AY13" s="143"/>
      <c r="AZ13" s="143"/>
      <c r="BA13" s="143"/>
      <c r="BB13" s="143"/>
      <c r="BC13" s="143"/>
    </row>
    <row r="14">
      <c r="A14" s="127" t="s">
        <v>7819</v>
      </c>
      <c r="B14" s="362" t="s">
        <v>263</v>
      </c>
      <c r="C14" s="168" t="s">
        <v>4909</v>
      </c>
      <c r="D14" s="125"/>
      <c r="E14" s="125"/>
      <c r="F14" s="127" t="s">
        <v>7820</v>
      </c>
      <c r="G14" s="362" t="s">
        <v>263</v>
      </c>
      <c r="H14" s="168" t="s">
        <v>7821</v>
      </c>
      <c r="I14" s="125"/>
      <c r="J14" s="125"/>
      <c r="K14" s="117" t="s">
        <v>7822</v>
      </c>
      <c r="L14" s="362" t="s">
        <v>263</v>
      </c>
      <c r="M14" s="137" t="s">
        <v>4914</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7823</v>
      </c>
      <c r="AA14" s="372" t="s">
        <v>263</v>
      </c>
      <c r="AB14" s="137" t="s">
        <v>7824</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7825</v>
      </c>
      <c r="AK14" s="372" t="s">
        <v>263</v>
      </c>
      <c r="AL14" s="137" t="s">
        <v>7826</v>
      </c>
      <c r="AM14" s="143"/>
      <c r="AN14" s="143"/>
      <c r="AO14" s="139" t="s">
        <v>7827</v>
      </c>
      <c r="AP14" s="362" t="s">
        <v>263</v>
      </c>
      <c r="AQ14" s="143" t="s">
        <v>4919</v>
      </c>
      <c r="AR14" s="125"/>
      <c r="AS14" s="125"/>
      <c r="AT14" s="127" t="s">
        <v>7828</v>
      </c>
      <c r="AU14" s="362" t="s">
        <v>263</v>
      </c>
      <c r="AV14" s="143" t="s">
        <v>4921</v>
      </c>
      <c r="AW14" s="28"/>
      <c r="AX14" s="28"/>
      <c r="AY14" s="125"/>
      <c r="AZ14" s="125"/>
      <c r="BA14" s="125"/>
      <c r="BB14" s="125"/>
      <c r="BC14" s="125"/>
    </row>
    <row r="15">
      <c r="A15" s="127" t="s">
        <v>7829</v>
      </c>
      <c r="B15" s="362" t="s">
        <v>263</v>
      </c>
      <c r="C15" s="168" t="s">
        <v>7795</v>
      </c>
      <c r="D15" s="125"/>
      <c r="E15" s="125"/>
      <c r="F15" s="127" t="s">
        <v>7830</v>
      </c>
      <c r="G15" s="362" t="s">
        <v>263</v>
      </c>
      <c r="H15" s="168" t="s">
        <v>7797</v>
      </c>
      <c r="I15" s="125"/>
      <c r="J15" s="125"/>
      <c r="K15" s="117" t="s">
        <v>7831</v>
      </c>
      <c r="L15" s="362" t="s">
        <v>263</v>
      </c>
      <c r="M15" s="137" t="s">
        <v>7800</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7802</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7832</v>
      </c>
      <c r="AK15" s="372" t="s">
        <v>263</v>
      </c>
      <c r="AL15" s="137" t="s">
        <v>7804</v>
      </c>
      <c r="AM15" s="143"/>
      <c r="AN15" s="143"/>
      <c r="AO15" s="139" t="s">
        <v>7833</v>
      </c>
      <c r="AP15" s="362" t="s">
        <v>263</v>
      </c>
      <c r="AQ15" s="143" t="s">
        <v>7805</v>
      </c>
      <c r="AR15" s="125"/>
      <c r="AS15" s="125"/>
      <c r="AT15" s="127" t="s">
        <v>7834</v>
      </c>
      <c r="AU15" s="362" t="s">
        <v>263</v>
      </c>
      <c r="AV15" s="143" t="s">
        <v>7806</v>
      </c>
      <c r="AW15" s="28"/>
      <c r="AX15" s="28"/>
      <c r="AY15" s="125"/>
      <c r="AZ15" s="125"/>
      <c r="BA15" s="125"/>
      <c r="BB15" s="125"/>
      <c r="BC15" s="125"/>
    </row>
    <row r="16">
      <c r="A16" s="127" t="s">
        <v>7835</v>
      </c>
      <c r="B16" s="362" t="s">
        <v>263</v>
      </c>
      <c r="C16" s="168" t="s">
        <v>7795</v>
      </c>
      <c r="D16" s="168" t="s">
        <v>7795</v>
      </c>
      <c r="E16" s="125"/>
      <c r="F16" s="127" t="s">
        <v>7836</v>
      </c>
      <c r="G16" s="362" t="s">
        <v>263</v>
      </c>
      <c r="H16" s="168" t="s">
        <v>7797</v>
      </c>
      <c r="I16" s="168" t="s">
        <v>7797</v>
      </c>
      <c r="J16" s="125"/>
      <c r="K16" s="117" t="s">
        <v>7837</v>
      </c>
      <c r="L16" s="362" t="s">
        <v>263</v>
      </c>
      <c r="M16" s="137" t="s">
        <v>7800</v>
      </c>
      <c r="N16" s="137" t="s">
        <v>7800</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7838</v>
      </c>
      <c r="AA16" s="372" t="s">
        <v>263</v>
      </c>
      <c r="AB16" s="137" t="s">
        <v>7802</v>
      </c>
      <c r="AC16" s="137" t="s">
        <v>7802</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7839</v>
      </c>
      <c r="AK16" s="372" t="s">
        <v>263</v>
      </c>
      <c r="AL16" s="137" t="s">
        <v>7804</v>
      </c>
      <c r="AM16" s="137" t="s">
        <v>7804</v>
      </c>
      <c r="AN16" s="143"/>
      <c r="AO16" s="139" t="s">
        <v>7840</v>
      </c>
      <c r="AP16" s="362" t="s">
        <v>263</v>
      </c>
      <c r="AQ16" s="143" t="s">
        <v>7805</v>
      </c>
      <c r="AR16" s="143" t="s">
        <v>7805</v>
      </c>
      <c r="AS16" s="125"/>
      <c r="AT16" s="127" t="s">
        <v>7841</v>
      </c>
      <c r="AU16" s="362" t="s">
        <v>263</v>
      </c>
      <c r="AV16" s="143" t="s">
        <v>7806</v>
      </c>
      <c r="AW16" s="143" t="s">
        <v>7806</v>
      </c>
      <c r="AX16" s="28"/>
      <c r="AY16" s="125"/>
      <c r="AZ16" s="125"/>
      <c r="BA16" s="125"/>
      <c r="BB16" s="125"/>
      <c r="BC16" s="125"/>
    </row>
    <row r="17">
      <c r="A17" s="134" t="s">
        <v>7842</v>
      </c>
      <c r="B17" s="362" t="s">
        <v>263</v>
      </c>
      <c r="C17" s="168" t="s">
        <v>7795</v>
      </c>
      <c r="D17" s="168" t="s">
        <v>7795</v>
      </c>
      <c r="E17" s="168" t="s">
        <v>7795</v>
      </c>
      <c r="F17" s="127" t="s">
        <v>7843</v>
      </c>
      <c r="G17" s="362" t="s">
        <v>263</v>
      </c>
      <c r="H17" s="168" t="s">
        <v>7797</v>
      </c>
      <c r="I17" s="168" t="s">
        <v>7797</v>
      </c>
      <c r="J17" s="168" t="s">
        <v>7797</v>
      </c>
      <c r="K17" s="117" t="s">
        <v>7844</v>
      </c>
      <c r="L17" s="362" t="s">
        <v>263</v>
      </c>
      <c r="M17" s="137" t="s">
        <v>7800</v>
      </c>
      <c r="N17" s="137" t="s">
        <v>7800</v>
      </c>
      <c r="O17" s="137" t="s">
        <v>7800</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7845</v>
      </c>
      <c r="AA17" s="372" t="s">
        <v>263</v>
      </c>
      <c r="AB17" s="137" t="s">
        <v>7802</v>
      </c>
      <c r="AC17" s="316" t="s">
        <v>7802</v>
      </c>
      <c r="AD17" s="316" t="s">
        <v>7802</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7846</v>
      </c>
      <c r="AK17" s="372" t="s">
        <v>263</v>
      </c>
      <c r="AL17" s="137" t="s">
        <v>7804</v>
      </c>
      <c r="AM17" s="137" t="s">
        <v>7804</v>
      </c>
      <c r="AN17" s="137" t="s">
        <v>7804</v>
      </c>
      <c r="AO17" s="107" t="s">
        <v>7847</v>
      </c>
      <c r="AP17" s="362" t="s">
        <v>263</v>
      </c>
      <c r="AQ17" s="143" t="s">
        <v>7805</v>
      </c>
      <c r="AR17" s="143" t="s">
        <v>7805</v>
      </c>
      <c r="AS17" s="143" t="s">
        <v>7805</v>
      </c>
      <c r="AT17" s="127" t="s">
        <v>7848</v>
      </c>
      <c r="AU17" s="362" t="s">
        <v>263</v>
      </c>
      <c r="AV17" s="143" t="s">
        <v>7806</v>
      </c>
      <c r="AW17" s="143" t="s">
        <v>7806</v>
      </c>
      <c r="AX17" s="143" t="s">
        <v>7806</v>
      </c>
      <c r="AY17" s="143"/>
      <c r="AZ17" s="143"/>
      <c r="BA17" s="143"/>
      <c r="BB17" s="143"/>
      <c r="BC17" s="143"/>
    </row>
    <row r="18">
      <c r="A18" s="127" t="s">
        <v>7849</v>
      </c>
      <c r="B18" s="362" t="s">
        <v>263</v>
      </c>
      <c r="C18" s="168" t="s">
        <v>7722</v>
      </c>
      <c r="D18" s="168" t="s">
        <v>7795</v>
      </c>
      <c r="E18" s="125"/>
      <c r="F18" s="127" t="s">
        <v>7850</v>
      </c>
      <c r="G18" s="362" t="s">
        <v>263</v>
      </c>
      <c r="H18" s="168" t="s">
        <v>7725</v>
      </c>
      <c r="I18" s="168" t="s">
        <v>7797</v>
      </c>
      <c r="J18" s="125"/>
      <c r="K18" s="117" t="s">
        <v>7851</v>
      </c>
      <c r="L18" s="362" t="s">
        <v>263</v>
      </c>
      <c r="M18" s="137" t="s">
        <v>7852</v>
      </c>
      <c r="N18" s="137" t="s">
        <v>7800</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7853</v>
      </c>
      <c r="AA18" s="372" t="s">
        <v>263</v>
      </c>
      <c r="AB18" s="143" t="str">
        <f>IFERROR(__xludf.DUMMYFUNCTION("GOOGLETRANSLATE(C18,""zh-tw"",""KO"")"),"흰쌀")</f>
        <v>흰쌀</v>
      </c>
      <c r="AC18" s="137" t="s">
        <v>7802</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7854</v>
      </c>
      <c r="AK18" s="372" t="s">
        <v>263</v>
      </c>
      <c r="AL18" s="137" t="s">
        <v>7732</v>
      </c>
      <c r="AM18" s="137" t="s">
        <v>7804</v>
      </c>
      <c r="AN18" s="143"/>
      <c r="AO18" s="139" t="s">
        <v>7855</v>
      </c>
      <c r="AP18" s="362" t="s">
        <v>263</v>
      </c>
      <c r="AQ18" s="143" t="s">
        <v>7735</v>
      </c>
      <c r="AR18" s="143" t="s">
        <v>7805</v>
      </c>
      <c r="AS18" s="125"/>
      <c r="AT18" s="127" t="s">
        <v>7856</v>
      </c>
      <c r="AU18" s="362" t="s">
        <v>263</v>
      </c>
      <c r="AV18" s="143" t="s">
        <v>7857</v>
      </c>
      <c r="AW18" s="143" t="s">
        <v>7806</v>
      </c>
      <c r="AX18" s="28"/>
      <c r="AY18" s="125"/>
      <c r="AZ18" s="125"/>
      <c r="BA18" s="125"/>
      <c r="BB18" s="125"/>
      <c r="BC18" s="125"/>
    </row>
    <row r="19">
      <c r="A19" s="127" t="s">
        <v>7858</v>
      </c>
      <c r="B19" s="190"/>
      <c r="C19" s="168" t="s">
        <v>7859</v>
      </c>
      <c r="D19" s="125"/>
      <c r="E19" s="125"/>
      <c r="F19" s="127" t="s">
        <v>7860</v>
      </c>
      <c r="G19" s="190"/>
      <c r="H19" s="168" t="s">
        <v>7861</v>
      </c>
      <c r="I19" s="125"/>
      <c r="J19" s="125"/>
      <c r="K19" s="114" t="s">
        <v>7862</v>
      </c>
      <c r="L19" s="190"/>
      <c r="M19" s="137" t="s">
        <v>7863</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7864</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7865</v>
      </c>
      <c r="AK19" s="372"/>
      <c r="AL19" s="137" t="s">
        <v>7866</v>
      </c>
      <c r="AM19" s="143"/>
      <c r="AN19" s="143"/>
      <c r="AO19" s="139" t="s">
        <v>7867</v>
      </c>
      <c r="AP19" s="190"/>
      <c r="AQ19" s="143" t="s">
        <v>7868</v>
      </c>
      <c r="AR19" s="125"/>
      <c r="AS19" s="125"/>
      <c r="AT19" s="127" t="s">
        <v>7869</v>
      </c>
      <c r="AU19" s="191"/>
      <c r="AV19" s="143" t="s">
        <v>7870</v>
      </c>
      <c r="AW19" s="28"/>
      <c r="AX19" s="28"/>
      <c r="AY19" s="125"/>
      <c r="AZ19" s="125"/>
      <c r="BA19" s="125"/>
      <c r="BB19" s="125"/>
      <c r="BC19" s="125"/>
    </row>
    <row r="20">
      <c r="A20" s="127" t="s">
        <v>7871</v>
      </c>
      <c r="B20" s="190"/>
      <c r="C20" s="168" t="s">
        <v>7710</v>
      </c>
      <c r="D20" s="168" t="s">
        <v>4839</v>
      </c>
      <c r="E20" s="125"/>
      <c r="F20" s="127" t="s">
        <v>7872</v>
      </c>
      <c r="G20" s="190"/>
      <c r="H20" s="168" t="s">
        <v>7712</v>
      </c>
      <c r="I20" s="168" t="s">
        <v>7873</v>
      </c>
      <c r="J20" s="125"/>
      <c r="K20" s="117" t="s">
        <v>7874</v>
      </c>
      <c r="L20" s="190"/>
      <c r="M20" s="137" t="s">
        <v>7714</v>
      </c>
      <c r="N20" s="137" t="s">
        <v>4842</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7875</v>
      </c>
      <c r="AA20" s="372"/>
      <c r="AB20" s="137" t="s">
        <v>7715</v>
      </c>
      <c r="AC20" s="137" t="s">
        <v>7876</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7877</v>
      </c>
      <c r="AK20" s="372"/>
      <c r="AL20" s="137" t="s">
        <v>7717</v>
      </c>
      <c r="AM20" s="137" t="s">
        <v>4845</v>
      </c>
      <c r="AN20" s="143"/>
      <c r="AO20" s="139" t="s">
        <v>7878</v>
      </c>
      <c r="AP20" s="190"/>
      <c r="AQ20" s="143" t="s">
        <v>7719</v>
      </c>
      <c r="AR20" s="143" t="s">
        <v>7879</v>
      </c>
      <c r="AS20" s="125"/>
      <c r="AT20" s="127" t="s">
        <v>7880</v>
      </c>
      <c r="AU20" s="191"/>
      <c r="AV20" s="143" t="s">
        <v>7720</v>
      </c>
      <c r="AW20" s="143" t="s">
        <v>7881</v>
      </c>
      <c r="AX20" s="28"/>
      <c r="AY20" s="125"/>
      <c r="AZ20" s="125"/>
      <c r="BA20" s="125"/>
      <c r="BB20" s="125"/>
      <c r="BC20" s="125"/>
    </row>
    <row r="21">
      <c r="A21" s="127" t="s">
        <v>7882</v>
      </c>
      <c r="B21" s="190"/>
      <c r="C21" s="168" t="s">
        <v>7710</v>
      </c>
      <c r="D21" s="168" t="s">
        <v>7883</v>
      </c>
      <c r="E21" s="125"/>
      <c r="F21" s="127" t="s">
        <v>7884</v>
      </c>
      <c r="G21" s="190"/>
      <c r="H21" s="168" t="s">
        <v>7712</v>
      </c>
      <c r="I21" s="168" t="s">
        <v>7885</v>
      </c>
      <c r="J21" s="125"/>
      <c r="K21" s="117" t="s">
        <v>7886</v>
      </c>
      <c r="L21" s="190"/>
      <c r="M21" s="137" t="s">
        <v>7714</v>
      </c>
      <c r="N21" s="137" t="s">
        <v>7887</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슬라임 젤리 (검은색)")</f>
        <v>이상한 슬라임 젤리 (검은색)</v>
      </c>
      <c r="AA21" s="372"/>
      <c r="AB21" s="137" t="s">
        <v>7715</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1"/>
      <c r="AG21" s="168" t="str">
        <f>IFERROR(__xludf.DUMMYFUNCTION("GOOGLETRANSLATE(C21,""zh-tw"",""ru"")"),"слизь")</f>
        <v>слизь</v>
      </c>
      <c r="AH21" s="168" t="str">
        <f>IFERROR(__xludf.DUMMYFUNCTION("GOOGLETRANSLATE(D21,""zh-tw"",""ru"")"),"Мусор")</f>
        <v>Мусор</v>
      </c>
      <c r="AI21" s="168"/>
      <c r="AJ21" s="375" t="s">
        <v>7888</v>
      </c>
      <c r="AK21" s="372"/>
      <c r="AL21" s="137" t="s">
        <v>7717</v>
      </c>
      <c r="AM21" s="137" t="s">
        <v>7889</v>
      </c>
      <c r="AN21" s="143"/>
      <c r="AO21" s="139" t="s">
        <v>7890</v>
      </c>
      <c r="AP21" s="190"/>
      <c r="AQ21" s="143" t="s">
        <v>7719</v>
      </c>
      <c r="AR21" s="143" t="s">
        <v>7891</v>
      </c>
      <c r="AS21" s="125"/>
      <c r="AT21" s="127" t="s">
        <v>7892</v>
      </c>
      <c r="AU21" s="191"/>
      <c r="AV21" s="143" t="s">
        <v>7720</v>
      </c>
      <c r="AW21" s="143" t="s">
        <v>7893</v>
      </c>
      <c r="AX21" s="28"/>
      <c r="AY21" s="125"/>
      <c r="AZ21" s="125"/>
      <c r="BA21" s="125"/>
      <c r="BB21" s="125"/>
      <c r="BC21" s="125"/>
    </row>
    <row r="22">
      <c r="A22" s="127" t="s">
        <v>7894</v>
      </c>
      <c r="B22" s="190"/>
      <c r="C22" s="168" t="s">
        <v>7859</v>
      </c>
      <c r="D22" s="168" t="s">
        <v>613</v>
      </c>
      <c r="E22" s="125"/>
      <c r="F22" s="127" t="s">
        <v>7895</v>
      </c>
      <c r="G22" s="190"/>
      <c r="H22" s="168" t="s">
        <v>7712</v>
      </c>
      <c r="I22" s="168" t="s">
        <v>616</v>
      </c>
      <c r="J22" s="125"/>
      <c r="K22" s="117" t="s">
        <v>7896</v>
      </c>
      <c r="L22" s="190"/>
      <c r="M22" s="137" t="s">
        <v>7714</v>
      </c>
      <c r="N22" s="137" t="s">
        <v>7897</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7864</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7898</v>
      </c>
      <c r="AK22" s="372"/>
      <c r="AL22" s="137" t="s">
        <v>7866</v>
      </c>
      <c r="AM22" s="137" t="s">
        <v>7899</v>
      </c>
      <c r="AN22" s="143"/>
      <c r="AO22" s="139" t="s">
        <v>7900</v>
      </c>
      <c r="AP22" s="190"/>
      <c r="AQ22" s="143" t="s">
        <v>7719</v>
      </c>
      <c r="AR22" s="143" t="s">
        <v>7901</v>
      </c>
      <c r="AS22" s="125"/>
      <c r="AT22" s="127" t="s">
        <v>7902</v>
      </c>
      <c r="AU22" s="191"/>
      <c r="AV22" s="143" t="s">
        <v>7720</v>
      </c>
      <c r="AW22" s="143" t="s">
        <v>7903</v>
      </c>
      <c r="AX22" s="28"/>
      <c r="AY22" s="125"/>
      <c r="AZ22" s="125"/>
      <c r="BA22" s="125"/>
      <c r="BB22" s="125"/>
      <c r="BC22" s="125"/>
    </row>
    <row r="23">
      <c r="A23" s="127" t="s">
        <v>7904</v>
      </c>
      <c r="B23" s="190"/>
      <c r="C23" s="168" t="s">
        <v>7905</v>
      </c>
      <c r="D23" s="125"/>
      <c r="E23" s="125"/>
      <c r="F23" s="127" t="s">
        <v>7906</v>
      </c>
      <c r="G23" s="190"/>
      <c r="H23" s="168" t="s">
        <v>7907</v>
      </c>
      <c r="I23" s="125"/>
      <c r="J23" s="125"/>
      <c r="K23" s="114" t="s">
        <v>7908</v>
      </c>
      <c r="L23" s="190"/>
      <c r="M23" s="137" t="s">
        <v>7909</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7910</v>
      </c>
      <c r="AK23" s="372"/>
      <c r="AL23" s="137" t="s">
        <v>7911</v>
      </c>
      <c r="AM23" s="143"/>
      <c r="AN23" s="143"/>
      <c r="AO23" s="139" t="s">
        <v>7912</v>
      </c>
      <c r="AP23" s="190"/>
      <c r="AQ23" s="143" t="s">
        <v>7913</v>
      </c>
      <c r="AR23" s="125"/>
      <c r="AS23" s="125"/>
      <c r="AT23" s="127" t="s">
        <v>7908</v>
      </c>
      <c r="AU23" s="191"/>
      <c r="AV23" s="143" t="s">
        <v>7909</v>
      </c>
      <c r="AW23" s="28"/>
      <c r="AX23" s="28"/>
      <c r="AY23" s="125"/>
      <c r="AZ23" s="125"/>
      <c r="BA23" s="125"/>
      <c r="BB23" s="125"/>
      <c r="BC23" s="125"/>
    </row>
    <row r="24">
      <c r="A24" s="127" t="s">
        <v>7914</v>
      </c>
      <c r="B24" s="190"/>
      <c r="C24" s="168" t="s">
        <v>4909</v>
      </c>
      <c r="D24" s="168" t="s">
        <v>5489</v>
      </c>
      <c r="E24" s="168" t="s">
        <v>7915</v>
      </c>
      <c r="F24" s="127" t="s">
        <v>7916</v>
      </c>
      <c r="G24" s="190"/>
      <c r="H24" s="168" t="s">
        <v>7821</v>
      </c>
      <c r="I24" s="168" t="s">
        <v>7917</v>
      </c>
      <c r="J24" s="168" t="s">
        <v>7918</v>
      </c>
      <c r="K24" s="117" t="s">
        <v>7919</v>
      </c>
      <c r="L24" s="190"/>
      <c r="M24" s="137" t="s">
        <v>4914</v>
      </c>
      <c r="N24" s="137" t="s">
        <v>5491</v>
      </c>
      <c r="O24" s="137" t="s">
        <v>7920</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7824</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7921</v>
      </c>
      <c r="AK24" s="372"/>
      <c r="AL24" s="137" t="s">
        <v>7826</v>
      </c>
      <c r="AM24" s="137" t="s">
        <v>5494</v>
      </c>
      <c r="AN24" s="137" t="s">
        <v>5494</v>
      </c>
      <c r="AO24" s="139" t="s">
        <v>7922</v>
      </c>
      <c r="AP24" s="190"/>
      <c r="AQ24" s="143" t="s">
        <v>4919</v>
      </c>
      <c r="AR24" s="143" t="s">
        <v>5496</v>
      </c>
      <c r="AS24" s="143" t="s">
        <v>7923</v>
      </c>
      <c r="AT24" s="127" t="s">
        <v>7919</v>
      </c>
      <c r="AU24" s="191"/>
      <c r="AV24" s="143" t="s">
        <v>4921</v>
      </c>
      <c r="AW24" s="143" t="s">
        <v>5498</v>
      </c>
      <c r="AX24" s="143" t="s">
        <v>7924</v>
      </c>
      <c r="AY24" s="143"/>
      <c r="AZ24" s="143"/>
      <c r="BA24" s="143"/>
      <c r="BB24" s="143"/>
      <c r="BC24" s="143"/>
    </row>
    <row r="25">
      <c r="A25" s="127" t="s">
        <v>7925</v>
      </c>
      <c r="B25" s="190"/>
      <c r="C25" s="168" t="s">
        <v>7926</v>
      </c>
      <c r="D25" s="125"/>
      <c r="E25" s="125"/>
      <c r="F25" s="127" t="s">
        <v>7927</v>
      </c>
      <c r="G25" s="190"/>
      <c r="H25" s="168" t="s">
        <v>7928</v>
      </c>
      <c r="I25" s="125"/>
      <c r="J25" s="125"/>
      <c r="K25" s="117" t="s">
        <v>7929</v>
      </c>
      <c r="L25" s="190"/>
      <c r="M25" s="137" t="s">
        <v>7930</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7931</v>
      </c>
      <c r="AA25" s="372"/>
      <c r="AB25" s="137" t="s">
        <v>7932</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7933</v>
      </c>
      <c r="AK25" s="372"/>
      <c r="AL25" s="137" t="s">
        <v>7934</v>
      </c>
      <c r="AM25" s="143"/>
      <c r="AN25" s="143"/>
      <c r="AO25" s="139" t="s">
        <v>7935</v>
      </c>
      <c r="AP25" s="190"/>
      <c r="AQ25" s="143" t="s">
        <v>7936</v>
      </c>
      <c r="AR25" s="125"/>
      <c r="AS25" s="125"/>
      <c r="AT25" s="127" t="s">
        <v>7937</v>
      </c>
      <c r="AU25" s="191"/>
      <c r="AV25" s="143" t="s">
        <v>7938</v>
      </c>
      <c r="AW25" s="28"/>
      <c r="AX25" s="28"/>
      <c r="AY25" s="125"/>
      <c r="AZ25" s="125"/>
      <c r="BA25" s="125"/>
      <c r="BB25" s="125"/>
      <c r="BC25" s="125"/>
    </row>
    <row r="26">
      <c r="A26" s="134" t="s">
        <v>7939</v>
      </c>
      <c r="B26" s="190"/>
      <c r="C26" s="168" t="s">
        <v>7940</v>
      </c>
      <c r="D26" s="168" t="s">
        <v>7940</v>
      </c>
      <c r="E26" s="168" t="s">
        <v>7940</v>
      </c>
      <c r="F26" s="127" t="s">
        <v>7941</v>
      </c>
      <c r="G26" s="190"/>
      <c r="H26" s="168" t="s">
        <v>7918</v>
      </c>
      <c r="I26" s="168" t="s">
        <v>7918</v>
      </c>
      <c r="J26" s="168" t="s">
        <v>7918</v>
      </c>
      <c r="K26" s="114" t="s">
        <v>7942</v>
      </c>
      <c r="L26" s="190"/>
      <c r="M26" s="137" t="s">
        <v>7920</v>
      </c>
      <c r="N26" s="137" t="s">
        <v>7920</v>
      </c>
      <c r="O26" s="137" t="s">
        <v>7920</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7943</v>
      </c>
      <c r="AA26" s="372"/>
      <c r="AB26" s="376" t="s">
        <v>7944</v>
      </c>
      <c r="AC26" s="376" t="s">
        <v>7944</v>
      </c>
      <c r="AD26" s="137" t="s">
        <v>7944</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7945</v>
      </c>
      <c r="AK26" s="372"/>
      <c r="AL26" s="137" t="s">
        <v>7946</v>
      </c>
      <c r="AM26" s="137" t="s">
        <v>7946</v>
      </c>
      <c r="AN26" s="137" t="s">
        <v>7946</v>
      </c>
      <c r="AO26" s="107" t="s">
        <v>7947</v>
      </c>
      <c r="AP26" s="190"/>
      <c r="AQ26" s="143" t="s">
        <v>7923</v>
      </c>
      <c r="AR26" s="143" t="s">
        <v>7923</v>
      </c>
      <c r="AS26" s="143" t="s">
        <v>7923</v>
      </c>
      <c r="AT26" s="127" t="s">
        <v>7948</v>
      </c>
      <c r="AU26" s="191"/>
      <c r="AV26" s="143" t="s">
        <v>7924</v>
      </c>
      <c r="AW26" s="143" t="s">
        <v>7924</v>
      </c>
      <c r="AX26" s="143" t="s">
        <v>7924</v>
      </c>
      <c r="AY26" s="143"/>
      <c r="AZ26" s="143"/>
      <c r="BA26" s="143"/>
      <c r="BB26" s="143"/>
      <c r="BC26" s="143"/>
    </row>
    <row r="27">
      <c r="A27" s="127" t="s">
        <v>7949</v>
      </c>
      <c r="B27" s="190"/>
      <c r="C27" s="168" t="s">
        <v>5489</v>
      </c>
      <c r="D27" s="125"/>
      <c r="E27" s="125"/>
      <c r="F27" s="127" t="s">
        <v>7950</v>
      </c>
      <c r="G27" s="190"/>
      <c r="H27" s="168" t="s">
        <v>7917</v>
      </c>
      <c r="I27" s="125"/>
      <c r="J27" s="125"/>
      <c r="K27" s="117" t="s">
        <v>7951</v>
      </c>
      <c r="L27" s="190"/>
      <c r="M27" s="137" t="s">
        <v>5491</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7952</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7953</v>
      </c>
      <c r="AK27" s="372"/>
      <c r="AL27" s="137" t="s">
        <v>5494</v>
      </c>
      <c r="AM27" s="143"/>
      <c r="AN27" s="143"/>
      <c r="AO27" s="139" t="s">
        <v>7954</v>
      </c>
      <c r="AP27" s="190"/>
      <c r="AQ27" s="143" t="s">
        <v>5496</v>
      </c>
      <c r="AR27" s="125"/>
      <c r="AS27" s="125"/>
      <c r="AT27" s="127" t="s">
        <v>7955</v>
      </c>
      <c r="AU27" s="191"/>
      <c r="AV27" s="143" t="s">
        <v>5498</v>
      </c>
      <c r="AW27" s="28"/>
      <c r="AX27" s="28"/>
      <c r="AY27" s="125"/>
      <c r="AZ27" s="125"/>
      <c r="BA27" s="125"/>
      <c r="BB27" s="125"/>
      <c r="BC27" s="125"/>
    </row>
    <row r="28">
      <c r="A28" s="127" t="s">
        <v>7956</v>
      </c>
      <c r="B28" s="190"/>
      <c r="C28" s="168" t="s">
        <v>7915</v>
      </c>
      <c r="D28" s="168" t="s">
        <v>7957</v>
      </c>
      <c r="E28" s="125"/>
      <c r="F28" s="127" t="s">
        <v>7958</v>
      </c>
      <c r="G28" s="190"/>
      <c r="H28" s="168" t="s">
        <v>7918</v>
      </c>
      <c r="I28" s="168" t="s">
        <v>7959</v>
      </c>
      <c r="J28" s="125"/>
      <c r="K28" s="117" t="s">
        <v>7960</v>
      </c>
      <c r="L28" s="190"/>
      <c r="M28" s="137" t="s">
        <v>7920</v>
      </c>
      <c r="N28" s="137" t="s">
        <v>7786</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7961</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7962</v>
      </c>
      <c r="AK28" s="372"/>
      <c r="AL28" s="137" t="s">
        <v>7963</v>
      </c>
      <c r="AM28" s="143" t="str">
        <f>IFERROR(__xludf.DUMMYFUNCTION("GOOGLETRANSLATE(D28,""zh-tw"",""de"")"),"Pilze")</f>
        <v>Pilze</v>
      </c>
      <c r="AN28" s="143"/>
      <c r="AO28" s="139" t="s">
        <v>7964</v>
      </c>
      <c r="AP28" s="190"/>
      <c r="AQ28" s="143" t="s">
        <v>7923</v>
      </c>
      <c r="AR28" s="143" t="s">
        <v>7791</v>
      </c>
      <c r="AS28" s="125"/>
      <c r="AT28" s="127" t="s">
        <v>7965</v>
      </c>
      <c r="AU28" s="191"/>
      <c r="AV28" s="143" t="s">
        <v>7924</v>
      </c>
      <c r="AW28" s="143" t="s">
        <v>7793</v>
      </c>
      <c r="AX28" s="28"/>
      <c r="AY28" s="125"/>
      <c r="AZ28" s="125"/>
      <c r="BA28" s="125"/>
      <c r="BB28" s="125"/>
      <c r="BC28" s="125"/>
    </row>
    <row r="29">
      <c r="A29" s="127" t="s">
        <v>7966</v>
      </c>
      <c r="B29" s="190"/>
      <c r="C29" s="168" t="s">
        <v>7967</v>
      </c>
      <c r="D29" s="125"/>
      <c r="E29" s="125"/>
      <c r="F29" s="127" t="s">
        <v>7968</v>
      </c>
      <c r="G29" s="190"/>
      <c r="H29" s="168" t="s">
        <v>7969</v>
      </c>
      <c r="I29" s="125"/>
      <c r="J29" s="125"/>
      <c r="K29" s="117" t="s">
        <v>7970</v>
      </c>
      <c r="L29" s="190"/>
      <c r="M29" s="137" t="s">
        <v>7971</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7972</v>
      </c>
      <c r="AK29" s="372"/>
      <c r="AL29" s="137" t="s">
        <v>7971</v>
      </c>
      <c r="AM29" s="143"/>
      <c r="AN29" s="143"/>
      <c r="AO29" s="139" t="s">
        <v>7970</v>
      </c>
      <c r="AP29" s="190"/>
      <c r="AQ29" s="143" t="s">
        <v>7973</v>
      </c>
      <c r="AR29" s="125"/>
      <c r="AS29" s="125"/>
      <c r="AT29" s="127" t="s">
        <v>7974</v>
      </c>
      <c r="AU29" s="191"/>
      <c r="AV29" s="143" t="s">
        <v>7975</v>
      </c>
      <c r="AW29" s="28"/>
      <c r="AX29" s="28"/>
      <c r="AY29" s="125"/>
      <c r="AZ29" s="125"/>
      <c r="BA29" s="125"/>
      <c r="BB29" s="125"/>
      <c r="BC29" s="125"/>
    </row>
    <row r="30">
      <c r="A30" s="127" t="s">
        <v>7976</v>
      </c>
      <c r="B30" s="190"/>
      <c r="C30" s="168" t="s">
        <v>7967</v>
      </c>
      <c r="D30" s="168" t="s">
        <v>7977</v>
      </c>
      <c r="E30" s="125"/>
      <c r="F30" s="127" t="s">
        <v>7978</v>
      </c>
      <c r="G30" s="190"/>
      <c r="H30" s="168" t="s">
        <v>7969</v>
      </c>
      <c r="I30" s="168" t="s">
        <v>7979</v>
      </c>
      <c r="J30" s="125"/>
      <c r="K30" s="117" t="s">
        <v>7980</v>
      </c>
      <c r="L30" s="190"/>
      <c r="M30" s="137" t="s">
        <v>7971</v>
      </c>
      <c r="N30" s="137" t="s">
        <v>7981</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7982</v>
      </c>
      <c r="AK30" s="372"/>
      <c r="AL30" s="137" t="s">
        <v>7971</v>
      </c>
      <c r="AM30" s="137" t="s">
        <v>7983</v>
      </c>
      <c r="AN30" s="143"/>
      <c r="AO30" s="139" t="s">
        <v>7984</v>
      </c>
      <c r="AP30" s="190"/>
      <c r="AQ30" s="143" t="s">
        <v>7973</v>
      </c>
      <c r="AR30" s="143" t="s">
        <v>7985</v>
      </c>
      <c r="AS30" s="125"/>
      <c r="AT30" s="127" t="s">
        <v>7986</v>
      </c>
      <c r="AU30" s="191"/>
      <c r="AV30" s="143" t="s">
        <v>7975</v>
      </c>
      <c r="AW30" s="143" t="s">
        <v>7987</v>
      </c>
      <c r="AX30" s="28"/>
      <c r="AY30" s="125"/>
      <c r="AZ30" s="125"/>
      <c r="BA30" s="125"/>
      <c r="BB30" s="125"/>
      <c r="BC30" s="125"/>
    </row>
    <row r="31">
      <c r="A31" s="127" t="s">
        <v>7988</v>
      </c>
      <c r="B31" s="190"/>
      <c r="C31" s="168" t="s">
        <v>7967</v>
      </c>
      <c r="D31" s="168" t="s">
        <v>7989</v>
      </c>
      <c r="E31" s="125"/>
      <c r="F31" s="127" t="s">
        <v>7990</v>
      </c>
      <c r="G31" s="190"/>
      <c r="H31" s="168" t="s">
        <v>7969</v>
      </c>
      <c r="I31" s="168" t="s">
        <v>7991</v>
      </c>
      <c r="J31" s="125"/>
      <c r="K31" s="117" t="s">
        <v>7992</v>
      </c>
      <c r="L31" s="190"/>
      <c r="M31" s="137" t="s">
        <v>7971</v>
      </c>
      <c r="N31" s="137" t="s">
        <v>7993</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7994</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7995</v>
      </c>
      <c r="AK31" s="372"/>
      <c r="AL31" s="137" t="s">
        <v>7971</v>
      </c>
      <c r="AM31" s="137" t="s">
        <v>7996</v>
      </c>
      <c r="AN31" s="143"/>
      <c r="AO31" s="139" t="s">
        <v>7997</v>
      </c>
      <c r="AP31" s="190"/>
      <c r="AQ31" s="143" t="s">
        <v>7973</v>
      </c>
      <c r="AR31" s="143" t="s">
        <v>7998</v>
      </c>
      <c r="AS31" s="125"/>
      <c r="AT31" s="127" t="s">
        <v>7999</v>
      </c>
      <c r="AU31" s="191"/>
      <c r="AV31" s="143" t="s">
        <v>7975</v>
      </c>
      <c r="AW31" s="143" t="s">
        <v>8000</v>
      </c>
      <c r="AX31" s="28"/>
      <c r="AY31" s="125"/>
      <c r="AZ31" s="125"/>
      <c r="BA31" s="125"/>
      <c r="BB31" s="125"/>
      <c r="BC31" s="125"/>
    </row>
    <row r="32">
      <c r="A32" s="127" t="s">
        <v>8001</v>
      </c>
      <c r="B32" s="190"/>
      <c r="C32" s="168" t="s">
        <v>7722</v>
      </c>
      <c r="D32" s="168" t="s">
        <v>7723</v>
      </c>
      <c r="E32" s="168" t="s">
        <v>5348</v>
      </c>
      <c r="F32" s="127" t="s">
        <v>8002</v>
      </c>
      <c r="G32" s="190"/>
      <c r="H32" s="168" t="s">
        <v>7725</v>
      </c>
      <c r="I32" s="168" t="s">
        <v>7726</v>
      </c>
      <c r="J32" s="168" t="s">
        <v>8003</v>
      </c>
      <c r="K32" s="114" t="s">
        <v>8004</v>
      </c>
      <c r="L32" s="190"/>
      <c r="M32" s="137" t="s">
        <v>7728</v>
      </c>
      <c r="N32" s="137" t="s">
        <v>7729</v>
      </c>
      <c r="O32" s="137" t="s">
        <v>5352</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7730</v>
      </c>
      <c r="AD32" s="137" t="s">
        <v>5355</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8005</v>
      </c>
      <c r="AK32" s="372"/>
      <c r="AL32" s="137" t="s">
        <v>7732</v>
      </c>
      <c r="AM32" s="137" t="s">
        <v>7733</v>
      </c>
      <c r="AN32" s="137" t="s">
        <v>8006</v>
      </c>
      <c r="AO32" s="139" t="s">
        <v>8007</v>
      </c>
      <c r="AP32" s="190"/>
      <c r="AQ32" s="143" t="s">
        <v>7735</v>
      </c>
      <c r="AR32" s="143" t="s">
        <v>7736</v>
      </c>
      <c r="AS32" s="143" t="s">
        <v>5360</v>
      </c>
      <c r="AT32" s="127" t="s">
        <v>8008</v>
      </c>
      <c r="AU32" s="191"/>
      <c r="AV32" s="143" t="s">
        <v>7738</v>
      </c>
      <c r="AW32" s="137" t="s">
        <v>7739</v>
      </c>
      <c r="AX32" s="143" t="s">
        <v>5363</v>
      </c>
      <c r="AY32" s="143"/>
      <c r="AZ32" s="143"/>
      <c r="BA32" s="143"/>
      <c r="BB32" s="143"/>
      <c r="BC32" s="143"/>
    </row>
    <row r="33">
      <c r="A33" s="127" t="s">
        <v>8009</v>
      </c>
      <c r="B33" s="190"/>
      <c r="C33" s="168" t="s">
        <v>7722</v>
      </c>
      <c r="D33" s="168" t="s">
        <v>5348</v>
      </c>
      <c r="E33" s="125"/>
      <c r="F33" s="127" t="s">
        <v>8010</v>
      </c>
      <c r="G33" s="190"/>
      <c r="H33" s="168" t="s">
        <v>7725</v>
      </c>
      <c r="I33" s="168" t="s">
        <v>8003</v>
      </c>
      <c r="J33" s="125"/>
      <c r="K33" s="117" t="s">
        <v>8011</v>
      </c>
      <c r="L33" s="190"/>
      <c r="M33" s="137" t="s">
        <v>7728</v>
      </c>
      <c r="N33" s="137" t="s">
        <v>8012</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8013</v>
      </c>
      <c r="AA33" s="372"/>
      <c r="AB33" s="143" t="str">
        <f>IFERROR(__xludf.DUMMYFUNCTION("GOOGLETRANSLATE(C33,""zh-tw"",""KO"")"),"흰쌀")</f>
        <v>흰쌀</v>
      </c>
      <c r="AC33" s="316" t="s">
        <v>5355</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8014</v>
      </c>
      <c r="AK33" s="372"/>
      <c r="AL33" s="137" t="s">
        <v>7732</v>
      </c>
      <c r="AM33" s="137" t="s">
        <v>8006</v>
      </c>
      <c r="AN33" s="143"/>
      <c r="AO33" s="139" t="s">
        <v>8011</v>
      </c>
      <c r="AP33" s="190"/>
      <c r="AQ33" s="143" t="s">
        <v>7735</v>
      </c>
      <c r="AR33" s="143" t="s">
        <v>5360</v>
      </c>
      <c r="AS33" s="125"/>
      <c r="AT33" s="127" t="s">
        <v>8011</v>
      </c>
      <c r="AU33" s="191"/>
      <c r="AV33" s="143" t="s">
        <v>7738</v>
      </c>
      <c r="AW33" s="143" t="s">
        <v>5363</v>
      </c>
      <c r="AX33" s="28"/>
      <c r="AY33" s="125"/>
      <c r="AZ33" s="125"/>
      <c r="BA33" s="125"/>
      <c r="BB33" s="125"/>
      <c r="BC33" s="125"/>
    </row>
    <row r="34">
      <c r="A34" s="127" t="s">
        <v>8015</v>
      </c>
      <c r="B34" s="190"/>
      <c r="C34" s="168" t="s">
        <v>7722</v>
      </c>
      <c r="D34" s="168" t="s">
        <v>5348</v>
      </c>
      <c r="E34" s="168" t="s">
        <v>5500</v>
      </c>
      <c r="F34" s="127" t="s">
        <v>8016</v>
      </c>
      <c r="G34" s="190"/>
      <c r="H34" s="168" t="s">
        <v>7725</v>
      </c>
      <c r="I34" s="168" t="s">
        <v>8003</v>
      </c>
      <c r="J34" s="168" t="s">
        <v>8017</v>
      </c>
      <c r="K34" s="117" t="s">
        <v>8018</v>
      </c>
      <c r="L34" s="190"/>
      <c r="M34" s="137" t="s">
        <v>7728</v>
      </c>
      <c r="N34" s="137" t="s">
        <v>8012</v>
      </c>
      <c r="O34" s="137" t="s">
        <v>5502</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8019</v>
      </c>
      <c r="AA34" s="372"/>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8020</v>
      </c>
      <c r="AK34" s="372"/>
      <c r="AL34" s="137" t="s">
        <v>7732</v>
      </c>
      <c r="AM34" s="137" t="s">
        <v>8006</v>
      </c>
      <c r="AN34" s="137" t="s">
        <v>5508</v>
      </c>
      <c r="AO34" s="139" t="s">
        <v>8021</v>
      </c>
      <c r="AP34" s="190"/>
      <c r="AQ34" s="143" t="s">
        <v>7735</v>
      </c>
      <c r="AR34" s="143" t="s">
        <v>5360</v>
      </c>
      <c r="AS34" s="143" t="s">
        <v>5506</v>
      </c>
      <c r="AT34" s="127" t="s">
        <v>8022</v>
      </c>
      <c r="AU34" s="191"/>
      <c r="AV34" s="143" t="s">
        <v>7738</v>
      </c>
      <c r="AW34" s="143" t="s">
        <v>5363</v>
      </c>
      <c r="AX34" s="143" t="s">
        <v>5502</v>
      </c>
      <c r="AY34" s="143"/>
      <c r="AZ34" s="143"/>
      <c r="BA34" s="143"/>
      <c r="BB34" s="143"/>
      <c r="BC34" s="143"/>
    </row>
    <row r="35">
      <c r="A35" s="127" t="s">
        <v>8023</v>
      </c>
      <c r="B35" s="190"/>
      <c r="C35" s="168" t="s">
        <v>7722</v>
      </c>
      <c r="D35" s="168" t="s">
        <v>8024</v>
      </c>
      <c r="E35" s="125"/>
      <c r="F35" s="127" t="s">
        <v>8025</v>
      </c>
      <c r="G35" s="190"/>
      <c r="H35" s="168" t="s">
        <v>7725</v>
      </c>
      <c r="I35" s="168" t="s">
        <v>8026</v>
      </c>
      <c r="J35" s="125"/>
      <c r="K35" s="117" t="s">
        <v>8027</v>
      </c>
      <c r="L35" s="190"/>
      <c r="M35" s="137" t="s">
        <v>7728</v>
      </c>
      <c r="N35" s="137" t="s">
        <v>7993</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8028</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8029</v>
      </c>
      <c r="AK35" s="372"/>
      <c r="AL35" s="137" t="s">
        <v>7732</v>
      </c>
      <c r="AM35" s="137" t="s">
        <v>8030</v>
      </c>
      <c r="AN35" s="143"/>
      <c r="AO35" s="139" t="s">
        <v>8031</v>
      </c>
      <c r="AP35" s="190"/>
      <c r="AQ35" s="143" t="s">
        <v>7735</v>
      </c>
      <c r="AR35" s="143" t="s">
        <v>7998</v>
      </c>
      <c r="AS35" s="125"/>
      <c r="AT35" s="127" t="s">
        <v>8032</v>
      </c>
      <c r="AU35" s="191"/>
      <c r="AV35" s="143" t="s">
        <v>7738</v>
      </c>
      <c r="AW35" s="143" t="s">
        <v>8000</v>
      </c>
      <c r="AX35" s="28"/>
      <c r="AY35" s="125"/>
      <c r="AZ35" s="125"/>
      <c r="BA35" s="125"/>
      <c r="BB35" s="125"/>
      <c r="BC35" s="125"/>
    </row>
    <row r="36">
      <c r="A36" s="127" t="s">
        <v>8033</v>
      </c>
      <c r="B36" s="190"/>
      <c r="C36" s="168" t="s">
        <v>8034</v>
      </c>
      <c r="D36" s="125"/>
      <c r="E36" s="125"/>
      <c r="F36" s="127" t="s">
        <v>8035</v>
      </c>
      <c r="G36" s="190"/>
      <c r="H36" s="168" t="s">
        <v>8036</v>
      </c>
      <c r="I36" s="125"/>
      <c r="J36" s="125"/>
      <c r="K36" s="114" t="s">
        <v>8037</v>
      </c>
      <c r="L36" s="190"/>
      <c r="M36" s="137" t="s">
        <v>8038</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8039</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8040</v>
      </c>
      <c r="AK36" s="372"/>
      <c r="AL36" s="137" t="s">
        <v>8041</v>
      </c>
      <c r="AM36" s="143"/>
      <c r="AN36" s="143"/>
      <c r="AO36" s="139" t="s">
        <v>8042</v>
      </c>
      <c r="AP36" s="190"/>
      <c r="AQ36" s="143" t="s">
        <v>8043</v>
      </c>
      <c r="AR36" s="125"/>
      <c r="AS36" s="125"/>
      <c r="AT36" s="127" t="s">
        <v>8044</v>
      </c>
      <c r="AU36" s="191"/>
      <c r="AV36" s="143" t="s">
        <v>8045</v>
      </c>
      <c r="AW36" s="28"/>
      <c r="AX36" s="28"/>
      <c r="AY36" s="125"/>
      <c r="AZ36" s="125"/>
      <c r="BA36" s="125"/>
      <c r="BB36" s="125"/>
      <c r="BC36" s="125"/>
    </row>
    <row r="37">
      <c r="A37" s="134" t="s">
        <v>8046</v>
      </c>
      <c r="B37" s="190"/>
      <c r="C37" s="168" t="s">
        <v>7940</v>
      </c>
      <c r="D37" s="168" t="s">
        <v>7940</v>
      </c>
      <c r="E37" s="125"/>
      <c r="F37" s="127" t="s">
        <v>8047</v>
      </c>
      <c r="G37" s="190"/>
      <c r="H37" s="168" t="s">
        <v>8048</v>
      </c>
      <c r="I37" s="168" t="s">
        <v>8048</v>
      </c>
      <c r="J37" s="125"/>
      <c r="K37" s="117" t="s">
        <v>8049</v>
      </c>
      <c r="L37" s="190"/>
      <c r="M37" s="137" t="s">
        <v>8050</v>
      </c>
      <c r="N37" s="137" t="s">
        <v>8050</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8051</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8052</v>
      </c>
      <c r="AK37" s="372"/>
      <c r="AL37" s="137" t="s">
        <v>7946</v>
      </c>
      <c r="AM37" s="137" t="s">
        <v>7946</v>
      </c>
      <c r="AN37" s="143"/>
      <c r="AO37" s="107" t="s">
        <v>8053</v>
      </c>
      <c r="AP37" s="190"/>
      <c r="AQ37" s="143" t="s">
        <v>8054</v>
      </c>
      <c r="AR37" s="143" t="s">
        <v>8054</v>
      </c>
      <c r="AS37" s="125"/>
      <c r="AT37" s="127" t="s">
        <v>8055</v>
      </c>
      <c r="AU37" s="191"/>
      <c r="AV37" s="143" t="s">
        <v>8056</v>
      </c>
      <c r="AW37" s="143" t="s">
        <v>8056</v>
      </c>
      <c r="AX37" s="28"/>
      <c r="AY37" s="125"/>
      <c r="AZ37" s="125"/>
      <c r="BA37" s="125"/>
      <c r="BB37" s="125"/>
      <c r="BC37" s="125"/>
    </row>
    <row r="38">
      <c r="A38" s="127" t="s">
        <v>8057</v>
      </c>
      <c r="B38" s="362" t="s">
        <v>263</v>
      </c>
      <c r="C38" s="168" t="s">
        <v>8058</v>
      </c>
      <c r="D38" s="168" t="s">
        <v>8058</v>
      </c>
      <c r="E38" s="168" t="s">
        <v>7741</v>
      </c>
      <c r="F38" s="127" t="s">
        <v>8059</v>
      </c>
      <c r="G38" s="362" t="s">
        <v>263</v>
      </c>
      <c r="H38" s="168" t="s">
        <v>8060</v>
      </c>
      <c r="I38" s="168" t="s">
        <v>8060</v>
      </c>
      <c r="J38" s="168" t="s">
        <v>7743</v>
      </c>
      <c r="K38" s="114" t="s">
        <v>8061</v>
      </c>
      <c r="L38" s="362" t="s">
        <v>263</v>
      </c>
      <c r="M38" s="137" t="s">
        <v>8062</v>
      </c>
      <c r="N38" s="137" t="s">
        <v>8062</v>
      </c>
      <c r="O38" s="137" t="s">
        <v>7745</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8063</v>
      </c>
      <c r="AA38" s="372" t="s">
        <v>263</v>
      </c>
      <c r="AB38" s="137" t="s">
        <v>8064</v>
      </c>
      <c r="AC38" s="137" t="s">
        <v>8064</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8065</v>
      </c>
      <c r="AK38" s="372" t="s">
        <v>263</v>
      </c>
      <c r="AL38" s="137" t="s">
        <v>8066</v>
      </c>
      <c r="AM38" s="137" t="s">
        <v>8066</v>
      </c>
      <c r="AN38" s="137" t="s">
        <v>7747</v>
      </c>
      <c r="AO38" s="139" t="s">
        <v>8067</v>
      </c>
      <c r="AP38" s="362" t="s">
        <v>263</v>
      </c>
      <c r="AQ38" s="143" t="s">
        <v>8068</v>
      </c>
      <c r="AR38" s="143" t="s">
        <v>8068</v>
      </c>
      <c r="AS38" s="143" t="s">
        <v>7749</v>
      </c>
      <c r="AT38" s="127" t="s">
        <v>8069</v>
      </c>
      <c r="AU38" s="362" t="s">
        <v>263</v>
      </c>
      <c r="AV38" s="143" t="s">
        <v>8070</v>
      </c>
      <c r="AW38" s="143" t="s">
        <v>8070</v>
      </c>
      <c r="AX38" s="143" t="s">
        <v>7751</v>
      </c>
      <c r="AY38" s="143"/>
      <c r="AZ38" s="143"/>
      <c r="BA38" s="143"/>
      <c r="BB38" s="143"/>
      <c r="BC38" s="143"/>
    </row>
    <row r="39">
      <c r="A39" s="134" t="s">
        <v>8071</v>
      </c>
      <c r="B39" s="362" t="s">
        <v>263</v>
      </c>
      <c r="C39" s="168" t="s">
        <v>8058</v>
      </c>
      <c r="D39" s="125"/>
      <c r="E39" s="125"/>
      <c r="F39" s="127" t="s">
        <v>8072</v>
      </c>
      <c r="G39" s="362" t="s">
        <v>263</v>
      </c>
      <c r="H39" s="168" t="s">
        <v>8060</v>
      </c>
      <c r="I39" s="125"/>
      <c r="J39" s="125"/>
      <c r="K39" s="117" t="s">
        <v>8073</v>
      </c>
      <c r="L39" s="362" t="s">
        <v>263</v>
      </c>
      <c r="M39" s="137" t="s">
        <v>8062</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8064</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8074</v>
      </c>
      <c r="AK39" s="372" t="s">
        <v>263</v>
      </c>
      <c r="AL39" s="137" t="s">
        <v>8066</v>
      </c>
      <c r="AM39" s="143"/>
      <c r="AN39" s="143"/>
      <c r="AO39" s="107" t="s">
        <v>8075</v>
      </c>
      <c r="AP39" s="362" t="s">
        <v>263</v>
      </c>
      <c r="AQ39" s="143" t="s">
        <v>8068</v>
      </c>
      <c r="AR39" s="125"/>
      <c r="AS39" s="125"/>
      <c r="AT39" s="127" t="s">
        <v>8076</v>
      </c>
      <c r="AU39" s="362" t="s">
        <v>263</v>
      </c>
      <c r="AV39" s="143" t="s">
        <v>8070</v>
      </c>
      <c r="AW39" s="28"/>
      <c r="AX39" s="28"/>
      <c r="AY39" s="125"/>
      <c r="AZ39" s="125"/>
      <c r="BA39" s="125"/>
      <c r="BB39" s="125"/>
      <c r="BC39" s="125"/>
    </row>
    <row r="40">
      <c r="A40" s="127" t="s">
        <v>8077</v>
      </c>
      <c r="B40" s="362" t="s">
        <v>263</v>
      </c>
      <c r="C40" s="168" t="s">
        <v>7722</v>
      </c>
      <c r="D40" s="168" t="s">
        <v>8058</v>
      </c>
      <c r="E40" s="125"/>
      <c r="F40" s="127" t="s">
        <v>8078</v>
      </c>
      <c r="G40" s="362" t="s">
        <v>263</v>
      </c>
      <c r="H40" s="168" t="s">
        <v>7725</v>
      </c>
      <c r="I40" s="168" t="s">
        <v>8060</v>
      </c>
      <c r="J40" s="125"/>
      <c r="K40" s="117" t="s">
        <v>8079</v>
      </c>
      <c r="L40" s="362" t="s">
        <v>263</v>
      </c>
      <c r="M40" s="137" t="s">
        <v>7852</v>
      </c>
      <c r="N40" s="137" t="s">
        <v>8062</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8080</v>
      </c>
      <c r="AA40" s="372" t="s">
        <v>263</v>
      </c>
      <c r="AB40" s="143" t="str">
        <f>IFERROR(__xludf.DUMMYFUNCTION("GOOGLETRANSLATE(C40,""zh-tw"",""KO"")"),"흰쌀")</f>
        <v>흰쌀</v>
      </c>
      <c r="AC40" s="137" t="s">
        <v>8064</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8081</v>
      </c>
      <c r="AK40" s="372" t="s">
        <v>263</v>
      </c>
      <c r="AL40" s="137" t="s">
        <v>7732</v>
      </c>
      <c r="AM40" s="137" t="s">
        <v>8066</v>
      </c>
      <c r="AN40" s="143"/>
      <c r="AO40" s="139" t="s">
        <v>8079</v>
      </c>
      <c r="AP40" s="362" t="s">
        <v>263</v>
      </c>
      <c r="AQ40" s="143" t="s">
        <v>7735</v>
      </c>
      <c r="AR40" s="143" t="s">
        <v>8068</v>
      </c>
      <c r="AS40" s="125"/>
      <c r="AT40" s="127" t="s">
        <v>8079</v>
      </c>
      <c r="AU40" s="362" t="s">
        <v>263</v>
      </c>
      <c r="AV40" s="143" t="s">
        <v>7738</v>
      </c>
      <c r="AW40" s="143" t="s">
        <v>8070</v>
      </c>
      <c r="AX40" s="28"/>
      <c r="AY40" s="125"/>
      <c r="AZ40" s="125"/>
      <c r="BA40" s="125"/>
      <c r="BB40" s="125"/>
      <c r="BC40" s="125"/>
    </row>
    <row r="41">
      <c r="A41" s="127" t="s">
        <v>8082</v>
      </c>
      <c r="B41" s="190"/>
      <c r="C41" s="168" t="s">
        <v>8083</v>
      </c>
      <c r="D41" s="168" t="s">
        <v>8083</v>
      </c>
      <c r="E41" s="168" t="s">
        <v>8083</v>
      </c>
      <c r="F41" s="127" t="s">
        <v>8084</v>
      </c>
      <c r="G41" s="377"/>
      <c r="H41" s="168" t="s">
        <v>8026</v>
      </c>
      <c r="I41" s="168" t="s">
        <v>8026</v>
      </c>
      <c r="J41" s="168" t="s">
        <v>8026</v>
      </c>
      <c r="K41" s="117" t="s">
        <v>8085</v>
      </c>
      <c r="L41" s="190"/>
      <c r="M41" s="137" t="s">
        <v>8086</v>
      </c>
      <c r="N41" s="137" t="s">
        <v>8086</v>
      </c>
      <c r="O41" s="137" t="s">
        <v>8086</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8087</v>
      </c>
      <c r="AA41" s="372"/>
      <c r="AB41" s="137" t="s">
        <v>8028</v>
      </c>
      <c r="AC41" s="137" t="s">
        <v>8028</v>
      </c>
      <c r="AD41" s="137" t="s">
        <v>8028</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8088</v>
      </c>
      <c r="AK41" s="372"/>
      <c r="AL41" s="137" t="s">
        <v>8030</v>
      </c>
      <c r="AM41" s="137" t="s">
        <v>8030</v>
      </c>
      <c r="AN41" s="137" t="s">
        <v>8030</v>
      </c>
      <c r="AO41" s="139" t="s">
        <v>8089</v>
      </c>
      <c r="AP41" s="190"/>
      <c r="AQ41" s="143" t="s">
        <v>8090</v>
      </c>
      <c r="AR41" s="143" t="s">
        <v>8090</v>
      </c>
      <c r="AS41" s="143" t="s">
        <v>8090</v>
      </c>
      <c r="AT41" s="127" t="s">
        <v>8091</v>
      </c>
      <c r="AU41" s="191"/>
      <c r="AV41" s="143" t="s">
        <v>8092</v>
      </c>
      <c r="AW41" s="143" t="s">
        <v>8092</v>
      </c>
      <c r="AX41" s="143" t="s">
        <v>8092</v>
      </c>
      <c r="AY41" s="143"/>
      <c r="AZ41" s="143"/>
      <c r="BA41" s="143"/>
      <c r="BB41" s="143"/>
      <c r="BC41" s="143"/>
    </row>
    <row r="42">
      <c r="A42" s="127" t="s">
        <v>8093</v>
      </c>
      <c r="B42" s="190"/>
      <c r="C42" s="168" t="s">
        <v>8094</v>
      </c>
      <c r="D42" s="168" t="s">
        <v>8094</v>
      </c>
      <c r="E42" s="168" t="s">
        <v>8094</v>
      </c>
      <c r="F42" s="127" t="s">
        <v>8095</v>
      </c>
      <c r="G42" s="377"/>
      <c r="H42" s="168" t="s">
        <v>8096</v>
      </c>
      <c r="I42" s="168" t="s">
        <v>8096</v>
      </c>
      <c r="J42" s="168" t="s">
        <v>8096</v>
      </c>
      <c r="K42" s="117" t="s">
        <v>8097</v>
      </c>
      <c r="L42" s="190"/>
      <c r="M42" s="137" t="s">
        <v>8098</v>
      </c>
      <c r="N42" s="137" t="s">
        <v>8098</v>
      </c>
      <c r="O42" s="137" t="s">
        <v>8098</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8099</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8100</v>
      </c>
      <c r="AK42" s="372"/>
      <c r="AL42" s="137" t="s">
        <v>8101</v>
      </c>
      <c r="AM42" s="137" t="s">
        <v>8101</v>
      </c>
      <c r="AN42" s="137" t="s">
        <v>8101</v>
      </c>
      <c r="AO42" s="139" t="s">
        <v>8102</v>
      </c>
      <c r="AP42" s="190"/>
      <c r="AQ42" s="143" t="s">
        <v>8103</v>
      </c>
      <c r="AR42" s="143" t="s">
        <v>8103</v>
      </c>
      <c r="AS42" s="143" t="s">
        <v>8103</v>
      </c>
      <c r="AT42" s="127" t="s">
        <v>8104</v>
      </c>
      <c r="AU42" s="191"/>
      <c r="AV42" s="143" t="s">
        <v>8105</v>
      </c>
      <c r="AW42" s="143" t="s">
        <v>8105</v>
      </c>
      <c r="AX42" s="143" t="s">
        <v>8105</v>
      </c>
      <c r="AY42" s="143"/>
      <c r="AZ42" s="143"/>
      <c r="BA42" s="143"/>
      <c r="BB42" s="143"/>
      <c r="BC42" s="143"/>
    </row>
    <row r="43">
      <c r="A43" s="134" t="s">
        <v>8106</v>
      </c>
      <c r="B43" s="190"/>
      <c r="C43" s="168" t="s">
        <v>8107</v>
      </c>
      <c r="D43" s="125"/>
      <c r="E43" s="125"/>
      <c r="F43" s="127" t="s">
        <v>8108</v>
      </c>
      <c r="G43" s="377"/>
      <c r="H43" s="168" t="s">
        <v>8109</v>
      </c>
      <c r="I43" s="125"/>
      <c r="J43" s="125"/>
      <c r="K43" s="117" t="s">
        <v>8110</v>
      </c>
      <c r="L43" s="190"/>
      <c r="M43" s="137" t="s">
        <v>8111</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8112</v>
      </c>
      <c r="AK43" s="372"/>
      <c r="AL43" s="137" t="s">
        <v>8113</v>
      </c>
      <c r="AM43" s="143"/>
      <c r="AN43" s="143"/>
      <c r="AO43" s="107" t="s">
        <v>8114</v>
      </c>
      <c r="AP43" s="190"/>
      <c r="AQ43" s="143" t="s">
        <v>8115</v>
      </c>
      <c r="AR43" s="143" t="s">
        <v>7749</v>
      </c>
      <c r="AS43" s="125"/>
      <c r="AT43" s="127" t="s">
        <v>8116</v>
      </c>
      <c r="AU43" s="191"/>
      <c r="AV43" s="143" t="s">
        <v>8117</v>
      </c>
      <c r="AW43" s="28"/>
      <c r="AX43" s="28"/>
      <c r="AY43" s="125"/>
      <c r="AZ43" s="125"/>
      <c r="BA43" s="125"/>
      <c r="BB43" s="125"/>
      <c r="BC43" s="125"/>
    </row>
    <row r="44">
      <c r="A44" s="127" t="s">
        <v>8118</v>
      </c>
      <c r="B44" s="377"/>
      <c r="C44" s="168" t="s">
        <v>7926</v>
      </c>
      <c r="D44" s="168" t="s">
        <v>7741</v>
      </c>
      <c r="E44" s="125"/>
      <c r="F44" s="127" t="s">
        <v>8119</v>
      </c>
      <c r="G44" s="377"/>
      <c r="H44" s="168" t="s">
        <v>7928</v>
      </c>
      <c r="I44" s="168" t="s">
        <v>7743</v>
      </c>
      <c r="J44" s="125"/>
      <c r="K44" s="117" t="s">
        <v>8120</v>
      </c>
      <c r="L44" s="190"/>
      <c r="M44" s="137" t="s">
        <v>7930</v>
      </c>
      <c r="N44" s="137" t="s">
        <v>7745</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8121</v>
      </c>
      <c r="AA44" s="372"/>
      <c r="AB44" s="137" t="s">
        <v>7932</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8122</v>
      </c>
      <c r="AK44" s="372"/>
      <c r="AL44" s="137" t="s">
        <v>7934</v>
      </c>
      <c r="AM44" s="137" t="s">
        <v>7747</v>
      </c>
      <c r="AN44" s="143"/>
      <c r="AO44" s="139" t="s">
        <v>8120</v>
      </c>
      <c r="AP44" s="190"/>
      <c r="AQ44" s="143" t="s">
        <v>7936</v>
      </c>
      <c r="AR44" s="125"/>
      <c r="AS44" s="125"/>
      <c r="AT44" s="127" t="s">
        <v>8120</v>
      </c>
      <c r="AU44" s="191"/>
      <c r="AV44" s="143" t="s">
        <v>7930</v>
      </c>
      <c r="AW44" s="143" t="s">
        <v>7751</v>
      </c>
      <c r="AX44" s="28"/>
      <c r="AY44" s="125"/>
      <c r="AZ44" s="125"/>
      <c r="BA44" s="125"/>
      <c r="BB44" s="125"/>
      <c r="BC44" s="125"/>
    </row>
    <row r="45">
      <c r="A45" s="127" t="s">
        <v>8123</v>
      </c>
      <c r="B45" s="377"/>
      <c r="C45" s="168" t="s">
        <v>7795</v>
      </c>
      <c r="D45" s="125"/>
      <c r="E45" s="125"/>
      <c r="F45" s="127" t="s">
        <v>7830</v>
      </c>
      <c r="G45" s="377"/>
      <c r="H45" s="168" t="s">
        <v>7797</v>
      </c>
      <c r="I45" s="125"/>
      <c r="J45" s="125"/>
      <c r="K45" s="117" t="s">
        <v>8124</v>
      </c>
      <c r="L45" s="190"/>
      <c r="M45" s="137" t="s">
        <v>7800</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8125</v>
      </c>
      <c r="AA45" s="372"/>
      <c r="AB45" s="137" t="s">
        <v>7802</v>
      </c>
      <c r="AC45" s="143"/>
      <c r="AD45" s="143"/>
      <c r="AE45" s="127" t="str">
        <f>IFERROR(__xludf.DUMMYFUNCTION("GOOGLETRANSLATE(A45,""zh-tw"",""ru"")"),"Гамбургерные котлеты")</f>
        <v>Гамбургерные котлеты</v>
      </c>
      <c r="AF45" s="371"/>
      <c r="AG45" s="168" t="str">
        <f>IFERROR(__xludf.DUMMYFUNCTION("GOOGLETRANSLATE(C45,""zh-tw"",""ru"")"),"Большие куски мяса")</f>
        <v>Большие куски мяса</v>
      </c>
      <c r="AH45" s="168"/>
      <c r="AI45" s="168"/>
      <c r="AJ45" s="375" t="s">
        <v>8126</v>
      </c>
      <c r="AK45" s="372"/>
      <c r="AL45" s="137" t="s">
        <v>7804</v>
      </c>
      <c r="AM45" s="143"/>
      <c r="AN45" s="143"/>
      <c r="AO45" s="139" t="s">
        <v>8127</v>
      </c>
      <c r="AP45" s="190"/>
      <c r="AQ45" s="143" t="s">
        <v>7805</v>
      </c>
      <c r="AR45" s="125"/>
      <c r="AS45" s="125"/>
      <c r="AT45" s="127" t="s">
        <v>8128</v>
      </c>
      <c r="AU45" s="191"/>
      <c r="AV45" s="143" t="s">
        <v>7806</v>
      </c>
      <c r="AW45" s="28"/>
      <c r="AX45" s="28"/>
      <c r="AY45" s="125"/>
      <c r="AZ45" s="125"/>
      <c r="BA45" s="125"/>
      <c r="BB45" s="125"/>
      <c r="BC45" s="125"/>
    </row>
    <row r="46">
      <c r="A46" s="127" t="s">
        <v>8129</v>
      </c>
      <c r="B46" s="362" t="s">
        <v>934</v>
      </c>
      <c r="C46" s="168" t="s">
        <v>5489</v>
      </c>
      <c r="D46" s="168" t="s">
        <v>5510</v>
      </c>
      <c r="E46" s="125"/>
      <c r="F46" s="127" t="s">
        <v>8130</v>
      </c>
      <c r="G46" s="362" t="s">
        <v>934</v>
      </c>
      <c r="H46" s="168" t="s">
        <v>7917</v>
      </c>
      <c r="I46" s="168" t="s">
        <v>8131</v>
      </c>
      <c r="J46" s="125"/>
      <c r="K46" s="117" t="s">
        <v>8132</v>
      </c>
      <c r="L46" s="362" t="s">
        <v>934</v>
      </c>
      <c r="M46" s="137" t="s">
        <v>5491</v>
      </c>
      <c r="N46" s="137" t="s">
        <v>5512</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8133</v>
      </c>
      <c r="AA46" s="372" t="s">
        <v>934</v>
      </c>
      <c r="AB46" s="143" t="str">
        <f>IFERROR(__xludf.DUMMYFUNCTION("GOOGLETRANSLATE(C46,""zh-tw"",""KO"")"),"감자")</f>
        <v>감자</v>
      </c>
      <c r="AC46" s="316" t="s">
        <v>8134</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8135</v>
      </c>
      <c r="AK46" s="372" t="s">
        <v>934</v>
      </c>
      <c r="AL46" s="137" t="s">
        <v>5494</v>
      </c>
      <c r="AM46" s="137" t="s">
        <v>8136</v>
      </c>
      <c r="AN46" s="143"/>
      <c r="AO46" s="139" t="s">
        <v>8137</v>
      </c>
      <c r="AP46" s="362" t="s">
        <v>934</v>
      </c>
      <c r="AQ46" s="143" t="s">
        <v>5496</v>
      </c>
      <c r="AR46" s="143" t="s">
        <v>5516</v>
      </c>
      <c r="AS46" s="125"/>
      <c r="AT46" s="127" t="s">
        <v>8138</v>
      </c>
      <c r="AU46" s="362" t="s">
        <v>934</v>
      </c>
      <c r="AV46" s="143" t="s">
        <v>5498</v>
      </c>
      <c r="AW46" s="143" t="s">
        <v>5512</v>
      </c>
      <c r="AX46" s="28"/>
      <c r="AY46" s="125"/>
      <c r="AZ46" s="125"/>
      <c r="BA46" s="125"/>
      <c r="BB46" s="125"/>
      <c r="BC46" s="125"/>
    </row>
    <row r="47">
      <c r="A47" s="127" t="s">
        <v>8139</v>
      </c>
      <c r="B47" s="362" t="s">
        <v>934</v>
      </c>
      <c r="C47" s="168" t="s">
        <v>5510</v>
      </c>
      <c r="D47" s="125"/>
      <c r="E47" s="125"/>
      <c r="F47" s="127" t="s">
        <v>8140</v>
      </c>
      <c r="G47" s="362" t="s">
        <v>934</v>
      </c>
      <c r="H47" s="168" t="s">
        <v>8131</v>
      </c>
      <c r="I47" s="125"/>
      <c r="J47" s="125"/>
      <c r="K47" s="117" t="s">
        <v>8141</v>
      </c>
      <c r="L47" s="362" t="s">
        <v>934</v>
      </c>
      <c r="M47" s="137" t="s">
        <v>5512</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8142</v>
      </c>
      <c r="AA47" s="372" t="s">
        <v>934</v>
      </c>
      <c r="AB47" s="316" t="s">
        <v>8134</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8143</v>
      </c>
      <c r="AK47" s="372" t="s">
        <v>934</v>
      </c>
      <c r="AL47" s="137" t="s">
        <v>8136</v>
      </c>
      <c r="AM47" s="143"/>
      <c r="AN47" s="143"/>
      <c r="AO47" s="139" t="s">
        <v>8144</v>
      </c>
      <c r="AP47" s="362" t="s">
        <v>934</v>
      </c>
      <c r="AQ47" s="143" t="s">
        <v>5516</v>
      </c>
      <c r="AR47" s="125"/>
      <c r="AS47" s="125"/>
      <c r="AT47" s="127" t="s">
        <v>8145</v>
      </c>
      <c r="AU47" s="362" t="s">
        <v>934</v>
      </c>
      <c r="AV47" s="143" t="s">
        <v>5512</v>
      </c>
      <c r="AW47" s="28"/>
      <c r="AX47" s="28"/>
      <c r="AY47" s="125"/>
      <c r="AZ47" s="125"/>
      <c r="BA47" s="125"/>
      <c r="BB47" s="125"/>
      <c r="BC47" s="125"/>
    </row>
    <row r="48">
      <c r="A48" s="127" t="s">
        <v>8146</v>
      </c>
      <c r="B48" s="377"/>
      <c r="C48" s="168" t="s">
        <v>7710</v>
      </c>
      <c r="D48" s="168" t="s">
        <v>7859</v>
      </c>
      <c r="E48" s="125"/>
      <c r="F48" s="127" t="s">
        <v>8147</v>
      </c>
      <c r="G48" s="377"/>
      <c r="H48" s="168" t="s">
        <v>7712</v>
      </c>
      <c r="I48" s="168" t="s">
        <v>7861</v>
      </c>
      <c r="J48" s="125"/>
      <c r="K48" s="117" t="s">
        <v>8148</v>
      </c>
      <c r="L48" s="190"/>
      <c r="M48" s="137" t="s">
        <v>7714</v>
      </c>
      <c r="N48" s="137" t="s">
        <v>7863</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8149</v>
      </c>
      <c r="AA48" s="372"/>
      <c r="AB48" s="316" t="s">
        <v>7715</v>
      </c>
      <c r="AC48" s="137" t="s">
        <v>7864</v>
      </c>
      <c r="AD48" s="143"/>
      <c r="AE48" s="127" t="str">
        <f>IFERROR(__xludf.DUMMYFUNCTION("GOOGLETRANSLATE(A48,""zh-tw"",""ru"")"),"Водяной монстр-мармелад")</f>
        <v>Водяной монстр-мармелад</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8150</v>
      </c>
      <c r="AK48" s="372"/>
      <c r="AL48" s="137" t="s">
        <v>7717</v>
      </c>
      <c r="AM48" s="137" t="s">
        <v>7866</v>
      </c>
      <c r="AN48" s="143"/>
      <c r="AO48" s="139" t="s">
        <v>8151</v>
      </c>
      <c r="AP48" s="190"/>
      <c r="AQ48" s="143" t="s">
        <v>7719</v>
      </c>
      <c r="AR48" s="143" t="s">
        <v>7868</v>
      </c>
      <c r="AS48" s="125"/>
      <c r="AT48" s="127" t="s">
        <v>8152</v>
      </c>
      <c r="AU48" s="191"/>
      <c r="AV48" s="143" t="s">
        <v>7720</v>
      </c>
      <c r="AW48" s="143" t="s">
        <v>8153</v>
      </c>
      <c r="AX48" s="28"/>
      <c r="AY48" s="125"/>
      <c r="AZ48" s="125"/>
      <c r="BA48" s="125"/>
      <c r="BB48" s="125"/>
      <c r="BC48" s="125"/>
    </row>
    <row r="49">
      <c r="A49" s="127" t="s">
        <v>8154</v>
      </c>
      <c r="B49" s="377"/>
      <c r="C49" s="168" t="s">
        <v>7710</v>
      </c>
      <c r="D49" s="168" t="s">
        <v>7859</v>
      </c>
      <c r="E49" s="125"/>
      <c r="F49" s="127" t="s">
        <v>8155</v>
      </c>
      <c r="G49" s="377"/>
      <c r="H49" s="168" t="s">
        <v>7712</v>
      </c>
      <c r="I49" s="168" t="s">
        <v>7861</v>
      </c>
      <c r="J49" s="125"/>
      <c r="K49" s="117" t="s">
        <v>8156</v>
      </c>
      <c r="L49" s="190"/>
      <c r="M49" s="137" t="s">
        <v>7714</v>
      </c>
      <c r="N49" s="137" t="s">
        <v>7863</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8157</v>
      </c>
      <c r="AA49" s="372"/>
      <c r="AB49" s="316" t="s">
        <v>7715</v>
      </c>
      <c r="AC49" s="316" t="s">
        <v>7864</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8158</v>
      </c>
      <c r="AK49" s="372"/>
      <c r="AL49" s="137" t="s">
        <v>7717</v>
      </c>
      <c r="AM49" s="137" t="s">
        <v>7866</v>
      </c>
      <c r="AN49" s="143"/>
      <c r="AO49" s="139" t="s">
        <v>8159</v>
      </c>
      <c r="AP49" s="190"/>
      <c r="AQ49" s="143" t="s">
        <v>7719</v>
      </c>
      <c r="AR49" s="143" t="s">
        <v>7868</v>
      </c>
      <c r="AS49" s="125"/>
      <c r="AT49" s="127" t="s">
        <v>8160</v>
      </c>
      <c r="AU49" s="191"/>
      <c r="AV49" s="143" t="s">
        <v>7720</v>
      </c>
      <c r="AW49" s="143" t="s">
        <v>8153</v>
      </c>
      <c r="AX49" s="28"/>
      <c r="AY49" s="125"/>
      <c r="AZ49" s="125"/>
      <c r="BA49" s="125"/>
      <c r="BB49" s="125"/>
      <c r="BC49" s="125"/>
    </row>
    <row r="50">
      <c r="A50" s="127" t="s">
        <v>8161</v>
      </c>
      <c r="B50" s="378" t="s">
        <v>8162</v>
      </c>
      <c r="C50" s="168" t="s">
        <v>7710</v>
      </c>
      <c r="D50" s="168" t="s">
        <v>7859</v>
      </c>
      <c r="E50" s="168" t="s">
        <v>8163</v>
      </c>
      <c r="F50" s="127" t="s">
        <v>8164</v>
      </c>
      <c r="G50" s="378" t="s">
        <v>8165</v>
      </c>
      <c r="H50" s="168" t="s">
        <v>7712</v>
      </c>
      <c r="I50" s="168" t="s">
        <v>7861</v>
      </c>
      <c r="J50" s="168" t="s">
        <v>8166</v>
      </c>
      <c r="K50" s="117" t="s">
        <v>8167</v>
      </c>
      <c r="L50" s="174" t="s">
        <v>8168</v>
      </c>
      <c r="M50" s="137" t="s">
        <v>7714</v>
      </c>
      <c r="N50" s="137" t="s">
        <v>7863</v>
      </c>
      <c r="O50" s="137" t="s">
        <v>8169</v>
      </c>
      <c r="P50" s="117" t="str">
        <f>IFERROR(__xludf.DUMMYFUNCTION("GOOGLETRANSLATE(A50,""zh-tw"",""zh"")"),"水怪软糖(红)")</f>
        <v>水怪软糖(红)</v>
      </c>
      <c r="Q50" s="378" t="s">
        <v>8162</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8170</v>
      </c>
      <c r="AA50" s="372" t="s">
        <v>8171</v>
      </c>
      <c r="AB50" s="137" t="s">
        <v>7715</v>
      </c>
      <c r="AC50" s="316" t="s">
        <v>7864</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8172</v>
      </c>
      <c r="AK50" s="372" t="s">
        <v>934</v>
      </c>
      <c r="AL50" s="137" t="s">
        <v>7717</v>
      </c>
      <c r="AM50" s="137" t="s">
        <v>7866</v>
      </c>
      <c r="AN50" s="143" t="str">
        <f>IFERROR(__xludf.DUMMYFUNCTION("GOOGLETRANSLATE(E50,""zh-tw"",""de"")"),"Tomaten/Paprika")</f>
        <v>Tomaten/Paprika</v>
      </c>
      <c r="AO50" s="139" t="s">
        <v>8173</v>
      </c>
      <c r="AP50" s="89" t="s">
        <v>8174</v>
      </c>
      <c r="AQ50" s="143" t="s">
        <v>7719</v>
      </c>
      <c r="AR50" s="143" t="s">
        <v>7868</v>
      </c>
      <c r="AS50" s="143" t="s">
        <v>8175</v>
      </c>
      <c r="AT50" s="127" t="s">
        <v>8176</v>
      </c>
      <c r="AU50" s="162" t="s">
        <v>8177</v>
      </c>
      <c r="AV50" s="143" t="s">
        <v>7720</v>
      </c>
      <c r="AW50" s="143" t="s">
        <v>8153</v>
      </c>
      <c r="AX50" s="143" t="s">
        <v>8178</v>
      </c>
      <c r="AY50" s="143"/>
      <c r="AZ50" s="143"/>
      <c r="BA50" s="143"/>
      <c r="BB50" s="143"/>
      <c r="BC50" s="143"/>
    </row>
    <row r="51">
      <c r="A51" s="127" t="s">
        <v>8179</v>
      </c>
      <c r="B51" s="377"/>
      <c r="C51" s="168" t="s">
        <v>7741</v>
      </c>
      <c r="D51" s="125"/>
      <c r="E51" s="125"/>
      <c r="F51" s="127" t="s">
        <v>8180</v>
      </c>
      <c r="G51" s="377"/>
      <c r="H51" s="168" t="s">
        <v>7743</v>
      </c>
      <c r="I51" s="125"/>
      <c r="J51" s="125"/>
      <c r="K51" s="117" t="s">
        <v>8181</v>
      </c>
      <c r="L51" s="190"/>
      <c r="M51" s="137" t="s">
        <v>7745</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8182</v>
      </c>
      <c r="AK51" s="372"/>
      <c r="AL51" s="137" t="s">
        <v>7747</v>
      </c>
      <c r="AM51" s="143"/>
      <c r="AN51" s="143"/>
      <c r="AO51" s="139" t="s">
        <v>8183</v>
      </c>
      <c r="AP51" s="190"/>
      <c r="AQ51" s="143" t="s">
        <v>7749</v>
      </c>
      <c r="AR51" s="125"/>
      <c r="AS51" s="125"/>
      <c r="AT51" s="127" t="s">
        <v>8184</v>
      </c>
      <c r="AU51" s="191"/>
      <c r="AV51" s="143" t="s">
        <v>7751</v>
      </c>
      <c r="AW51" s="28"/>
      <c r="AX51" s="28"/>
      <c r="AY51" s="125"/>
      <c r="AZ51" s="125"/>
      <c r="BA51" s="125"/>
      <c r="BB51" s="125"/>
      <c r="BC51" s="125"/>
    </row>
    <row r="52">
      <c r="A52" s="127" t="s">
        <v>8185</v>
      </c>
      <c r="B52" s="377"/>
      <c r="C52" s="168" t="s">
        <v>5473</v>
      </c>
      <c r="D52" s="168" t="s">
        <v>7741</v>
      </c>
      <c r="E52" s="125"/>
      <c r="F52" s="127" t="s">
        <v>8186</v>
      </c>
      <c r="G52" s="377"/>
      <c r="H52" s="168" t="s">
        <v>8187</v>
      </c>
      <c r="I52" s="168" t="s">
        <v>7743</v>
      </c>
      <c r="J52" s="125"/>
      <c r="K52" s="117" t="s">
        <v>8188</v>
      </c>
      <c r="L52" s="190"/>
      <c r="M52" s="137" t="s">
        <v>5477</v>
      </c>
      <c r="N52" s="137" t="s">
        <v>7745</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8189</v>
      </c>
      <c r="AK52" s="372"/>
      <c r="AL52" s="137" t="s">
        <v>8190</v>
      </c>
      <c r="AM52" s="137" t="s">
        <v>7747</v>
      </c>
      <c r="AN52" s="143"/>
      <c r="AO52" s="139" t="s">
        <v>8191</v>
      </c>
      <c r="AP52" s="190"/>
      <c r="AQ52" s="143" t="s">
        <v>5483</v>
      </c>
      <c r="AR52" s="143" t="s">
        <v>7749</v>
      </c>
      <c r="AS52" s="125"/>
      <c r="AT52" s="127" t="s">
        <v>8192</v>
      </c>
      <c r="AU52" s="191"/>
      <c r="AV52" s="143" t="s">
        <v>5486</v>
      </c>
      <c r="AW52" s="143" t="s">
        <v>7751</v>
      </c>
      <c r="AX52" s="28"/>
      <c r="AY52" s="125"/>
      <c r="AZ52" s="125"/>
      <c r="BA52" s="125"/>
      <c r="BB52" s="125"/>
      <c r="BC52" s="125"/>
    </row>
    <row r="53">
      <c r="A53" s="127" t="s">
        <v>8193</v>
      </c>
      <c r="B53" s="377"/>
      <c r="C53" s="168" t="s">
        <v>5500</v>
      </c>
      <c r="D53" s="125"/>
      <c r="E53" s="125"/>
      <c r="F53" s="127" t="s">
        <v>8194</v>
      </c>
      <c r="G53" s="377"/>
      <c r="H53" s="168" t="s">
        <v>8017</v>
      </c>
      <c r="I53" s="125"/>
      <c r="J53" s="125"/>
      <c r="K53" s="117" t="s">
        <v>8195</v>
      </c>
      <c r="L53" s="190"/>
      <c r="M53" s="137" t="s">
        <v>5502</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8196</v>
      </c>
      <c r="AK53" s="372"/>
      <c r="AL53" s="137" t="s">
        <v>5508</v>
      </c>
      <c r="AM53" s="143"/>
      <c r="AN53" s="143"/>
      <c r="AO53" s="139" t="s">
        <v>8197</v>
      </c>
      <c r="AP53" s="190"/>
      <c r="AQ53" s="143" t="s">
        <v>5496</v>
      </c>
      <c r="AR53" s="125"/>
      <c r="AS53" s="125"/>
      <c r="AT53" s="127" t="s">
        <v>8198</v>
      </c>
      <c r="AU53" s="191"/>
      <c r="AV53" s="143" t="s">
        <v>5508</v>
      </c>
      <c r="AW53" s="28"/>
      <c r="AX53" s="28"/>
      <c r="AY53" s="125"/>
      <c r="AZ53" s="125"/>
      <c r="BA53" s="125"/>
      <c r="BB53" s="125"/>
      <c r="BC53" s="125"/>
    </row>
    <row r="54">
      <c r="A54" s="127" t="s">
        <v>5473</v>
      </c>
      <c r="B54" s="377"/>
      <c r="C54" s="168" t="s">
        <v>5473</v>
      </c>
      <c r="D54" s="125"/>
      <c r="E54" s="125"/>
      <c r="F54" s="127" t="s">
        <v>8199</v>
      </c>
      <c r="G54" s="377"/>
      <c r="H54" s="168" t="s">
        <v>8187</v>
      </c>
      <c r="I54" s="125"/>
      <c r="J54" s="125"/>
      <c r="K54" s="117" t="s">
        <v>5477</v>
      </c>
      <c r="L54" s="190"/>
      <c r="M54" s="137" t="s">
        <v>5477</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8190</v>
      </c>
      <c r="AK54" s="372"/>
      <c r="AL54" s="137" t="s">
        <v>8190</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8200</v>
      </c>
      <c r="B55" s="190"/>
      <c r="C55" s="379" t="s">
        <v>8058</v>
      </c>
      <c r="D55" s="379" t="s">
        <v>8201</v>
      </c>
      <c r="E55" s="379" t="s">
        <v>8202</v>
      </c>
      <c r="F55" s="126"/>
      <c r="G55" s="377"/>
      <c r="H55" s="125"/>
      <c r="I55" s="125"/>
      <c r="J55" s="125"/>
      <c r="K55" s="114" t="s">
        <v>8203</v>
      </c>
      <c r="L55" s="162"/>
      <c r="M55" s="137" t="s">
        <v>8062</v>
      </c>
      <c r="N55" s="137" t="s">
        <v>8204</v>
      </c>
      <c r="O55" s="137" t="s">
        <v>7728</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8205</v>
      </c>
      <c r="AP55" s="162"/>
      <c r="AQ55" s="137" t="s">
        <v>8068</v>
      </c>
      <c r="AR55" s="137" t="s">
        <v>8206</v>
      </c>
      <c r="AS55" s="137" t="s">
        <v>7735</v>
      </c>
      <c r="AT55" s="134" t="s">
        <v>8207</v>
      </c>
      <c r="AU55" s="191"/>
      <c r="AV55" s="137" t="s">
        <v>8070</v>
      </c>
      <c r="AW55" s="137" t="s">
        <v>8208</v>
      </c>
      <c r="AX55" s="143" t="s">
        <v>7738</v>
      </c>
      <c r="AY55" s="125"/>
      <c r="AZ55" s="125"/>
      <c r="BA55" s="125"/>
      <c r="BB55" s="125"/>
      <c r="BC55" s="125"/>
    </row>
    <row r="56">
      <c r="A56" s="134" t="s">
        <v>8209</v>
      </c>
      <c r="B56" s="190"/>
      <c r="C56" s="379" t="s">
        <v>8058</v>
      </c>
      <c r="D56" s="379" t="s">
        <v>8210</v>
      </c>
      <c r="E56" s="379" t="s">
        <v>8202</v>
      </c>
      <c r="F56" s="126"/>
      <c r="G56" s="377"/>
      <c r="H56" s="125"/>
      <c r="I56" s="125"/>
      <c r="J56" s="125"/>
      <c r="K56" s="114" t="s">
        <v>8211</v>
      </c>
      <c r="L56" s="190"/>
      <c r="M56" s="137" t="s">
        <v>8062</v>
      </c>
      <c r="N56" s="137" t="s">
        <v>7729</v>
      </c>
      <c r="O56" s="137" t="s">
        <v>7728</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8212</v>
      </c>
      <c r="AP56" s="162"/>
      <c r="AQ56" s="137" t="s">
        <v>8068</v>
      </c>
      <c r="AR56" s="137" t="s">
        <v>7736</v>
      </c>
      <c r="AS56" s="137" t="s">
        <v>7735</v>
      </c>
      <c r="AT56" s="134" t="s">
        <v>8213</v>
      </c>
      <c r="AU56" s="191"/>
      <c r="AV56" s="137" t="s">
        <v>8070</v>
      </c>
      <c r="AW56" s="380" t="s">
        <v>7739</v>
      </c>
      <c r="AX56" s="143" t="s">
        <v>7738</v>
      </c>
      <c r="AY56" s="125"/>
      <c r="AZ56" s="125"/>
      <c r="BA56" s="125"/>
      <c r="BB56" s="125"/>
      <c r="BC56" s="125"/>
    </row>
    <row r="57">
      <c r="A57" s="134" t="s">
        <v>8214</v>
      </c>
      <c r="B57" s="190"/>
      <c r="C57" s="379" t="s">
        <v>7915</v>
      </c>
      <c r="D57" s="379" t="s">
        <v>7915</v>
      </c>
      <c r="E57" s="379" t="s">
        <v>7915</v>
      </c>
      <c r="F57" s="126"/>
      <c r="G57" s="190"/>
      <c r="H57" s="125"/>
      <c r="I57" s="125"/>
      <c r="J57" s="125"/>
      <c r="K57" s="114" t="s">
        <v>8215</v>
      </c>
      <c r="L57" s="190"/>
      <c r="M57" s="137" t="s">
        <v>7920</v>
      </c>
      <c r="N57" s="137" t="s">
        <v>7920</v>
      </c>
      <c r="O57" s="137" t="s">
        <v>7920</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8216</v>
      </c>
      <c r="AP57" s="162"/>
      <c r="AQ57" s="137" t="s">
        <v>7923</v>
      </c>
      <c r="AR57" s="137" t="s">
        <v>7923</v>
      </c>
      <c r="AS57" s="137" t="s">
        <v>7923</v>
      </c>
      <c r="AT57" s="134" t="s">
        <v>8217</v>
      </c>
      <c r="AU57" s="191"/>
      <c r="AV57" s="137" t="s">
        <v>7924</v>
      </c>
      <c r="AW57" s="137" t="s">
        <v>7924</v>
      </c>
      <c r="AX57" s="137" t="s">
        <v>7924</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8218</v>
      </c>
      <c r="AK1" s="307" t="s">
        <v>240</v>
      </c>
      <c r="AO1" s="381"/>
      <c r="AP1" s="381"/>
    </row>
    <row r="2" ht="45.0" customHeight="1">
      <c r="AO2" s="381"/>
      <c r="AP2" s="381"/>
    </row>
    <row r="3" ht="55.5" customHeight="1">
      <c r="A3" s="382" t="s">
        <v>8219</v>
      </c>
      <c r="B3" s="25" t="s">
        <v>8220</v>
      </c>
      <c r="C3" s="383" t="s">
        <v>8221</v>
      </c>
      <c r="D3" s="157" t="s">
        <v>8222</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8223</v>
      </c>
      <c r="J3" s="25" t="s">
        <v>8224</v>
      </c>
      <c r="K3" s="383" t="s">
        <v>8225</v>
      </c>
      <c r="L3" s="157" t="s">
        <v>8226</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8227</v>
      </c>
      <c r="AH3" s="387" t="s">
        <v>8228</v>
      </c>
      <c r="AI3" s="388" t="s">
        <v>8229</v>
      </c>
      <c r="AJ3" s="389" t="s">
        <v>4814</v>
      </c>
      <c r="AK3" s="159" t="s">
        <v>8230</v>
      </c>
      <c r="AL3" s="161" t="s">
        <v>8231</v>
      </c>
      <c r="AM3" s="390" t="s">
        <v>8232</v>
      </c>
      <c r="AN3" s="391" t="s">
        <v>4818</v>
      </c>
      <c r="AO3" s="392"/>
      <c r="AP3" s="392"/>
    </row>
    <row r="4" ht="26.25" customHeight="1">
      <c r="A4" s="176" t="s">
        <v>8233</v>
      </c>
      <c r="B4" s="316" t="s">
        <v>8234</v>
      </c>
      <c r="C4" s="215" t="s">
        <v>816</v>
      </c>
      <c r="D4" s="393" t="s">
        <v>8235</v>
      </c>
      <c r="E4" s="176" t="s">
        <v>8236</v>
      </c>
      <c r="F4" s="318" t="str">
        <f>IFERROR(__xludf.DUMMYFUNCTION("GOOGLETRANSLATE(B4,""zh-tw"",""ja"")"),"少し落ち着かない気分です")</f>
        <v>少し落ち着かない気分です</v>
      </c>
      <c r="G4" s="394" t="str">
        <f>IFERROR(__xludf.DUMMYFUNCTION("GOOGLETRANSLATE(C4,""zh-tw"",""ja"")"),"-")</f>
        <v>-</v>
      </c>
      <c r="H4" s="393" t="s">
        <v>8237</v>
      </c>
      <c r="I4" s="176" t="s">
        <v>8238</v>
      </c>
      <c r="J4" s="316" t="s">
        <v>8239</v>
      </c>
      <c r="K4" s="394" t="str">
        <f>IFERROR(__xludf.DUMMYFUNCTION("GOOGLETRANSLATE(C4,""zh-tw"",""en"")"),"-")</f>
        <v>-</v>
      </c>
      <c r="L4" s="393" t="s">
        <v>8240</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8241</v>
      </c>
      <c r="AH4" s="47" t="s">
        <v>8242</v>
      </c>
      <c r="AI4" s="305" t="s">
        <v>816</v>
      </c>
      <c r="AJ4" s="123" t="s">
        <v>8243</v>
      </c>
      <c r="AK4" s="107" t="s">
        <v>8244</v>
      </c>
      <c r="AL4" s="47" t="s">
        <v>8245</v>
      </c>
      <c r="AM4" s="305" t="s">
        <v>816</v>
      </c>
      <c r="AN4" s="123" t="s">
        <v>8246</v>
      </c>
      <c r="AO4" s="397"/>
      <c r="AP4" s="397"/>
    </row>
    <row r="5" ht="26.25" customHeight="1">
      <c r="A5" s="176" t="s">
        <v>8233</v>
      </c>
      <c r="B5" s="316" t="s">
        <v>8247</v>
      </c>
      <c r="C5" s="215" t="s">
        <v>816</v>
      </c>
      <c r="D5" s="393" t="s">
        <v>8248</v>
      </c>
      <c r="E5" s="176" t="s">
        <v>8236</v>
      </c>
      <c r="F5" s="318" t="str">
        <f>IFERROR(__xludf.DUMMYFUNCTION("GOOGLETRANSLATE(B5,""zh-tw"",""ja"")"),"体全体が何らかの刺激を求めている。")</f>
        <v>体全体が何らかの刺激を求めている。</v>
      </c>
      <c r="G5" s="215" t="s">
        <v>816</v>
      </c>
      <c r="H5" s="393" t="s">
        <v>8249</v>
      </c>
      <c r="I5" s="176" t="s">
        <v>8238</v>
      </c>
      <c r="J5" s="316" t="s">
        <v>8250</v>
      </c>
      <c r="K5" s="215" t="s">
        <v>816</v>
      </c>
      <c r="L5" s="393" t="s">
        <v>8251</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8241</v>
      </c>
      <c r="AH5" s="47" t="s">
        <v>8252</v>
      </c>
      <c r="AI5" s="305" t="s">
        <v>816</v>
      </c>
      <c r="AJ5" s="123" t="s">
        <v>8253</v>
      </c>
      <c r="AK5" s="107" t="s">
        <v>8244</v>
      </c>
      <c r="AL5" s="47" t="s">
        <v>8254</v>
      </c>
      <c r="AM5" s="305" t="s">
        <v>816</v>
      </c>
      <c r="AN5" s="123" t="s">
        <v>8255</v>
      </c>
      <c r="AO5" s="397"/>
      <c r="AP5" s="397"/>
    </row>
    <row r="6" ht="26.25" customHeight="1">
      <c r="A6" s="176" t="s">
        <v>8233</v>
      </c>
      <c r="B6" s="316" t="s">
        <v>8256</v>
      </c>
      <c r="C6" s="215" t="s">
        <v>816</v>
      </c>
      <c r="D6" s="393" t="s">
        <v>8257</v>
      </c>
      <c r="E6" s="176" t="s">
        <v>8236</v>
      </c>
      <c r="F6" s="318" t="str">
        <f>IFERROR(__xludf.DUMMYFUNCTION("GOOGLETRANSLATE(B6,""zh-tw"",""ja"")"),"もう自分をコントロールできない。")</f>
        <v>もう自分をコントロールできない。</v>
      </c>
      <c r="G6" s="215" t="s">
        <v>816</v>
      </c>
      <c r="H6" s="393" t="s">
        <v>8258</v>
      </c>
      <c r="I6" s="176" t="s">
        <v>8238</v>
      </c>
      <c r="J6" s="316" t="s">
        <v>8259</v>
      </c>
      <c r="K6" s="215" t="s">
        <v>816</v>
      </c>
      <c r="L6" s="393" t="s">
        <v>8260</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8241</v>
      </c>
      <c r="AH6" s="47" t="s">
        <v>8261</v>
      </c>
      <c r="AI6" s="305" t="s">
        <v>816</v>
      </c>
      <c r="AJ6" s="123" t="s">
        <v>8262</v>
      </c>
      <c r="AK6" s="107" t="s">
        <v>8244</v>
      </c>
      <c r="AL6" s="47" t="s">
        <v>8263</v>
      </c>
      <c r="AM6" s="305" t="s">
        <v>816</v>
      </c>
      <c r="AN6" s="123" t="s">
        <v>8264</v>
      </c>
      <c r="AO6" s="397"/>
      <c r="AP6" s="397"/>
    </row>
    <row r="7">
      <c r="A7" s="176" t="s">
        <v>8265</v>
      </c>
      <c r="B7" s="316" t="s">
        <v>8266</v>
      </c>
      <c r="C7" s="215" t="s">
        <v>8267</v>
      </c>
      <c r="D7" s="393" t="s">
        <v>8268</v>
      </c>
      <c r="E7" s="176" t="s">
        <v>8269</v>
      </c>
      <c r="F7" s="318" t="str">
        <f>IFERROR(__xludf.DUMMYFUNCTION("GOOGLETRANSLATE(B7,""zh-tw"",""ja"")"),"うーん…")</f>
        <v>うーん…</v>
      </c>
      <c r="G7" s="215" t="s">
        <v>8270</v>
      </c>
      <c r="H7" s="393" t="s">
        <v>8271</v>
      </c>
      <c r="I7" s="176" t="s">
        <v>8272</v>
      </c>
      <c r="J7" s="316" t="s">
        <v>8273</v>
      </c>
      <c r="K7" s="215" t="s">
        <v>8274</v>
      </c>
      <c r="L7" s="393" t="s">
        <v>8275</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8272</v>
      </c>
      <c r="AH7" s="137" t="s">
        <v>8276</v>
      </c>
      <c r="AI7" s="305" t="s">
        <v>8277</v>
      </c>
      <c r="AJ7" s="123" t="s">
        <v>8278</v>
      </c>
      <c r="AK7" s="107" t="s">
        <v>8272</v>
      </c>
      <c r="AL7" s="47" t="s">
        <v>8273</v>
      </c>
      <c r="AM7" s="214" t="s">
        <v>8279</v>
      </c>
      <c r="AN7" s="123" t="s">
        <v>8280</v>
      </c>
      <c r="AO7" s="397"/>
      <c r="AP7" s="397"/>
    </row>
    <row r="8">
      <c r="A8" s="176" t="s">
        <v>8281</v>
      </c>
      <c r="B8" s="316" t="s">
        <v>8282</v>
      </c>
      <c r="C8" s="215" t="s">
        <v>8283</v>
      </c>
      <c r="D8" s="393" t="s">
        <v>8284</v>
      </c>
      <c r="E8" s="176" t="s">
        <v>8285</v>
      </c>
      <c r="F8" s="316" t="s">
        <v>8286</v>
      </c>
      <c r="G8" s="394" t="str">
        <f>IFERROR(__xludf.DUMMYFUNCTION("GOOGLETRANSLATE(C8,""zh-tw"",""ja"")"),"賢者モードに入ると、すべての属性が上昇します。")</f>
        <v>賢者モードに入ると、すべての属性が上昇します。</v>
      </c>
      <c r="H8" s="393" t="s">
        <v>8287</v>
      </c>
      <c r="I8" s="176" t="s">
        <v>8288</v>
      </c>
      <c r="J8" s="316" t="s">
        <v>8289</v>
      </c>
      <c r="K8" s="215" t="s">
        <v>8290</v>
      </c>
      <c r="L8" s="393" t="s">
        <v>8291</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8292</v>
      </c>
      <c r="AH8" s="137" t="s">
        <v>8293</v>
      </c>
      <c r="AI8" s="214" t="s">
        <v>8294</v>
      </c>
      <c r="AJ8" s="123" t="s">
        <v>8295</v>
      </c>
      <c r="AK8" s="107" t="s">
        <v>8296</v>
      </c>
      <c r="AL8" s="47" t="s">
        <v>8297</v>
      </c>
      <c r="AM8" s="305" t="s">
        <v>8298</v>
      </c>
      <c r="AN8" s="123" t="s">
        <v>8299</v>
      </c>
      <c r="AO8" s="397"/>
      <c r="AP8" s="397"/>
    </row>
    <row r="9">
      <c r="A9" s="176" t="s">
        <v>8300</v>
      </c>
      <c r="B9" s="316" t="s">
        <v>816</v>
      </c>
      <c r="C9" s="215" t="s">
        <v>8301</v>
      </c>
      <c r="D9" s="393" t="s">
        <v>8302</v>
      </c>
      <c r="E9" s="395" t="str">
        <f>IFERROR(__xludf.DUMMYFUNCTION("GOOGLETRANSLATE(A9,""zh-tw"",""ja"")"),"集中")</f>
        <v>集中</v>
      </c>
      <c r="F9" s="318" t="str">
        <f>IFERROR(__xludf.DUMMYFUNCTION("GOOGLETRANSLATE(B9,""zh-tw"",""ja"")"),"-")</f>
        <v>-</v>
      </c>
      <c r="G9" s="215" t="s">
        <v>8303</v>
      </c>
      <c r="H9" s="393" t="s">
        <v>8304</v>
      </c>
      <c r="I9" s="176" t="s">
        <v>8305</v>
      </c>
      <c r="J9" s="318" t="str">
        <f>IFERROR(__xludf.DUMMYFUNCTION("GOOGLETRANSLATE(B9,""zh-tw"",""en"")"),"-")</f>
        <v>-</v>
      </c>
      <c r="K9" s="215" t="s">
        <v>8306</v>
      </c>
      <c r="L9" s="393" t="s">
        <v>8307</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8308</v>
      </c>
      <c r="AH9" s="47" t="s">
        <v>816</v>
      </c>
      <c r="AI9" s="214" t="s">
        <v>8309</v>
      </c>
      <c r="AJ9" s="123" t="s">
        <v>8310</v>
      </c>
      <c r="AK9" s="107" t="s">
        <v>8305</v>
      </c>
      <c r="AL9" s="47" t="s">
        <v>816</v>
      </c>
      <c r="AM9" s="305" t="s">
        <v>8311</v>
      </c>
      <c r="AN9" s="123" t="s">
        <v>8312</v>
      </c>
      <c r="AO9" s="397"/>
      <c r="AP9" s="397"/>
    </row>
    <row r="10">
      <c r="A10" s="176" t="s">
        <v>8313</v>
      </c>
      <c r="B10" s="316" t="s">
        <v>8314</v>
      </c>
      <c r="C10" s="215" t="s">
        <v>816</v>
      </c>
      <c r="D10" s="393" t="s">
        <v>8315</v>
      </c>
      <c r="E10" s="176" t="s">
        <v>8316</v>
      </c>
      <c r="F10" s="316" t="s">
        <v>8317</v>
      </c>
      <c r="G10" s="394" t="str">
        <f>IFERROR(__xludf.DUMMYFUNCTION("GOOGLETRANSLATE(C10,""zh-tw"",""ja"")"),"-")</f>
        <v>-</v>
      </c>
      <c r="H10" s="393" t="s">
        <v>8318</v>
      </c>
      <c r="I10" s="176" t="s">
        <v>8319</v>
      </c>
      <c r="J10" s="316" t="s">
        <v>8320</v>
      </c>
      <c r="K10" s="394" t="str">
        <f>IFERROR(__xludf.DUMMYFUNCTION("GOOGLETRANSLATE(C10,""zh-tw"",""en"")"),"-")</f>
        <v>-</v>
      </c>
      <c r="L10" s="393" t="s">
        <v>8321</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8319</v>
      </c>
      <c r="AH10" s="137" t="s">
        <v>8322</v>
      </c>
      <c r="AI10" s="305" t="s">
        <v>816</v>
      </c>
      <c r="AJ10" s="123" t="s">
        <v>8323</v>
      </c>
      <c r="AK10" s="107" t="s">
        <v>8319</v>
      </c>
      <c r="AL10" s="47" t="s">
        <v>8324</v>
      </c>
      <c r="AM10" s="305" t="s">
        <v>816</v>
      </c>
      <c r="AN10" s="123" t="s">
        <v>8325</v>
      </c>
      <c r="AO10" s="397"/>
      <c r="AP10" s="397"/>
    </row>
    <row r="11">
      <c r="A11" s="176" t="s">
        <v>8326</v>
      </c>
      <c r="B11" s="316" t="s">
        <v>816</v>
      </c>
      <c r="C11" s="215" t="s">
        <v>8327</v>
      </c>
      <c r="D11" s="393" t="s">
        <v>8328</v>
      </c>
      <c r="E11" s="176" t="s">
        <v>8329</v>
      </c>
      <c r="F11" s="318" t="str">
        <f>IFERROR(__xludf.DUMMYFUNCTION("GOOGLETRANSLATE(B11,""zh-tw"",""ja"")"),"-")</f>
        <v>-</v>
      </c>
      <c r="G11" s="215" t="s">
        <v>8330</v>
      </c>
      <c r="H11" s="393" t="s">
        <v>8331</v>
      </c>
      <c r="I11" s="176" t="s">
        <v>8332</v>
      </c>
      <c r="J11" s="318" t="str">
        <f>IFERROR(__xludf.DUMMYFUNCTION("GOOGLETRANSLATE(B11,""zh-tw"",""en"")"),"-")</f>
        <v>-</v>
      </c>
      <c r="K11" s="215" t="s">
        <v>8333</v>
      </c>
      <c r="L11" s="393" t="s">
        <v>8334</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IFERROR(__xludf.DUMMYFUNCTION("GOOGLETRANSLATE(A11,""zh-tw"",""RU"")"),"Запрещена быстрая смена кадров.")</f>
        <v>Запрещена быстрая смена кадров.</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8335</v>
      </c>
      <c r="AH11" s="47" t="s">
        <v>816</v>
      </c>
      <c r="AI11" s="305" t="s">
        <v>8336</v>
      </c>
      <c r="AJ11" s="123" t="s">
        <v>8337</v>
      </c>
      <c r="AK11" s="107" t="s">
        <v>8338</v>
      </c>
      <c r="AL11" s="47" t="s">
        <v>816</v>
      </c>
      <c r="AM11" s="305" t="s">
        <v>8338</v>
      </c>
      <c r="AN11" s="123" t="s">
        <v>8339</v>
      </c>
      <c r="AO11" s="397"/>
      <c r="AP11" s="397"/>
    </row>
    <row r="12">
      <c r="A12" s="176" t="s">
        <v>8340</v>
      </c>
      <c r="B12" s="316" t="s">
        <v>816</v>
      </c>
      <c r="C12" s="215" t="s">
        <v>8341</v>
      </c>
      <c r="D12" s="393" t="s">
        <v>8342</v>
      </c>
      <c r="E12" s="176" t="s">
        <v>8343</v>
      </c>
      <c r="F12" s="318" t="str">
        <f>IFERROR(__xludf.DUMMYFUNCTION("GOOGLETRANSLATE(B12,""zh-tw"",""ja"")"),"-")</f>
        <v>-</v>
      </c>
      <c r="G12" s="215" t="s">
        <v>8344</v>
      </c>
      <c r="H12" s="393" t="s">
        <v>8345</v>
      </c>
      <c r="I12" s="176" t="s">
        <v>8346</v>
      </c>
      <c r="J12" s="318" t="str">
        <f>IFERROR(__xludf.DUMMYFUNCTION("GOOGLETRANSLATE(B12,""zh-tw"",""en"")"),"-")</f>
        <v>-</v>
      </c>
      <c r="K12" s="215" t="s">
        <v>8347</v>
      </c>
      <c r="L12" s="393" t="s">
        <v>8348</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8349</v>
      </c>
      <c r="AH12" s="47" t="s">
        <v>816</v>
      </c>
      <c r="AI12" s="305" t="s">
        <v>8350</v>
      </c>
      <c r="AJ12" s="123" t="s">
        <v>8351</v>
      </c>
      <c r="AK12" s="107" t="s">
        <v>8352</v>
      </c>
      <c r="AL12" s="47" t="s">
        <v>816</v>
      </c>
      <c r="AM12" s="305" t="s">
        <v>8353</v>
      </c>
      <c r="AN12" s="123" t="s">
        <v>8354</v>
      </c>
      <c r="AO12" s="397"/>
      <c r="AP12" s="397"/>
    </row>
    <row r="13">
      <c r="A13" s="176" t="s">
        <v>8355</v>
      </c>
      <c r="B13" s="316" t="s">
        <v>816</v>
      </c>
      <c r="C13" s="215" t="s">
        <v>8356</v>
      </c>
      <c r="D13" s="393" t="s">
        <v>8357</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8358</v>
      </c>
      <c r="J13" s="318" t="str">
        <f>IFERROR(__xludf.DUMMYFUNCTION("GOOGLETRANSLATE(B13,""zh-tw"",""en"")"),"-")</f>
        <v>-</v>
      </c>
      <c r="K13" s="215" t="s">
        <v>8359</v>
      </c>
      <c r="L13" s="393" t="s">
        <v>8360</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8361</v>
      </c>
      <c r="AH13" s="47" t="s">
        <v>816</v>
      </c>
      <c r="AI13" s="214" t="s">
        <v>8362</v>
      </c>
      <c r="AJ13" s="123" t="s">
        <v>8363</v>
      </c>
      <c r="AK13" s="107" t="s">
        <v>8364</v>
      </c>
      <c r="AL13" s="47" t="s">
        <v>816</v>
      </c>
      <c r="AM13" s="305" t="s">
        <v>8365</v>
      </c>
      <c r="AN13" s="123" t="s">
        <v>8366</v>
      </c>
      <c r="AO13" s="397"/>
      <c r="AP13" s="397"/>
    </row>
    <row r="14">
      <c r="A14" s="176" t="s">
        <v>8367</v>
      </c>
      <c r="B14" s="316" t="s">
        <v>8368</v>
      </c>
      <c r="C14" s="215" t="s">
        <v>8369</v>
      </c>
      <c r="D14" s="393" t="s">
        <v>8370</v>
      </c>
      <c r="E14" s="176" t="s">
        <v>8367</v>
      </c>
      <c r="F14" s="316" t="s">
        <v>8371</v>
      </c>
      <c r="G14" s="215" t="s">
        <v>8372</v>
      </c>
      <c r="H14" s="393" t="s">
        <v>8373</v>
      </c>
      <c r="I14" s="176" t="s">
        <v>8374</v>
      </c>
      <c r="J14" s="316" t="s">
        <v>8375</v>
      </c>
      <c r="K14" s="215" t="s">
        <v>8376</v>
      </c>
      <c r="L14" s="393" t="s">
        <v>8377</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IFERROR(__xludf.DUMMYFUNCTION("GOOGLETRANSLATE(D14,""zh-tw"",""RU"")"),"Подверглись нападению зомби.")</f>
        <v>Подверглись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8378</v>
      </c>
      <c r="AH14" s="137" t="s">
        <v>8379</v>
      </c>
      <c r="AI14" s="305" t="s">
        <v>8380</v>
      </c>
      <c r="AJ14" s="123" t="s">
        <v>8381</v>
      </c>
      <c r="AK14" s="107" t="s">
        <v>8382</v>
      </c>
      <c r="AL14" s="47" t="s">
        <v>8383</v>
      </c>
      <c r="AM14" s="305" t="s">
        <v>8384</v>
      </c>
      <c r="AN14" s="123" t="s">
        <v>8385</v>
      </c>
      <c r="AO14" s="397"/>
      <c r="AP14" s="397"/>
    </row>
    <row r="15">
      <c r="A15" s="176" t="s">
        <v>8386</v>
      </c>
      <c r="B15" s="316" t="s">
        <v>8387</v>
      </c>
      <c r="C15" s="215" t="s">
        <v>8388</v>
      </c>
      <c r="D15" s="393" t="s">
        <v>8389</v>
      </c>
      <c r="E15" s="395" t="str">
        <f>IFERROR(__xludf.DUMMYFUNCTION("GOOGLETRANSLATE(A15,""zh-tw"",""ja"")"),"出血")</f>
        <v>出血</v>
      </c>
      <c r="F15" s="316" t="s">
        <v>8390</v>
      </c>
      <c r="G15" s="394" t="str">
        <f>IFERROR(__xludf.DUMMYFUNCTION("GOOGLETRANSLATE(C15,""zh-tw"",""ja"")"),"受けるダメージは最大スタミナに基づいて決まります。")</f>
        <v>受けるダメージは最大スタミナに基づいて決まります。</v>
      </c>
      <c r="H15" s="393" t="s">
        <v>8391</v>
      </c>
      <c r="I15" s="395" t="str">
        <f>IFERROR(__xludf.DUMMYFUNCTION("GOOGLETRANSLATE(A15,""zh-tw"",""en"")"),"Bleeding")</f>
        <v>Bleeding</v>
      </c>
      <c r="J15" s="316" t="s">
        <v>8392</v>
      </c>
      <c r="K15" s="215" t="s">
        <v>8393</v>
      </c>
      <c r="L15" s="393" t="s">
        <v>8394</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8395</v>
      </c>
      <c r="AH15" s="137" t="s">
        <v>8396</v>
      </c>
      <c r="AI15" s="305" t="s">
        <v>8397</v>
      </c>
      <c r="AJ15" s="123" t="s">
        <v>8398</v>
      </c>
      <c r="AK15" s="107" t="s">
        <v>8399</v>
      </c>
      <c r="AL15" s="47" t="s">
        <v>8400</v>
      </c>
      <c r="AM15" s="305" t="s">
        <v>8401</v>
      </c>
      <c r="AN15" s="123" t="s">
        <v>8402</v>
      </c>
      <c r="AO15" s="397"/>
      <c r="AP15" s="397"/>
    </row>
    <row r="16">
      <c r="A16" s="176" t="s">
        <v>8403</v>
      </c>
      <c r="B16" s="316" t="s">
        <v>8404</v>
      </c>
      <c r="C16" s="215" t="s">
        <v>8405</v>
      </c>
      <c r="D16" s="393" t="s">
        <v>8406</v>
      </c>
      <c r="E16" s="176" t="s">
        <v>8407</v>
      </c>
      <c r="F16" s="318" t="str">
        <f>IFERROR(__xludf.DUMMYFUNCTION("GOOGLETRANSLATE(B16,""zh-tw"",""ja"")"),"見てください、この男は雷に打たれました！")</f>
        <v>見てください、この男は雷に打たれました！</v>
      </c>
      <c r="G16" s="215" t="s">
        <v>8408</v>
      </c>
      <c r="H16" s="393" t="s">
        <v>8409</v>
      </c>
      <c r="I16" s="176" t="s">
        <v>8410</v>
      </c>
      <c r="J16" s="316" t="s">
        <v>8411</v>
      </c>
      <c r="K16" s="215" t="s">
        <v>8412</v>
      </c>
      <c r="L16" s="393" t="s">
        <v>8413</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8414</v>
      </c>
      <c r="AH16" s="137" t="s">
        <v>8415</v>
      </c>
      <c r="AI16" s="214" t="s">
        <v>8416</v>
      </c>
      <c r="AJ16" s="123" t="s">
        <v>8417</v>
      </c>
      <c r="AK16" s="107" t="s">
        <v>8418</v>
      </c>
      <c r="AL16" s="47" t="s">
        <v>8419</v>
      </c>
      <c r="AM16" s="305" t="s">
        <v>8420</v>
      </c>
      <c r="AN16" s="123" t="s">
        <v>8421</v>
      </c>
      <c r="AO16" s="397"/>
      <c r="AP16" s="397"/>
    </row>
    <row r="17">
      <c r="A17" s="176" t="s">
        <v>8422</v>
      </c>
      <c r="B17" s="316" t="s">
        <v>8423</v>
      </c>
      <c r="C17" s="215" t="s">
        <v>8424</v>
      </c>
      <c r="D17" s="393" t="s">
        <v>8425</v>
      </c>
      <c r="E17" s="176" t="s">
        <v>8422</v>
      </c>
      <c r="F17" s="318" t="str">
        <f>IFERROR(__xludf.DUMMYFUNCTION("GOOGLETRANSLATE(B17,""zh-tw"",""ja"")"),"暑い！暑い！暑い！暑い！")</f>
        <v>暑い！暑い！暑い！暑い！</v>
      </c>
      <c r="G17" s="215" t="s">
        <v>8426</v>
      </c>
      <c r="H17" s="393" t="s">
        <v>8427</v>
      </c>
      <c r="I17" s="176" t="s">
        <v>8428</v>
      </c>
      <c r="J17" s="316" t="s">
        <v>8429</v>
      </c>
      <c r="K17" s="215" t="s">
        <v>8430</v>
      </c>
      <c r="L17" s="393" t="s">
        <v>8431</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8432</v>
      </c>
      <c r="AH17" s="47" t="s">
        <v>8433</v>
      </c>
      <c r="AI17" s="214" t="s">
        <v>8434</v>
      </c>
      <c r="AJ17" s="136" t="s">
        <v>8435</v>
      </c>
      <c r="AK17" s="107" t="s">
        <v>8436</v>
      </c>
      <c r="AL17" s="47" t="s">
        <v>8437</v>
      </c>
      <c r="AM17" s="305" t="s">
        <v>8438</v>
      </c>
      <c r="AN17" s="123" t="s">
        <v>8439</v>
      </c>
      <c r="AO17" s="397"/>
      <c r="AP17" s="397"/>
    </row>
    <row r="18">
      <c r="A18" s="176" t="s">
        <v>8440</v>
      </c>
      <c r="B18" s="316" t="s">
        <v>8441</v>
      </c>
      <c r="C18" s="215" t="s">
        <v>8442</v>
      </c>
      <c r="D18" s="393" t="s">
        <v>4879</v>
      </c>
      <c r="E18" s="176" t="s">
        <v>8443</v>
      </c>
      <c r="F18" s="318" t="str">
        <f>IFERROR(__xludf.DUMMYFUNCTION("GOOGLETRANSLATE(B18,""zh-tw"",""ja"")"),"アイスキャンディーにしちゃおう！")</f>
        <v>アイスキャンディーにしちゃおう！</v>
      </c>
      <c r="G18" s="215" t="s">
        <v>8444</v>
      </c>
      <c r="H18" s="393" t="s">
        <v>8445</v>
      </c>
      <c r="I18" s="176" t="s">
        <v>8446</v>
      </c>
      <c r="J18" s="316" t="s">
        <v>8447</v>
      </c>
      <c r="K18" s="215" t="s">
        <v>8448</v>
      </c>
      <c r="L18" s="393" t="s">
        <v>4884</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5" t="str">
        <f>IFERROR(__xludf.DUMMYFUNCTION("GOOGLETRANSLATE(A18,""zh-tw"",""RU"")"),"Лед")</f>
        <v>Лед</v>
      </c>
      <c r="Z18" s="318" t="str">
        <f>IFERROR(__xludf.DUMMYFUNCTION("GOOGLETRANSLATE(B18,""zh-tw"",""RU"")"),"Пусть превратится в леденец!")</f>
        <v>Пусть превратится в леденец!</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IFERROR(__xludf.DUMMYFUNCTION("GOOGLETRANSLATE(B18,""zh-tw"",""DE"")"),"Lass es zu einem Eis am Stiel werden!")</f>
        <v>Lass es zu einem Eis am Stiel werden!</v>
      </c>
      <c r="AE18" s="394" t="str">
        <f>IFERROR(__xludf.DUMMYFUNCTION("GOOGLETRANSLATE(C18,""zh-tw"",""DE"")"),"Es ist komplett durchgefroren!")</f>
        <v>Es ist komplett durchgefroren!</v>
      </c>
      <c r="AF18" s="396" t="str">
        <f>IFERROR(__xludf.DUMMYFUNCTION("GOOGLETRANSLATE(D18,""zh-tw"",""DE"")"),"Gefrorener Schleim")</f>
        <v>Gefrorener Schleim</v>
      </c>
      <c r="AG18" s="107" t="s">
        <v>8449</v>
      </c>
      <c r="AH18" s="137" t="s">
        <v>8450</v>
      </c>
      <c r="AI18" s="214" t="s">
        <v>8451</v>
      </c>
      <c r="AJ18" s="123" t="s">
        <v>4890</v>
      </c>
      <c r="AK18" s="107" t="s">
        <v>8452</v>
      </c>
      <c r="AL18" s="47" t="s">
        <v>8453</v>
      </c>
      <c r="AM18" s="305" t="s">
        <v>8454</v>
      </c>
      <c r="AN18" s="123" t="s">
        <v>4892</v>
      </c>
      <c r="AO18" s="397"/>
      <c r="AP18" s="397"/>
    </row>
    <row r="19">
      <c r="A19" s="176" t="s">
        <v>8455</v>
      </c>
      <c r="B19" s="316" t="s">
        <v>8456</v>
      </c>
      <c r="C19" s="215" t="s">
        <v>8457</v>
      </c>
      <c r="D19" s="393" t="s">
        <v>8458</v>
      </c>
      <c r="E19" s="176" t="s">
        <v>8459</v>
      </c>
      <c r="F19" s="318" t="str">
        <f>IFERROR(__xludf.DUMMYFUNCTION("GOOGLETRANSLATE(B19,""zh-tw"",""ja"")"),"ふふ、私に反抗するとこうなるのね～♡")</f>
        <v>ふふ、私に反抗するとこうなるのね～♡</v>
      </c>
      <c r="G19" s="215" t="s">
        <v>8460</v>
      </c>
      <c r="H19" s="396" t="str">
        <f>IFERROR(__xludf.DUMMYFUNCTION("GOOGLETRANSLATE(D19,""zh-tw"",""ja"")"),"ミステリーショップでは魚はもらえません。")</f>
        <v>ミステリーショップでは魚はもらえません。</v>
      </c>
      <c r="I19" s="176" t="s">
        <v>8461</v>
      </c>
      <c r="J19" s="316" t="s">
        <v>8462</v>
      </c>
      <c r="K19" s="215" t="s">
        <v>8463</v>
      </c>
      <c r="L19" s="393" t="s">
        <v>8464</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8465</v>
      </c>
      <c r="AH19" s="137" t="s">
        <v>8466</v>
      </c>
      <c r="AI19" s="305" t="s">
        <v>8467</v>
      </c>
      <c r="AJ19" s="136" t="s">
        <v>8468</v>
      </c>
      <c r="AK19" s="107" t="s">
        <v>8469</v>
      </c>
      <c r="AL19" s="47" t="s">
        <v>8470</v>
      </c>
      <c r="AM19" s="305" t="s">
        <v>8471</v>
      </c>
      <c r="AN19" s="123" t="s">
        <v>8472</v>
      </c>
      <c r="AO19" s="397"/>
      <c r="AP19" s="397"/>
    </row>
    <row r="20">
      <c r="A20" s="176" t="s">
        <v>8473</v>
      </c>
      <c r="B20" s="316" t="s">
        <v>8474</v>
      </c>
      <c r="C20" s="215" t="s">
        <v>8475</v>
      </c>
      <c r="D20" s="393" t="s">
        <v>8476</v>
      </c>
      <c r="E20" s="176" t="s">
        <v>8477</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8478</v>
      </c>
      <c r="J20" s="316" t="s">
        <v>8479</v>
      </c>
      <c r="K20" s="215" t="s">
        <v>8480</v>
      </c>
      <c r="L20" s="393" t="s">
        <v>8481</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8482</v>
      </c>
      <c r="AH20" s="137" t="s">
        <v>8483</v>
      </c>
      <c r="AI20" s="214" t="s">
        <v>8484</v>
      </c>
      <c r="AJ20" s="123" t="s">
        <v>8485</v>
      </c>
      <c r="AK20" s="107" t="s">
        <v>8486</v>
      </c>
      <c r="AL20" s="47" t="s">
        <v>8487</v>
      </c>
      <c r="AM20" s="305" t="s">
        <v>8488</v>
      </c>
      <c r="AN20" s="123" t="s">
        <v>8489</v>
      </c>
      <c r="AO20" s="397"/>
      <c r="AP20" s="397"/>
    </row>
    <row r="21">
      <c r="A21" s="176" t="s">
        <v>8490</v>
      </c>
      <c r="B21" s="316" t="s">
        <v>8491</v>
      </c>
      <c r="C21" s="215" t="s">
        <v>8492</v>
      </c>
      <c r="D21" s="393" t="s">
        <v>8493</v>
      </c>
      <c r="E21" s="176" t="s">
        <v>8494</v>
      </c>
      <c r="F21" s="316" t="s">
        <v>8495</v>
      </c>
      <c r="G21" s="215" t="s">
        <v>8496</v>
      </c>
      <c r="H21" s="396" t="str">
        <f>IFERROR(__xludf.DUMMYFUNCTION("GOOGLETRANSLATE(D21,""zh-tw"",""ja"")"),"妹にいたずらをすると怒る")</f>
        <v>妹にいたずらをすると怒る</v>
      </c>
      <c r="I21" s="176" t="s">
        <v>8497</v>
      </c>
      <c r="J21" s="316" t="s">
        <v>8498</v>
      </c>
      <c r="K21" s="215" t="s">
        <v>8499</v>
      </c>
      <c r="L21" s="393" t="s">
        <v>8500</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8501</v>
      </c>
      <c r="AH21" s="137" t="s">
        <v>8502</v>
      </c>
      <c r="AI21" s="305" t="s">
        <v>8501</v>
      </c>
      <c r="AJ21" s="136" t="s">
        <v>8503</v>
      </c>
      <c r="AK21" s="107" t="s">
        <v>8504</v>
      </c>
      <c r="AL21" s="47" t="s">
        <v>8505</v>
      </c>
      <c r="AM21" s="305" t="s">
        <v>8506</v>
      </c>
      <c r="AN21" s="123" t="s">
        <v>8507</v>
      </c>
      <c r="AO21" s="397"/>
      <c r="AP21" s="397"/>
    </row>
    <row r="22">
      <c r="A22" s="176" t="s">
        <v>8508</v>
      </c>
      <c r="B22" s="316" t="s">
        <v>8491</v>
      </c>
      <c r="C22" s="215" t="s">
        <v>8509</v>
      </c>
      <c r="D22" s="393" t="s">
        <v>8493</v>
      </c>
      <c r="E22" s="176" t="s">
        <v>8510</v>
      </c>
      <c r="F22" s="316" t="s">
        <v>8495</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8511</v>
      </c>
      <c r="J22" s="316" t="s">
        <v>8498</v>
      </c>
      <c r="K22" s="394" t="str">
        <f>IFERROR(__xludf.DUMMYFUNCTION("GOOGLETRANSLATE(C22,""zh-tw"",""en"")"),"Making meat dishes")</f>
        <v>Making meat dishes</v>
      </c>
      <c r="L22" s="393" t="s">
        <v>8500</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8512</v>
      </c>
      <c r="AH22" s="137" t="s">
        <v>8502</v>
      </c>
      <c r="AI22" s="305" t="s">
        <v>8513</v>
      </c>
      <c r="AJ22" s="123" t="s">
        <v>8514</v>
      </c>
      <c r="AK22" s="107" t="s">
        <v>8515</v>
      </c>
      <c r="AL22" s="47" t="s">
        <v>8505</v>
      </c>
      <c r="AM22" s="214" t="s">
        <v>8516</v>
      </c>
      <c r="AN22" s="123" t="s">
        <v>8507</v>
      </c>
      <c r="AO22" s="397"/>
      <c r="AP22" s="397"/>
    </row>
    <row r="23">
      <c r="A23" s="176" t="s">
        <v>8517</v>
      </c>
      <c r="B23" s="316" t="s">
        <v>8518</v>
      </c>
      <c r="C23" s="215" t="s">
        <v>8519</v>
      </c>
      <c r="D23" s="393" t="s">
        <v>273</v>
      </c>
      <c r="E23" s="176" t="s">
        <v>336</v>
      </c>
      <c r="F23" s="318" t="str">
        <f>IFERROR(__xludf.DUMMYFUNCTION("GOOGLETRANSLATE(B23,""zh-tw"",""ja"")"),"...")</f>
        <v>...</v>
      </c>
      <c r="G23" s="215" t="s">
        <v>8520</v>
      </c>
      <c r="H23" s="393" t="s">
        <v>276</v>
      </c>
      <c r="I23" s="176" t="s">
        <v>8521</v>
      </c>
      <c r="J23" s="318" t="str">
        <f>IFERROR(__xludf.DUMMYFUNCTION("GOOGLETRANSLATE(B23,""zh-tw"",""en"")"),"...")</f>
        <v>...</v>
      </c>
      <c r="K23" s="215" t="s">
        <v>8522</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8523</v>
      </c>
      <c r="AH23" s="47" t="s">
        <v>8524</v>
      </c>
      <c r="AI23" s="214" t="s">
        <v>8525</v>
      </c>
      <c r="AJ23" s="123" t="s">
        <v>293</v>
      </c>
      <c r="AK23" s="107" t="s">
        <v>8526</v>
      </c>
      <c r="AL23" s="47" t="s">
        <v>816</v>
      </c>
      <c r="AM23" s="305" t="s">
        <v>8527</v>
      </c>
      <c r="AN23" s="123" t="s">
        <v>296</v>
      </c>
      <c r="AO23" s="397"/>
      <c r="AP23" s="397"/>
    </row>
    <row r="24">
      <c r="A24" s="176" t="s">
        <v>8528</v>
      </c>
      <c r="B24" s="316" t="s">
        <v>8529</v>
      </c>
      <c r="C24" s="215" t="s">
        <v>8530</v>
      </c>
      <c r="D24" s="393" t="s">
        <v>5667</v>
      </c>
      <c r="E24" s="176" t="s">
        <v>8531</v>
      </c>
      <c r="F24" s="316" t="s">
        <v>8532</v>
      </c>
      <c r="G24" s="394" t="str">
        <f>IFERROR(__xludf.DUMMYFUNCTION("GOOGLETRANSLATE(C24,""zh-tw"",""ja"")"),"彼の体は常に悪臭を放っていた")</f>
        <v>彼の体は常に悪臭を放っていた</v>
      </c>
      <c r="H24" s="393" t="s">
        <v>5669</v>
      </c>
      <c r="I24" s="176" t="s">
        <v>8533</v>
      </c>
      <c r="J24" s="316" t="s">
        <v>8534</v>
      </c>
      <c r="K24" s="215" t="s">
        <v>8535</v>
      </c>
      <c r="L24" s="393" t="s">
        <v>5670</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8536</v>
      </c>
      <c r="AH24" s="47" t="s">
        <v>8537</v>
      </c>
      <c r="AI24" s="214" t="s">
        <v>8538</v>
      </c>
      <c r="AJ24" s="123" t="s">
        <v>5676</v>
      </c>
      <c r="AK24" s="107" t="s">
        <v>8539</v>
      </c>
      <c r="AL24" s="47" t="s">
        <v>8540</v>
      </c>
      <c r="AM24" s="305" t="s">
        <v>8541</v>
      </c>
      <c r="AN24" s="123" t="s">
        <v>5678</v>
      </c>
      <c r="AO24" s="397"/>
      <c r="AP24" s="397"/>
    </row>
    <row r="25">
      <c r="A25" s="176" t="s">
        <v>8542</v>
      </c>
      <c r="B25" s="316" t="s">
        <v>8543</v>
      </c>
      <c r="C25" s="215" t="s">
        <v>8544</v>
      </c>
      <c r="D25" s="393" t="s">
        <v>8545</v>
      </c>
      <c r="E25" s="395"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8546</v>
      </c>
      <c r="J25" s="316" t="s">
        <v>8547</v>
      </c>
      <c r="K25" s="215" t="s">
        <v>8548</v>
      </c>
      <c r="L25" s="393" t="s">
        <v>8549</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8550</v>
      </c>
      <c r="AH25" s="137" t="s">
        <v>8551</v>
      </c>
      <c r="AI25" s="305" t="s">
        <v>8552</v>
      </c>
      <c r="AJ25" s="136" t="s">
        <v>8553</v>
      </c>
      <c r="AK25" s="107" t="s">
        <v>8554</v>
      </c>
      <c r="AL25" s="47" t="s">
        <v>8555</v>
      </c>
      <c r="AM25" s="305" t="s">
        <v>8556</v>
      </c>
      <c r="AN25" s="123" t="s">
        <v>8557</v>
      </c>
      <c r="AO25" s="397"/>
      <c r="AP25" s="397"/>
    </row>
    <row r="26">
      <c r="A26" s="176" t="s">
        <v>8558</v>
      </c>
      <c r="B26" s="316" t="s">
        <v>8559</v>
      </c>
      <c r="C26" s="215" t="s">
        <v>8560</v>
      </c>
      <c r="D26" s="393" t="s">
        <v>8561</v>
      </c>
      <c r="E26" s="176" t="s">
        <v>8562</v>
      </c>
      <c r="F26" s="316" t="s">
        <v>8563</v>
      </c>
      <c r="G26" s="394" t="str">
        <f>IFERROR(__xludf.DUMMYFUNCTION("GOOGLETRANSLATE(C26,""zh-tw"",""ja"")"),"攻撃力+50%")</f>
        <v>攻撃力+50%</v>
      </c>
      <c r="H26" s="396" t="str">
        <f>IFERROR(__xludf.DUMMYFUNCTION("GOOGLETRANSLATE(D26,""zh-tw"",""ja"")"),"食べ物")</f>
        <v>食べ物</v>
      </c>
      <c r="I26" s="176" t="s">
        <v>8564</v>
      </c>
      <c r="J26" s="316" t="s">
        <v>8565</v>
      </c>
      <c r="K26" s="215" t="s">
        <v>8566</v>
      </c>
      <c r="L26" s="393" t="s">
        <v>8567</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8568</v>
      </c>
      <c r="AH26" s="137" t="s">
        <v>8569</v>
      </c>
      <c r="AI26" s="305" t="s">
        <v>8570</v>
      </c>
      <c r="AJ26" s="123" t="s">
        <v>8571</v>
      </c>
      <c r="AK26" s="107" t="s">
        <v>8572</v>
      </c>
      <c r="AL26" s="47" t="s">
        <v>8573</v>
      </c>
      <c r="AM26" s="305" t="s">
        <v>8574</v>
      </c>
      <c r="AN26" s="123" t="s">
        <v>8575</v>
      </c>
      <c r="AO26" s="397"/>
      <c r="AP26" s="397"/>
    </row>
    <row r="27">
      <c r="A27" s="176" t="s">
        <v>8576</v>
      </c>
      <c r="B27" s="316" t="s">
        <v>8577</v>
      </c>
      <c r="C27" s="215" t="s">
        <v>8578</v>
      </c>
      <c r="D27" s="393" t="s">
        <v>8561</v>
      </c>
      <c r="E27" s="176" t="s">
        <v>8579</v>
      </c>
      <c r="F27" s="316" t="s">
        <v>8580</v>
      </c>
      <c r="G27" s="394" t="str">
        <f>IFERROR(__xludf.DUMMYFUNCTION("GOOGLETRANSLATE(C27,""zh-tw"",""ja"")"),"魔法力+50%")</f>
        <v>魔法力+50%</v>
      </c>
      <c r="H27" s="396" t="str">
        <f>IFERROR(__xludf.DUMMYFUNCTION("GOOGLETRANSLATE(D27,""zh-tw"",""ja"")"),"食べ物")</f>
        <v>食べ物</v>
      </c>
      <c r="I27" s="176" t="s">
        <v>8581</v>
      </c>
      <c r="J27" s="316" t="s">
        <v>8582</v>
      </c>
      <c r="K27" s="215" t="s">
        <v>8583</v>
      </c>
      <c r="L27" s="393" t="s">
        <v>8567</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8584</v>
      </c>
      <c r="AH27" s="137" t="s">
        <v>8585</v>
      </c>
      <c r="AI27" s="305" t="s">
        <v>8586</v>
      </c>
      <c r="AJ27" s="123" t="s">
        <v>8571</v>
      </c>
      <c r="AK27" s="107" t="s">
        <v>8587</v>
      </c>
      <c r="AL27" s="47" t="s">
        <v>8588</v>
      </c>
      <c r="AM27" s="305" t="s">
        <v>8589</v>
      </c>
      <c r="AN27" s="123" t="s">
        <v>8575</v>
      </c>
      <c r="AO27" s="397"/>
      <c r="AP27" s="397"/>
    </row>
    <row r="28">
      <c r="A28" s="176" t="s">
        <v>8590</v>
      </c>
      <c r="B28" s="316" t="s">
        <v>8591</v>
      </c>
      <c r="C28" s="215" t="s">
        <v>8592</v>
      </c>
      <c r="D28" s="393" t="s">
        <v>8561</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8593</v>
      </c>
      <c r="J28" s="316" t="s">
        <v>8594</v>
      </c>
      <c r="K28" s="215" t="s">
        <v>8595</v>
      </c>
      <c r="L28" s="393" t="s">
        <v>8567</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8596</v>
      </c>
      <c r="AH28" s="137" t="s">
        <v>8597</v>
      </c>
      <c r="AI28" s="305" t="s">
        <v>8598</v>
      </c>
      <c r="AJ28" s="123" t="s">
        <v>8571</v>
      </c>
      <c r="AK28" s="107" t="s">
        <v>8599</v>
      </c>
      <c r="AL28" s="47" t="s">
        <v>8600</v>
      </c>
      <c r="AM28" s="305" t="s">
        <v>8601</v>
      </c>
      <c r="AN28" s="123" t="s">
        <v>8575</v>
      </c>
      <c r="AO28" s="397"/>
      <c r="AP28" s="397"/>
    </row>
    <row r="29">
      <c r="A29" s="176" t="s">
        <v>8602</v>
      </c>
      <c r="B29" s="316" t="s">
        <v>8603</v>
      </c>
      <c r="C29" s="215" t="s">
        <v>8604</v>
      </c>
      <c r="D29" s="393" t="s">
        <v>8605</v>
      </c>
      <c r="E29" s="395" t="str">
        <f>IFERROR(__xludf.DUMMYFUNCTION("GOOGLETRANSLATE(A29,""zh-tw"",""ja"")"),"巨神兵")</f>
        <v>巨神兵</v>
      </c>
      <c r="F29" s="316" t="s">
        <v>8606</v>
      </c>
      <c r="G29" s="215" t="s">
        <v>8607</v>
      </c>
      <c r="H29" s="396" t="str">
        <f>IFERROR(__xludf.DUMMYFUNCTION("GOOGLETRANSLATE(D29,""zh-tw"",""ja"")"),"タロットカード")</f>
        <v>タロットカード</v>
      </c>
      <c r="I29" s="176" t="s">
        <v>8608</v>
      </c>
      <c r="J29" s="316" t="s">
        <v>8609</v>
      </c>
      <c r="K29" s="215" t="s">
        <v>8610</v>
      </c>
      <c r="L29" s="393" t="s">
        <v>8611</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8612</v>
      </c>
      <c r="AH29" s="47" t="s">
        <v>8613</v>
      </c>
      <c r="AI29" s="214" t="s">
        <v>8614</v>
      </c>
      <c r="AJ29" s="123" t="s">
        <v>8615</v>
      </c>
      <c r="AK29" s="107" t="s">
        <v>8616</v>
      </c>
      <c r="AL29" s="47" t="s">
        <v>8617</v>
      </c>
      <c r="AM29" s="305" t="s">
        <v>8618</v>
      </c>
      <c r="AN29" s="123" t="s">
        <v>8619</v>
      </c>
      <c r="AO29" s="397"/>
      <c r="AP29" s="397"/>
    </row>
    <row r="30">
      <c r="A30" s="176" t="s">
        <v>8620</v>
      </c>
      <c r="B30" s="316" t="s">
        <v>8621</v>
      </c>
      <c r="C30" s="215" t="s">
        <v>8622</v>
      </c>
      <c r="D30" s="393" t="s">
        <v>8605</v>
      </c>
      <c r="E30" s="176" t="s">
        <v>8623</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8624</v>
      </c>
      <c r="J30" s="316" t="s">
        <v>8625</v>
      </c>
      <c r="K30" s="394" t="str">
        <f>IFERROR(__xludf.DUMMYFUNCTION("GOOGLETRANSLATE(C30,""zh-tw"",""en"")"),"With the blessing of fate, it's easier to encounter happy things!")</f>
        <v>With the blessing of fate, it's easier to encounter happy things!</v>
      </c>
      <c r="L30" s="393" t="s">
        <v>8626</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8627</v>
      </c>
      <c r="AH30" s="137" t="s">
        <v>8628</v>
      </c>
      <c r="AI30" s="214" t="s">
        <v>8629</v>
      </c>
      <c r="AJ30" s="123" t="s">
        <v>8630</v>
      </c>
      <c r="AK30" s="107" t="s">
        <v>8631</v>
      </c>
      <c r="AL30" s="47" t="s">
        <v>8632</v>
      </c>
      <c r="AM30" s="305" t="s">
        <v>8633</v>
      </c>
      <c r="AN30" s="123" t="s">
        <v>8634</v>
      </c>
      <c r="AO30" s="397"/>
      <c r="AP30" s="397"/>
    </row>
    <row r="31">
      <c r="A31" s="176" t="s">
        <v>8635</v>
      </c>
      <c r="B31" s="316" t="s">
        <v>8636</v>
      </c>
      <c r="C31" s="215" t="s">
        <v>8637</v>
      </c>
      <c r="D31" s="393" t="s">
        <v>8605</v>
      </c>
      <c r="E31" s="176" t="s">
        <v>8638</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8639</v>
      </c>
      <c r="J31" s="316" t="s">
        <v>8640</v>
      </c>
      <c r="K31" s="394" t="str">
        <f>IFERROR(__xludf.DUMMYFUNCTION("GOOGLETRANSLATE(C31,""zh-tw"",""en"")"),"Being blessed by fate makes it easier to encounter difficult things!")</f>
        <v>Being blessed by fate makes it easier to encounter difficult things!</v>
      </c>
      <c r="L31" s="393" t="s">
        <v>8626</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8641</v>
      </c>
      <c r="AH31" s="137" t="s">
        <v>8642</v>
      </c>
      <c r="AI31" s="214" t="s">
        <v>8643</v>
      </c>
      <c r="AJ31" s="123" t="s">
        <v>8630</v>
      </c>
      <c r="AK31" s="107" t="s">
        <v>8644</v>
      </c>
      <c r="AL31" s="47" t="s">
        <v>8645</v>
      </c>
      <c r="AM31" s="305" t="s">
        <v>8646</v>
      </c>
      <c r="AN31" s="123" t="s">
        <v>8634</v>
      </c>
      <c r="AO31" s="397"/>
      <c r="AP31" s="397"/>
    </row>
    <row r="32">
      <c r="A32" s="176" t="s">
        <v>8647</v>
      </c>
      <c r="B32" s="316" t="s">
        <v>8648</v>
      </c>
      <c r="C32" s="215" t="s">
        <v>8649</v>
      </c>
      <c r="D32" s="393" t="s">
        <v>7197</v>
      </c>
      <c r="E32" s="176" t="s">
        <v>8650</v>
      </c>
      <c r="F32" s="316" t="s">
        <v>8651</v>
      </c>
      <c r="G32" s="215" t="s">
        <v>8652</v>
      </c>
      <c r="H32" s="393" t="s">
        <v>7199</v>
      </c>
      <c r="I32" s="176" t="s">
        <v>8653</v>
      </c>
      <c r="J32" s="316" t="s">
        <v>8654</v>
      </c>
      <c r="K32" s="215" t="s">
        <v>8655</v>
      </c>
      <c r="L32" s="393" t="s">
        <v>7201</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8656</v>
      </c>
      <c r="AH32" s="137" t="s">
        <v>8657</v>
      </c>
      <c r="AI32" s="214" t="s">
        <v>8658</v>
      </c>
      <c r="AJ32" s="123" t="s">
        <v>7208</v>
      </c>
      <c r="AK32" s="107" t="s">
        <v>8659</v>
      </c>
      <c r="AL32" s="47" t="s">
        <v>8660</v>
      </c>
      <c r="AM32" s="305" t="s">
        <v>8661</v>
      </c>
      <c r="AN32" s="123" t="s">
        <v>7210</v>
      </c>
      <c r="AO32" s="397"/>
      <c r="AP32" s="397"/>
    </row>
    <row r="33">
      <c r="A33" s="176" t="s">
        <v>8662</v>
      </c>
      <c r="B33" s="316" t="s">
        <v>8663</v>
      </c>
      <c r="C33" s="215" t="s">
        <v>8664</v>
      </c>
      <c r="D33" s="393" t="s">
        <v>8665</v>
      </c>
      <c r="E33" s="176" t="s">
        <v>8666</v>
      </c>
      <c r="F33" s="316" t="s">
        <v>8667</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8668</v>
      </c>
      <c r="I33" s="176" t="s">
        <v>8669</v>
      </c>
      <c r="J33" s="316" t="s">
        <v>8670</v>
      </c>
      <c r="K33" s="215" t="s">
        <v>8671</v>
      </c>
      <c r="L33" s="393" t="s">
        <v>8672</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8673</v>
      </c>
      <c r="AH33" s="137" t="s">
        <v>8674</v>
      </c>
      <c r="AI33" s="214" t="s">
        <v>8675</v>
      </c>
      <c r="AJ33" s="123" t="s">
        <v>8676</v>
      </c>
      <c r="AK33" s="107" t="s">
        <v>8677</v>
      </c>
      <c r="AL33" s="47" t="s">
        <v>8678</v>
      </c>
      <c r="AM33" s="305" t="s">
        <v>8679</v>
      </c>
      <c r="AN33" s="123" t="s">
        <v>8680</v>
      </c>
      <c r="AO33" s="397"/>
      <c r="AP33" s="397"/>
    </row>
    <row r="34">
      <c r="A34" s="176" t="s">
        <v>8681</v>
      </c>
      <c r="B34" s="316" t="s">
        <v>8682</v>
      </c>
      <c r="C34" s="215" t="s">
        <v>8683</v>
      </c>
      <c r="D34" s="393" t="s">
        <v>6407</v>
      </c>
      <c r="E34" s="176" t="s">
        <v>8684</v>
      </c>
      <c r="F34" s="318" t="str">
        <f>IFERROR(__xludf.DUMMYFUNCTION("GOOGLETRANSLATE(B34,""zh-tw"",""ja"")"),"祝福を享受できますように")</f>
        <v>祝福を享受できますように</v>
      </c>
      <c r="G34" s="215" t="s">
        <v>8685</v>
      </c>
      <c r="H34" s="393" t="s">
        <v>6409</v>
      </c>
      <c r="I34" s="176" t="s">
        <v>8686</v>
      </c>
      <c r="J34" s="316" t="s">
        <v>8687</v>
      </c>
      <c r="K34" s="215" t="s">
        <v>8688</v>
      </c>
      <c r="L34" s="393" t="s">
        <v>6410</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8689</v>
      </c>
      <c r="AH34" s="137" t="s">
        <v>8690</v>
      </c>
      <c r="AI34" s="305" t="s">
        <v>8691</v>
      </c>
      <c r="AJ34" s="123" t="s">
        <v>8692</v>
      </c>
      <c r="AK34" s="107" t="s">
        <v>8693</v>
      </c>
      <c r="AL34" s="47" t="s">
        <v>8694</v>
      </c>
      <c r="AM34" s="305" t="s">
        <v>8695</v>
      </c>
      <c r="AN34" s="398" t="s">
        <v>8696</v>
      </c>
      <c r="AO34" s="397"/>
      <c r="AP34" s="397"/>
    </row>
    <row r="35">
      <c r="A35" s="176" t="s">
        <v>8697</v>
      </c>
      <c r="B35" s="316" t="s">
        <v>816</v>
      </c>
      <c r="C35" s="215" t="s">
        <v>816</v>
      </c>
      <c r="D35" s="393" t="s">
        <v>8698</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8699</v>
      </c>
      <c r="J35" s="318" t="str">
        <f>IFERROR(__xludf.DUMMYFUNCTION("GOOGLETRANSLATE(B35,""zh-tw"",""en"")"),"-")</f>
        <v>-</v>
      </c>
      <c r="K35" s="394" t="str">
        <f>IFERROR(__xludf.DUMMYFUNCTION("GOOGLETRANSLATE(C35,""zh-tw"",""en"")"),"-")</f>
        <v>-</v>
      </c>
      <c r="L35" s="393" t="s">
        <v>8700</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8701</v>
      </c>
      <c r="AH35" s="47" t="s">
        <v>816</v>
      </c>
      <c r="AI35" s="305" t="s">
        <v>816</v>
      </c>
      <c r="AJ35" s="123" t="s">
        <v>8702</v>
      </c>
      <c r="AK35" s="107" t="s">
        <v>8703</v>
      </c>
      <c r="AL35" s="47" t="s">
        <v>816</v>
      </c>
      <c r="AM35" s="305" t="s">
        <v>816</v>
      </c>
      <c r="AN35" s="123" t="s">
        <v>8704</v>
      </c>
      <c r="AO35" s="397"/>
      <c r="AP35" s="397"/>
    </row>
    <row r="36">
      <c r="A36" s="176" t="s">
        <v>8705</v>
      </c>
      <c r="B36" s="316" t="s">
        <v>8706</v>
      </c>
      <c r="C36" s="215" t="s">
        <v>8707</v>
      </c>
      <c r="D36" s="393" t="s">
        <v>5844</v>
      </c>
      <c r="E36" s="176" t="s">
        <v>5846</v>
      </c>
      <c r="F36" s="316" t="s">
        <v>8708</v>
      </c>
      <c r="G36" s="394" t="str">
        <f>IFERROR(__xludf.DUMMYFUNCTION("GOOGLETRANSLATE(C36,""zh-tw"",""ja"")"),"全属性が上昇し、一時的に無敵になる。")</f>
        <v>全属性が上昇し、一時的に無敵になる。</v>
      </c>
      <c r="H36" s="393" t="s">
        <v>5846</v>
      </c>
      <c r="I36" s="176" t="s">
        <v>5848</v>
      </c>
      <c r="J36" s="316" t="s">
        <v>8709</v>
      </c>
      <c r="K36" s="215" t="s">
        <v>8710</v>
      </c>
      <c r="L36" s="393" t="s">
        <v>5848</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8711</v>
      </c>
      <c r="AH36" s="137" t="s">
        <v>8712</v>
      </c>
      <c r="AI36" s="305" t="s">
        <v>8713</v>
      </c>
      <c r="AJ36" s="123" t="s">
        <v>8711</v>
      </c>
      <c r="AK36" s="107" t="s">
        <v>5854</v>
      </c>
      <c r="AL36" s="47" t="s">
        <v>8714</v>
      </c>
      <c r="AM36" s="305" t="s">
        <v>8715</v>
      </c>
      <c r="AN36" s="123" t="s">
        <v>5854</v>
      </c>
      <c r="AO36" s="397"/>
      <c r="AP36" s="397"/>
    </row>
    <row r="37">
      <c r="A37" s="176" t="s">
        <v>3348</v>
      </c>
      <c r="B37" s="316" t="s">
        <v>8716</v>
      </c>
      <c r="C37" s="215" t="s">
        <v>8717</v>
      </c>
      <c r="D37" s="393" t="s">
        <v>8718</v>
      </c>
      <c r="E37" s="176" t="s">
        <v>3351</v>
      </c>
      <c r="F37" s="316" t="s">
        <v>8719</v>
      </c>
      <c r="G37" s="394" t="str">
        <f>IFERROR(__xludf.DUMMYFUNCTION("GOOGLETRANSLATE(C37,""zh-tw"",""ja"")"),"スタミナを回復できない")</f>
        <v>スタミナを回復できない</v>
      </c>
      <c r="H37" s="393" t="s">
        <v>5255</v>
      </c>
      <c r="I37" s="176" t="s">
        <v>5257</v>
      </c>
      <c r="J37" s="316" t="s">
        <v>8720</v>
      </c>
      <c r="K37" s="215" t="s">
        <v>8721</v>
      </c>
      <c r="L37" s="393" t="s">
        <v>5257</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5263</v>
      </c>
      <c r="AH37" s="137" t="s">
        <v>8722</v>
      </c>
      <c r="AI37" s="305" t="s">
        <v>8723</v>
      </c>
      <c r="AJ37" s="123" t="s">
        <v>5263</v>
      </c>
      <c r="AK37" s="107" t="s">
        <v>5265</v>
      </c>
      <c r="AL37" s="47" t="s">
        <v>8724</v>
      </c>
      <c r="AM37" s="305" t="s">
        <v>8725</v>
      </c>
      <c r="AN37" s="123" t="s">
        <v>5265</v>
      </c>
      <c r="AO37" s="397"/>
      <c r="AP37" s="397"/>
    </row>
    <row r="38">
      <c r="A38" s="176" t="s">
        <v>8726</v>
      </c>
      <c r="B38" s="316" t="s">
        <v>816</v>
      </c>
      <c r="C38" s="215" t="s">
        <v>8727</v>
      </c>
      <c r="D38" s="393" t="s">
        <v>8728</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8729</v>
      </c>
      <c r="J38" s="318" t="str">
        <f>IFERROR(__xludf.DUMMYFUNCTION("GOOGLETRANSLATE(B38,""zh-tw"",""en"")"),"-")</f>
        <v>-</v>
      </c>
      <c r="K38" s="215" t="s">
        <v>8730</v>
      </c>
      <c r="L38" s="393" t="s">
        <v>8731</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8732</v>
      </c>
      <c r="AH38" s="47" t="s">
        <v>816</v>
      </c>
      <c r="AI38" s="214" t="s">
        <v>8733</v>
      </c>
      <c r="AJ38" s="123" t="s">
        <v>8734</v>
      </c>
      <c r="AK38" s="107" t="s">
        <v>8735</v>
      </c>
      <c r="AL38" s="47" t="s">
        <v>816</v>
      </c>
      <c r="AM38" s="305" t="s">
        <v>8736</v>
      </c>
      <c r="AN38" s="123" t="s">
        <v>8737</v>
      </c>
      <c r="AO38" s="397"/>
      <c r="AP38" s="397"/>
    </row>
    <row r="39">
      <c r="A39" s="176" t="s">
        <v>8738</v>
      </c>
      <c r="B39" s="316" t="s">
        <v>8739</v>
      </c>
      <c r="C39" s="215" t="s">
        <v>8740</v>
      </c>
      <c r="D39" s="393" t="s">
        <v>5335</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8741</v>
      </c>
      <c r="J39" s="316" t="s">
        <v>8742</v>
      </c>
      <c r="K39" s="215" t="s">
        <v>8743</v>
      </c>
      <c r="L39" s="393" t="s">
        <v>5338</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8744</v>
      </c>
      <c r="AH39" s="137" t="s">
        <v>8745</v>
      </c>
      <c r="AI39" s="214" t="s">
        <v>8746</v>
      </c>
      <c r="AJ39" s="123" t="s">
        <v>5345</v>
      </c>
      <c r="AK39" s="107" t="s">
        <v>8747</v>
      </c>
      <c r="AL39" s="47" t="s">
        <v>8748</v>
      </c>
      <c r="AM39" s="305" t="s">
        <v>8749</v>
      </c>
      <c r="AN39" s="123" t="s">
        <v>5347</v>
      </c>
      <c r="AO39" s="397"/>
      <c r="AP39" s="397"/>
    </row>
    <row r="40">
      <c r="A40" s="176" t="s">
        <v>8750</v>
      </c>
      <c r="B40" s="316" t="s">
        <v>8751</v>
      </c>
      <c r="C40" s="215" t="s">
        <v>8752</v>
      </c>
      <c r="D40" s="393" t="s">
        <v>6133</v>
      </c>
      <c r="E40" s="176" t="s">
        <v>8753</v>
      </c>
      <c r="F40" s="316" t="s">
        <v>8754</v>
      </c>
      <c r="G40" s="394" t="str">
        <f>IFERROR(__xludf.DUMMYFUNCTION("GOOGLETRANSLATE(C40,""zh-tw"",""ja"")"),"スタミナは自動的に回復します。")</f>
        <v>スタミナは自動的に回復します。</v>
      </c>
      <c r="H40" s="393" t="s">
        <v>8755</v>
      </c>
      <c r="I40" s="176" t="s">
        <v>8756</v>
      </c>
      <c r="J40" s="316" t="s">
        <v>8757</v>
      </c>
      <c r="K40" s="215" t="s">
        <v>8758</v>
      </c>
      <c r="L40" s="393" t="s">
        <v>8759</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8760</v>
      </c>
      <c r="AH40" s="137" t="s">
        <v>8761</v>
      </c>
      <c r="AI40" s="214" t="s">
        <v>8762</v>
      </c>
      <c r="AJ40" s="123" t="s">
        <v>8763</v>
      </c>
      <c r="AK40" s="107" t="s">
        <v>8764</v>
      </c>
      <c r="AL40" s="47" t="s">
        <v>8765</v>
      </c>
      <c r="AM40" s="305" t="s">
        <v>8766</v>
      </c>
      <c r="AN40" s="123" t="s">
        <v>8767</v>
      </c>
      <c r="AO40" s="397"/>
      <c r="AP40" s="397"/>
    </row>
    <row r="41">
      <c r="A41" s="176" t="s">
        <v>8768</v>
      </c>
      <c r="B41" s="316" t="s">
        <v>8769</v>
      </c>
      <c r="C41" s="215" t="s">
        <v>8770</v>
      </c>
      <c r="D41" s="393" t="s">
        <v>8771</v>
      </c>
      <c r="E41" s="176" t="s">
        <v>8772</v>
      </c>
      <c r="F41" s="316" t="s">
        <v>8773</v>
      </c>
      <c r="G41" s="215" t="s">
        <v>8774</v>
      </c>
      <c r="H41" s="393" t="s">
        <v>8775</v>
      </c>
      <c r="I41" s="176" t="s">
        <v>8776</v>
      </c>
      <c r="J41" s="316" t="s">
        <v>8777</v>
      </c>
      <c r="K41" s="215" t="s">
        <v>8778</v>
      </c>
      <c r="L41" s="393" t="s">
        <v>8779</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 음식")</f>
        <v>독성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8780</v>
      </c>
      <c r="AH41" s="137" t="s">
        <v>8781</v>
      </c>
      <c r="AI41" s="214" t="s">
        <v>8782</v>
      </c>
      <c r="AJ41" s="123" t="s">
        <v>8783</v>
      </c>
      <c r="AK41" s="107" t="s">
        <v>8776</v>
      </c>
      <c r="AL41" s="47" t="s">
        <v>8784</v>
      </c>
      <c r="AM41" s="305" t="s">
        <v>8785</v>
      </c>
      <c r="AN41" s="123" t="s">
        <v>8786</v>
      </c>
      <c r="AO41" s="397"/>
      <c r="AP41" s="397"/>
    </row>
    <row r="42">
      <c r="A42" s="176" t="s">
        <v>8787</v>
      </c>
      <c r="B42" s="316" t="s">
        <v>8788</v>
      </c>
      <c r="C42" s="215" t="s">
        <v>8789</v>
      </c>
      <c r="D42" s="393" t="s">
        <v>8790</v>
      </c>
      <c r="E42" s="176" t="s">
        <v>8791</v>
      </c>
      <c r="F42" s="316" t="s">
        <v>8792</v>
      </c>
      <c r="G42" s="215" t="s">
        <v>8793</v>
      </c>
      <c r="H42" s="393" t="s">
        <v>8794</v>
      </c>
      <c r="I42" s="176" t="s">
        <v>8795</v>
      </c>
      <c r="J42" s="316" t="s">
        <v>8796</v>
      </c>
      <c r="K42" s="215" t="s">
        <v>8797</v>
      </c>
      <c r="L42" s="393" t="s">
        <v>8798</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8799</v>
      </c>
      <c r="AH42" s="137" t="s">
        <v>8800</v>
      </c>
      <c r="AI42" s="214" t="s">
        <v>8801</v>
      </c>
      <c r="AJ42" s="123" t="s">
        <v>8802</v>
      </c>
      <c r="AK42" s="107" t="s">
        <v>8795</v>
      </c>
      <c r="AL42" s="47" t="s">
        <v>8803</v>
      </c>
      <c r="AM42" s="305" t="s">
        <v>8804</v>
      </c>
      <c r="AN42" s="123" t="s">
        <v>8805</v>
      </c>
      <c r="AO42" s="397"/>
      <c r="AP42" s="397"/>
    </row>
    <row r="43">
      <c r="A43" s="176" t="s">
        <v>8806</v>
      </c>
      <c r="B43" s="316" t="s">
        <v>8807</v>
      </c>
      <c r="C43" s="215" t="s">
        <v>8808</v>
      </c>
      <c r="D43" s="393" t="s">
        <v>8809</v>
      </c>
      <c r="E43" s="176" t="s">
        <v>8810</v>
      </c>
      <c r="F43" s="316" t="s">
        <v>8811</v>
      </c>
      <c r="G43" s="215" t="s">
        <v>8812</v>
      </c>
      <c r="H43" s="393" t="s">
        <v>8813</v>
      </c>
      <c r="I43" s="176" t="s">
        <v>8814</v>
      </c>
      <c r="J43" s="316" t="s">
        <v>8815</v>
      </c>
      <c r="K43" s="215" t="s">
        <v>8816</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7" t="s">
        <v>2383</v>
      </c>
      <c r="AH43" s="47" t="s">
        <v>8817</v>
      </c>
      <c r="AI43" s="214" t="s">
        <v>8818</v>
      </c>
      <c r="AJ43" s="399"/>
      <c r="AK43" s="107" t="s">
        <v>2386</v>
      </c>
      <c r="AL43" s="47" t="s">
        <v>8819</v>
      </c>
      <c r="AM43" s="305" t="s">
        <v>8820</v>
      </c>
      <c r="AN43" s="399"/>
      <c r="AO43" s="397"/>
      <c r="AP43" s="397"/>
    </row>
    <row r="44">
      <c r="A44" s="176" t="s">
        <v>8821</v>
      </c>
      <c r="B44" s="316" t="s">
        <v>8822</v>
      </c>
      <c r="C44" s="215" t="s">
        <v>8823</v>
      </c>
      <c r="D44" s="393" t="s">
        <v>8824</v>
      </c>
      <c r="E44" s="176" t="s">
        <v>8825</v>
      </c>
      <c r="F44" s="316" t="s">
        <v>8826</v>
      </c>
      <c r="G44" s="215" t="s">
        <v>8827</v>
      </c>
      <c r="H44" s="393" t="s">
        <v>8828</v>
      </c>
      <c r="I44" s="176" t="s">
        <v>8829</v>
      </c>
      <c r="J44" s="316" t="s">
        <v>8830</v>
      </c>
      <c r="K44" s="215" t="s">
        <v>8831</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8832</v>
      </c>
      <c r="AH44" s="137" t="s">
        <v>8833</v>
      </c>
      <c r="AI44" s="214" t="s">
        <v>8834</v>
      </c>
      <c r="AJ44" s="399"/>
      <c r="AK44" s="107" t="s">
        <v>8829</v>
      </c>
      <c r="AL44" s="47" t="s">
        <v>8835</v>
      </c>
      <c r="AM44" s="305" t="s">
        <v>8836</v>
      </c>
      <c r="AN44" s="399"/>
      <c r="AO44" s="397"/>
      <c r="AP44" s="397"/>
    </row>
    <row r="45">
      <c r="A45" s="176" t="s">
        <v>8837</v>
      </c>
      <c r="B45" s="316" t="s">
        <v>8838</v>
      </c>
      <c r="C45" s="215" t="s">
        <v>816</v>
      </c>
      <c r="D45" s="393" t="s">
        <v>6795</v>
      </c>
      <c r="E45" s="176" t="s">
        <v>8839</v>
      </c>
      <c r="F45" s="316" t="s">
        <v>8840</v>
      </c>
      <c r="G45" s="215" t="s">
        <v>816</v>
      </c>
      <c r="H45" s="393" t="s">
        <v>8841</v>
      </c>
      <c r="I45" s="176" t="s">
        <v>6799</v>
      </c>
      <c r="J45" s="316" t="s">
        <v>8842</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8843</v>
      </c>
      <c r="AH45" s="137" t="s">
        <v>8844</v>
      </c>
      <c r="AI45" s="400"/>
      <c r="AJ45" s="399"/>
      <c r="AK45" s="107" t="s">
        <v>6799</v>
      </c>
      <c r="AL45" s="47" t="s">
        <v>8842</v>
      </c>
      <c r="AM45" s="400"/>
      <c r="AN45" s="399"/>
      <c r="AO45" s="397"/>
      <c r="AP45" s="397"/>
    </row>
    <row r="46">
      <c r="A46" s="176" t="s">
        <v>8845</v>
      </c>
      <c r="B46" s="316" t="s">
        <v>8846</v>
      </c>
      <c r="C46" s="215" t="s">
        <v>8847</v>
      </c>
      <c r="D46" s="393" t="s">
        <v>6724</v>
      </c>
      <c r="E46" s="176" t="s">
        <v>8848</v>
      </c>
      <c r="F46" s="316" t="s">
        <v>8849</v>
      </c>
      <c r="G46" s="215" t="s">
        <v>8850</v>
      </c>
      <c r="H46" s="396" t="str">
        <f>IFERROR(__xludf.DUMMYFUNCTION("GOOGLETRANSLATE(D46,""zh-tw"",""ja"")"),"貪欲な貯金箱")</f>
        <v>貪欲な貯金箱</v>
      </c>
      <c r="I46" s="176" t="s">
        <v>8851</v>
      </c>
      <c r="J46" s="316" t="s">
        <v>8852</v>
      </c>
      <c r="K46" s="215" t="s">
        <v>8853</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8854</v>
      </c>
      <c r="AH46" s="137" t="s">
        <v>8855</v>
      </c>
      <c r="AI46" s="214" t="s">
        <v>8856</v>
      </c>
      <c r="AJ46" s="401"/>
      <c r="AK46" s="139" t="s">
        <v>8857</v>
      </c>
      <c r="AL46" s="143" t="s">
        <v>8858</v>
      </c>
      <c r="AM46" s="304" t="s">
        <v>8859</v>
      </c>
      <c r="AN46" s="401"/>
      <c r="AO46" s="201"/>
      <c r="AP46" s="201"/>
    </row>
    <row r="47">
      <c r="A47" s="176" t="s">
        <v>8860</v>
      </c>
      <c r="B47" s="316" t="s">
        <v>8861</v>
      </c>
      <c r="C47" s="215" t="s">
        <v>8862</v>
      </c>
      <c r="D47" s="393" t="s">
        <v>6627</v>
      </c>
      <c r="E47" s="176" t="s">
        <v>8863</v>
      </c>
      <c r="F47" s="316" t="s">
        <v>8864</v>
      </c>
      <c r="G47" s="215" t="s">
        <v>8865</v>
      </c>
      <c r="H47" s="396" t="str">
        <f>IFERROR(__xludf.DUMMYFUNCTION("GOOGLETRANSLATE(D47,""zh-tw"",""ja"")"),"夜霧の幻影")</f>
        <v>夜霧の幻影</v>
      </c>
      <c r="I47" s="176" t="s">
        <v>8866</v>
      </c>
      <c r="J47" s="316" t="s">
        <v>8867</v>
      </c>
      <c r="K47" s="215" t="s">
        <v>8868</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8869</v>
      </c>
      <c r="AH47" s="137" t="s">
        <v>8870</v>
      </c>
      <c r="AI47" s="214" t="s">
        <v>8871</v>
      </c>
      <c r="AJ47" s="142"/>
      <c r="AK47" s="139" t="s">
        <v>8872</v>
      </c>
      <c r="AL47" s="143" t="s">
        <v>8873</v>
      </c>
      <c r="AM47" s="304" t="s">
        <v>8874</v>
      </c>
      <c r="AN47" s="401"/>
      <c r="AO47" s="201"/>
      <c r="AP47" s="201"/>
    </row>
    <row r="48">
      <c r="A48" s="139" t="s">
        <v>8875</v>
      </c>
      <c r="B48" s="143" t="s">
        <v>8876</v>
      </c>
      <c r="C48" s="304" t="s">
        <v>8877</v>
      </c>
      <c r="D48" s="142" t="s">
        <v>8878</v>
      </c>
      <c r="E48" s="139" t="s">
        <v>8879</v>
      </c>
      <c r="F48" s="143" t="s">
        <v>8880</v>
      </c>
      <c r="G48" s="304" t="s">
        <v>8881</v>
      </c>
      <c r="H48" s="142" t="s">
        <v>8882</v>
      </c>
      <c r="I48" s="176" t="s">
        <v>8883</v>
      </c>
      <c r="J48" s="143" t="s">
        <v>8884</v>
      </c>
      <c r="K48" s="304" t="s">
        <v>8885</v>
      </c>
      <c r="L48" s="136" t="s">
        <v>8886</v>
      </c>
      <c r="M48" s="139" t="s">
        <v>8887</v>
      </c>
      <c r="N48" s="143" t="s">
        <v>8876</v>
      </c>
      <c r="O48" s="304" t="s">
        <v>8888</v>
      </c>
      <c r="P48" s="142" t="s">
        <v>8889</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пристально наблюдает группа мелких существ.")</f>
        <v>За вами пристально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8890</v>
      </c>
      <c r="AE48" s="304" t="s">
        <v>8891</v>
      </c>
      <c r="AF48" s="142" t="s">
        <v>8892</v>
      </c>
      <c r="AG48" s="395" t="str">
        <f>IFERROR(__xludf.DUMMYFUNCTION("GOOGLETRANSLATE(A48,""zh-tw"",""VI"")"),"Tôi luôn có cảm giác như có thứ gì đó đang theo dõi mình.")</f>
        <v>Tôi luôn có cảm giác như có thứ gì đó đang theo dõi mình.</v>
      </c>
      <c r="AH48" s="145" t="s">
        <v>8893</v>
      </c>
      <c r="AI48" s="402" t="s">
        <v>8894</v>
      </c>
      <c r="AJ48" s="131" t="s">
        <v>8895</v>
      </c>
      <c r="AK48" s="139" t="s">
        <v>8896</v>
      </c>
      <c r="AL48" s="143" t="s">
        <v>8897</v>
      </c>
      <c r="AM48" s="304" t="s">
        <v>8898</v>
      </c>
      <c r="AN48" s="142" t="s">
        <v>8899</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8900</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8901</v>
      </c>
      <c r="G1" s="414" t="s">
        <v>8902</v>
      </c>
      <c r="H1" s="415"/>
      <c r="I1" s="415"/>
      <c r="J1" s="415"/>
      <c r="K1" s="415"/>
      <c r="L1" s="415"/>
      <c r="M1" s="415"/>
      <c r="N1" s="415"/>
      <c r="O1" s="415"/>
      <c r="P1" s="415"/>
      <c r="Q1" s="415"/>
      <c r="R1" s="415"/>
    </row>
    <row r="2">
      <c r="A2" s="416" t="s">
        <v>8903</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8904</v>
      </c>
      <c r="F2" s="190" t="s">
        <v>8905</v>
      </c>
      <c r="G2" s="419" t="s">
        <v>8906</v>
      </c>
      <c r="H2" s="153"/>
      <c r="I2" s="153"/>
      <c r="J2" s="153"/>
      <c r="K2" s="153"/>
      <c r="L2" s="153"/>
      <c r="M2" s="153"/>
      <c r="N2" s="153"/>
      <c r="O2" s="153"/>
      <c r="P2" s="153"/>
      <c r="Q2" s="153"/>
      <c r="R2" s="153"/>
    </row>
    <row r="3">
      <c r="A3" s="416" t="s">
        <v>8907</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8908</v>
      </c>
      <c r="F3" s="190" t="s">
        <v>8909</v>
      </c>
      <c r="G3" s="420" t="s">
        <v>8910</v>
      </c>
      <c r="H3" s="153"/>
      <c r="I3" s="153"/>
      <c r="J3" s="153"/>
      <c r="K3" s="153"/>
      <c r="L3" s="153"/>
      <c r="M3" s="153"/>
      <c r="N3" s="153"/>
      <c r="O3" s="153"/>
      <c r="P3" s="153"/>
      <c r="Q3" s="153"/>
      <c r="R3" s="153"/>
    </row>
    <row r="4">
      <c r="A4" s="416" t="s">
        <v>8911</v>
      </c>
      <c r="B4" s="120"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8912</v>
      </c>
      <c r="F4" s="190" t="s">
        <v>8913</v>
      </c>
      <c r="G4" s="419" t="s">
        <v>8914</v>
      </c>
      <c r="H4" s="153"/>
      <c r="I4" s="153"/>
      <c r="J4" s="153"/>
      <c r="K4" s="153"/>
      <c r="L4" s="153"/>
      <c r="M4" s="153"/>
      <c r="N4" s="153"/>
      <c r="O4" s="153"/>
      <c r="P4" s="153"/>
      <c r="Q4" s="153"/>
      <c r="R4" s="153"/>
    </row>
    <row r="5">
      <c r="A5" s="416" t="s">
        <v>8915</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8916</v>
      </c>
      <c r="F5" s="190" t="s">
        <v>8917</v>
      </c>
      <c r="G5" s="420" t="s">
        <v>8918</v>
      </c>
      <c r="H5" s="153"/>
      <c r="I5" s="153"/>
      <c r="J5" s="153"/>
      <c r="K5" s="153"/>
      <c r="L5" s="153"/>
      <c r="M5" s="153"/>
      <c r="N5" s="153"/>
      <c r="O5" s="153"/>
      <c r="P5" s="153"/>
      <c r="Q5" s="153"/>
      <c r="R5" s="153"/>
    </row>
    <row r="6">
      <c r="A6" s="421" t="s">
        <v>8919</v>
      </c>
      <c r="B6" s="422" t="s">
        <v>8920</v>
      </c>
      <c r="C6" s="423" t="s">
        <v>8921</v>
      </c>
      <c r="D6" s="424" t="s">
        <v>8922</v>
      </c>
      <c r="E6" s="425" t="s">
        <v>8923</v>
      </c>
      <c r="F6" s="426" t="s">
        <v>8924</v>
      </c>
      <c r="G6" s="427" t="s">
        <v>8925</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8926</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8927</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8928</v>
      </c>
      <c r="B3" s="45" t="s">
        <v>8928</v>
      </c>
      <c r="C3" s="435" t="s">
        <v>8928</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8929</v>
      </c>
      <c r="B5" s="45" t="str">
        <f>IFERROR(__xludf.DUMMYFUNCTION("GOOGLETRANSLATE(A5,""zh-tw"",""ja"")"),"公式YouTubeチャンネル")</f>
        <v>公式YouTubeチャンネル</v>
      </c>
      <c r="C5" s="435" t="str">
        <f>IFERROR(__xludf.DUMMYFUNCTION("GOOGLETRANSLATE(A5,""zh-tw"",""en"")"),"Official YouTube channel")</f>
        <v>Official YouTube channel</v>
      </c>
      <c r="D5" s="156" t="s">
        <v>8930</v>
      </c>
      <c r="E5" s="433"/>
      <c r="F5" s="433"/>
      <c r="G5" s="433"/>
      <c r="H5" s="433"/>
      <c r="I5" s="433"/>
      <c r="J5" s="433"/>
      <c r="K5" s="433"/>
      <c r="L5" s="433"/>
      <c r="M5" s="433"/>
      <c r="N5" s="433"/>
      <c r="O5" s="433"/>
      <c r="P5" s="433"/>
      <c r="Q5" s="433"/>
      <c r="R5" s="433"/>
      <c r="S5" s="433"/>
      <c r="T5" s="433"/>
      <c r="U5" s="433"/>
      <c r="V5" s="433"/>
      <c r="W5" s="433"/>
      <c r="X5" s="433"/>
      <c r="Y5" s="433"/>
      <c r="Z5" s="433"/>
    </row>
    <row r="6">
      <c r="A6" s="434" t="s">
        <v>8931</v>
      </c>
      <c r="B6" s="45" t="str">
        <f>IFERROR(__xludf.DUMMYFUNCTION("GOOGLETRANSLATE(A6,""zh-tw"",""ja"")"),"公式法案")</f>
        <v>公式法案</v>
      </c>
      <c r="C6" s="435" t="str">
        <f>IFERROR(__xludf.DUMMYFUNCTION("GOOGLETRANSLATE(A6,""zh-tw"",""en"")"),"Official bill")</f>
        <v>Official bill</v>
      </c>
      <c r="D6" s="156" t="s">
        <v>8930</v>
      </c>
      <c r="E6" s="433"/>
      <c r="F6" s="433"/>
      <c r="G6" s="433"/>
      <c r="H6" s="433"/>
      <c r="I6" s="433"/>
      <c r="J6" s="433"/>
      <c r="K6" s="433"/>
      <c r="L6" s="433"/>
      <c r="M6" s="433"/>
      <c r="N6" s="433"/>
      <c r="O6" s="433"/>
      <c r="P6" s="433"/>
      <c r="Q6" s="433"/>
      <c r="R6" s="433"/>
      <c r="S6" s="433"/>
      <c r="T6" s="433"/>
      <c r="U6" s="433"/>
      <c r="V6" s="433"/>
      <c r="W6" s="433"/>
      <c r="X6" s="433"/>
      <c r="Y6" s="433"/>
      <c r="Z6" s="433"/>
    </row>
    <row r="7">
      <c r="A7" s="434" t="s">
        <v>8932</v>
      </c>
      <c r="B7" s="45"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6" t="s">
        <v>8933</v>
      </c>
      <c r="E7" s="433"/>
      <c r="F7" s="433"/>
      <c r="G7" s="433"/>
      <c r="H7" s="433"/>
      <c r="I7" s="433"/>
      <c r="J7" s="433"/>
      <c r="K7" s="433"/>
      <c r="L7" s="433"/>
      <c r="M7" s="433"/>
      <c r="N7" s="433"/>
      <c r="O7" s="433"/>
      <c r="P7" s="433"/>
      <c r="Q7" s="433"/>
      <c r="R7" s="433"/>
      <c r="S7" s="433"/>
      <c r="T7" s="433"/>
      <c r="U7" s="433"/>
      <c r="V7" s="433"/>
      <c r="W7" s="433"/>
      <c r="X7" s="433"/>
      <c r="Y7" s="433"/>
      <c r="Z7" s="433"/>
    </row>
    <row r="8">
      <c r="A8" s="434" t="s">
        <v>8934</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8933</v>
      </c>
      <c r="E8" s="433"/>
      <c r="F8" s="433"/>
      <c r="G8" s="433"/>
      <c r="H8" s="433"/>
      <c r="I8" s="433"/>
      <c r="J8" s="433"/>
      <c r="K8" s="433"/>
      <c r="L8" s="433"/>
      <c r="M8" s="433"/>
      <c r="N8" s="433"/>
      <c r="O8" s="433"/>
      <c r="P8" s="433"/>
      <c r="Q8" s="433"/>
      <c r="R8" s="433"/>
      <c r="S8" s="433"/>
      <c r="T8" s="433"/>
      <c r="U8" s="433"/>
      <c r="V8" s="433"/>
      <c r="W8" s="433"/>
      <c r="X8" s="433"/>
      <c r="Y8" s="433"/>
      <c r="Z8" s="433"/>
    </row>
    <row r="9">
      <c r="A9" s="434" t="s">
        <v>8935</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8936</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8937</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8938</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8939</v>
      </c>
      <c r="B1" s="77" t="s">
        <v>8940</v>
      </c>
      <c r="C1" s="410" t="s">
        <v>8941</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8942</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8943</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8944</v>
      </c>
      <c r="J1" s="413" t="s">
        <v>8945</v>
      </c>
      <c r="K1" s="138" t="s">
        <v>8946</v>
      </c>
      <c r="L1" s="138" t="s">
        <v>8947</v>
      </c>
      <c r="M1" s="446" t="s">
        <v>8948</v>
      </c>
      <c r="N1" s="446" t="s">
        <v>8949</v>
      </c>
      <c r="O1" s="415"/>
      <c r="P1" s="415"/>
      <c r="Q1" s="415"/>
      <c r="R1" s="415"/>
      <c r="S1" s="415"/>
      <c r="T1" s="415"/>
      <c r="U1" s="415"/>
      <c r="V1" s="415"/>
      <c r="W1" s="415"/>
    </row>
    <row r="2">
      <c r="A2" s="416" t="s">
        <v>8950</v>
      </c>
      <c r="B2" s="416" t="s">
        <v>8951</v>
      </c>
      <c r="C2" s="120" t="s">
        <v>8952</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8953</v>
      </c>
      <c r="F2" s="211" t="str">
        <f>IFERROR(__xludf.DUMMYFUNCTION("GOOGLETRANSLATE(B2,""zh-tw"",""en"")"),"1 - Search for ""NVIDIA APP install"" on Google and launch the NVIDIA application.")</f>
        <v>1 - Search for "NVIDIA APP install" on Google and launch the NVIDIA application.</v>
      </c>
      <c r="G2" s="448" t="s">
        <v>8954</v>
      </c>
      <c r="H2" s="417" t="str">
        <f>IFERROR(__xludf.DUMMYFUNCTION("GOOGLETRANSLATE(B2,""zh-tw"",""zh"")"),"1 - 在google上搜寻 NVIDIA APP安装，并启动 NVIDIA 应用程式。")</f>
        <v>1 - 在google上搜寻 NVIDIA APP安装，并启动 NVIDIA 应用程式。</v>
      </c>
      <c r="I2" s="418" t="s">
        <v>8955</v>
      </c>
      <c r="J2" s="418" t="s">
        <v>8956</v>
      </c>
      <c r="K2" s="190" t="s">
        <v>8957</v>
      </c>
      <c r="L2" s="190" t="s">
        <v>8958</v>
      </c>
      <c r="M2" s="449" t="s">
        <v>8959</v>
      </c>
      <c r="N2" s="449" t="s">
        <v>8960</v>
      </c>
      <c r="O2" s="153"/>
      <c r="P2" s="153"/>
      <c r="Q2" s="153"/>
      <c r="R2" s="153"/>
      <c r="S2" s="153"/>
      <c r="T2" s="153"/>
      <c r="U2" s="153"/>
      <c r="V2" s="153"/>
      <c r="W2" s="153"/>
    </row>
    <row r="3">
      <c r="A3" s="416" t="s">
        <v>8961</v>
      </c>
      <c r="B3" s="416" t="s">
        <v>8962</v>
      </c>
      <c r="C3" s="120" t="s">
        <v>8963</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8964</v>
      </c>
      <c r="F3" s="211" t="str">
        <f>IFERROR(__xludf.DUMMYFUNCTION("GOOGLETRANSLATE(B3,""zh-tw"",""en"")"),"2 - Restart the NVIDIA application after updating to the latest version.")</f>
        <v>2 - Restart the NVIDIA application after updating to the latest version.</v>
      </c>
      <c r="G3" s="448" t="s">
        <v>8965</v>
      </c>
      <c r="H3" s="417" t="str">
        <f>IFERROR(__xludf.DUMMYFUNCTION("GOOGLETRANSLATE(B3,""zh-tw"",""zh"")"),"2 - 在更新至最新版本后重新启动 NVIDIA 应用程式。")</f>
        <v>2 - 在更新至最新版本后重新启动 NVIDIA 应用程式。</v>
      </c>
      <c r="I3" s="418" t="s">
        <v>8966</v>
      </c>
      <c r="J3" s="418" t="s">
        <v>8967</v>
      </c>
      <c r="K3" s="190" t="s">
        <v>8968</v>
      </c>
      <c r="L3" s="190" t="s">
        <v>8969</v>
      </c>
      <c r="M3" s="449" t="s">
        <v>8970</v>
      </c>
      <c r="N3" s="449" t="s">
        <v>8971</v>
      </c>
      <c r="O3" s="153"/>
      <c r="P3" s="153"/>
      <c r="Q3" s="153"/>
      <c r="R3" s="153"/>
      <c r="S3" s="153"/>
      <c r="T3" s="153"/>
      <c r="U3" s="153"/>
      <c r="V3" s="153"/>
      <c r="W3" s="153"/>
    </row>
    <row r="4">
      <c r="A4" s="416" t="s">
        <v>8972</v>
      </c>
      <c r="B4" s="416" t="s">
        <v>8973</v>
      </c>
      <c r="C4" s="120" t="s">
        <v>8974</v>
      </c>
      <c r="D4" s="120" t="str">
        <f>IFERROR(__xludf.DUMMYFUNCTION("GOOGLETRANSLATE(B4,""zh-tw"",""ja"")"),"3 - NVIDIA アプリケーションで、グラフィック設定領域に移動します。")</f>
        <v>3 - NVIDIA アプリケーションで、グラフィック設定領域に移動します。</v>
      </c>
      <c r="E4" s="447" t="s">
        <v>8975</v>
      </c>
      <c r="F4" s="211" t="str">
        <f>IFERROR(__xludf.DUMMYFUNCTION("GOOGLETRANSLATE(B4,""zh-tw"",""en"")"),"3 - In the NVIDIA application, go to the graphics settings area.")</f>
        <v>3 - In the NVIDIA application, go to the graphics settings area.</v>
      </c>
      <c r="G4" s="448" t="s">
        <v>8976</v>
      </c>
      <c r="H4" s="417" t="str">
        <f>IFERROR(__xludf.DUMMYFUNCTION("GOOGLETRANSLATE(B4,""zh-tw"",""zh"")"),"3 - 在NVIDIA应用程式中，进入图形设置区域。")</f>
        <v>3 - 在NVIDIA应用程式中，进入图形设置区域。</v>
      </c>
      <c r="I4" s="418" t="s">
        <v>8977</v>
      </c>
      <c r="J4" s="418" t="s">
        <v>8978</v>
      </c>
      <c r="K4" s="190" t="s">
        <v>8979</v>
      </c>
      <c r="L4" s="190" t="s">
        <v>8980</v>
      </c>
      <c r="M4" s="449" t="s">
        <v>8981</v>
      </c>
      <c r="N4" s="449" t="s">
        <v>8982</v>
      </c>
      <c r="O4" s="153"/>
      <c r="P4" s="153"/>
      <c r="Q4" s="153"/>
      <c r="R4" s="153"/>
      <c r="S4" s="153"/>
      <c r="T4" s="153"/>
      <c r="U4" s="153"/>
      <c r="V4" s="153"/>
      <c r="W4" s="153"/>
    </row>
    <row r="5">
      <c r="A5" s="416" t="s">
        <v>8983</v>
      </c>
      <c r="B5" s="416" t="s">
        <v>8984</v>
      </c>
      <c r="C5" s="120" t="s">
        <v>8985</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8986</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8987</v>
      </c>
      <c r="H5" s="417" t="str">
        <f>IFERROR(__xludf.DUMMYFUNCTION("GOOGLETRANSLATE(B5,""zh-tw"",""zh"")"),"4 - 在「程式设定」中点击三个点，选择「新增程式」，然后寻找游戏的执行档。")</f>
        <v>4 - 在「程式设定」中点击三个点，选择「新增程式」，然后寻找游戏的执行档。</v>
      </c>
      <c r="I5" s="418" t="s">
        <v>8988</v>
      </c>
      <c r="J5" s="418" t="s">
        <v>8989</v>
      </c>
      <c r="K5" s="190" t="s">
        <v>8990</v>
      </c>
      <c r="L5" s="190" t="s">
        <v>8991</v>
      </c>
      <c r="M5" s="449" t="s">
        <v>8992</v>
      </c>
      <c r="N5" s="449" t="s">
        <v>8993</v>
      </c>
      <c r="O5" s="153"/>
      <c r="P5" s="153"/>
      <c r="Q5" s="153"/>
      <c r="R5" s="153"/>
      <c r="S5" s="153"/>
      <c r="T5" s="153"/>
      <c r="U5" s="153"/>
      <c r="V5" s="153"/>
      <c r="W5" s="153"/>
    </row>
    <row r="6">
      <c r="A6" s="416" t="s">
        <v>8994</v>
      </c>
      <c r="B6" s="416" t="s">
        <v>8995</v>
      </c>
      <c r="C6" s="120" t="s">
        <v>8996</v>
      </c>
      <c r="D6" s="120" t="str">
        <f>IFERROR(__xludf.DUMMYFUNCTION("GOOGLETRANSLATE(B6,""zh-tw"",""ja"")"),"5 - 「低遅延モード」を「超高」に、「電源管理モード」を「最適電力」に設定します。")</f>
        <v>5 - 「低遅延モード」を「超高」に、「電源管理モード」を「最適電力」に設定します。</v>
      </c>
      <c r="E6" s="447" t="s">
        <v>8997</v>
      </c>
      <c r="F6" s="211" t="str">
        <f>IFERROR(__xludf.DUMMYFUNCTION("GOOGLETRANSLATE(B6,""zh-tw"",""en"")"),"5 - Set ""Low Latency Mode"" to ""Ultra High"" and ""Power Management Mode"" to ""Optimal Power"".")</f>
        <v>5 - Set "Low Latency Mode" to "Ultra High" and "Power Management Mode" to "Optimal Power".</v>
      </c>
      <c r="G6" s="448" t="s">
        <v>8998</v>
      </c>
      <c r="H6" s="417" t="str">
        <f>IFERROR(__xludf.DUMMYFUNCTION("GOOGLETRANSLATE(B6,""zh-tw"",""zh"")"),"5 - 将「低延迟模式」设为「超高」，电源管理模式设为「最佳电源」。")</f>
        <v>5 - 将「低延迟模式」设为「超高」，电源管理模式设为「最佳电源」。</v>
      </c>
      <c r="I6" s="418" t="s">
        <v>8999</v>
      </c>
      <c r="J6" s="418" t="s">
        <v>9000</v>
      </c>
      <c r="K6" s="190" t="s">
        <v>9001</v>
      </c>
      <c r="L6" s="190" t="s">
        <v>9002</v>
      </c>
      <c r="M6" s="449" t="s">
        <v>9003</v>
      </c>
      <c r="N6" s="449" t="s">
        <v>9004</v>
      </c>
      <c r="O6" s="153"/>
      <c r="P6" s="153"/>
      <c r="Q6" s="153"/>
      <c r="R6" s="153"/>
      <c r="S6" s="153"/>
      <c r="T6" s="153"/>
      <c r="U6" s="153"/>
      <c r="V6" s="153"/>
      <c r="W6" s="153"/>
    </row>
    <row r="7">
      <c r="A7" s="416" t="s">
        <v>9005</v>
      </c>
      <c r="B7" s="416" t="s">
        <v>9006</v>
      </c>
      <c r="C7" s="120" t="s">
        <v>9007</v>
      </c>
      <c r="D7" s="120" t="str">
        <f>IFERROR(__xludf.DUMMYFUNCTION("GOOGLETRANSLATE(B7,""zh-tw"",""ja"")"),"6-「垂直同期」を「高速」に設定します。")</f>
        <v>6-「垂直同期」を「高速」に設定します。</v>
      </c>
      <c r="E7" s="447" t="s">
        <v>9008</v>
      </c>
      <c r="F7" s="211" t="str">
        <f>IFERROR(__xludf.DUMMYFUNCTION("GOOGLETRANSLATE(B7,""zh-tw"",""en"")"),"6- Set ""Vertical Sync"" to ""Fast"".")</f>
        <v>6- Set "Vertical Sync" to "Fast".</v>
      </c>
      <c r="G7" s="448" t="s">
        <v>9009</v>
      </c>
      <c r="H7" s="417" t="str">
        <f>IFERROR(__xludf.DUMMYFUNCTION("GOOGLETRANSLATE(B7,""zh-tw"",""zh"")"),"6- 将「垂直同步」设为「快速」。")</f>
        <v>6- 将「垂直同步」设为「快速」。</v>
      </c>
      <c r="I7" s="418" t="s">
        <v>9010</v>
      </c>
      <c r="J7" s="418" t="s">
        <v>9011</v>
      </c>
      <c r="K7" s="190" t="s">
        <v>9012</v>
      </c>
      <c r="L7" s="190" t="s">
        <v>9013</v>
      </c>
      <c r="M7" s="449" t="s">
        <v>9014</v>
      </c>
      <c r="N7" s="449" t="s">
        <v>9015</v>
      </c>
      <c r="O7" s="153"/>
      <c r="P7" s="153"/>
      <c r="Q7" s="153"/>
      <c r="R7" s="153"/>
      <c r="S7" s="153"/>
      <c r="T7" s="153"/>
      <c r="U7" s="153"/>
      <c r="V7" s="153"/>
      <c r="W7" s="153"/>
    </row>
    <row r="8">
      <c r="A8" s="416" t="s">
        <v>9016</v>
      </c>
      <c r="B8" s="416" t="s">
        <v>9017</v>
      </c>
      <c r="C8" s="120" t="s">
        <v>9018</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9019</v>
      </c>
      <c r="F8" s="211" t="str">
        <f>IFERROR(__xludf.DUMMYFUNCTION("GOOGLETRANSLATE(B8,""zh-tw"",""en"")"),"7 - If your computer cannot handle these options, please choose the best option.")</f>
        <v>7 - If your computer cannot handle these options, please choose the best option.</v>
      </c>
      <c r="G8" s="448" t="s">
        <v>9020</v>
      </c>
      <c r="H8" s="417" t="str">
        <f>IFERROR(__xludf.DUMMYFUNCTION("GOOGLETRANSLATE(B8,""zh-tw"",""zh"")"),"7 - 如果你的电脑无法负荷这些选项，请依照最佳的选项即可。")</f>
        <v>7 - 如果你的电脑无法负荷这些选项，请依照最佳的选项即可。</v>
      </c>
      <c r="I8" s="418" t="s">
        <v>9021</v>
      </c>
      <c r="J8" s="418" t="s">
        <v>9022</v>
      </c>
      <c r="K8" s="190" t="s">
        <v>9023</v>
      </c>
      <c r="L8" s="190" t="s">
        <v>9024</v>
      </c>
      <c r="M8" s="449" t="s">
        <v>9025</v>
      </c>
      <c r="N8" s="449" t="s">
        <v>9026</v>
      </c>
      <c r="O8" s="153"/>
      <c r="P8" s="153"/>
      <c r="Q8" s="153"/>
      <c r="R8" s="153"/>
      <c r="S8" s="153"/>
      <c r="T8" s="153"/>
      <c r="U8" s="153"/>
      <c r="V8" s="153"/>
      <c r="W8" s="153"/>
    </row>
    <row r="9">
      <c r="A9" s="416" t="s">
        <v>9027</v>
      </c>
      <c r="B9" s="416" t="s">
        <v>9028</v>
      </c>
      <c r="C9" s="120" t="s">
        <v>9029</v>
      </c>
      <c r="D9" s="120" t="str">
        <f>IFERROR(__xludf.DUMMYFUNCTION("GOOGLETRANSLATE(B9,""zh-tw"",""ja"")"),"8- ゲームを起動すると、その優れた安定性を体験できます。")</f>
        <v>8- ゲームを起動すると、その優れた安定性を体験できます。</v>
      </c>
      <c r="E9" s="447" t="s">
        <v>9030</v>
      </c>
      <c r="F9" s="211" t="str">
        <f>IFERROR(__xludf.DUMMYFUNCTION("GOOGLETRANSLATE(B9,""zh-tw"",""en"")"),"8- Now, launch the game and you will experience its excellent stability.")</f>
        <v>8- Now, launch the game and you will experience its excellent stability.</v>
      </c>
      <c r="G9" s="448" t="s">
        <v>9031</v>
      </c>
      <c r="H9" s="417" t="str">
        <f>IFERROR(__xludf.DUMMYFUNCTION("GOOGLETRANSLATE(B9,""zh-tw"",""zh"")"),"8- 现在，将游戏启动，你能体验到良好的稳定性能。")</f>
        <v>8- 现在，将游戏启动，你能体验到良好的稳定性能。</v>
      </c>
      <c r="I9" s="418" t="s">
        <v>9032</v>
      </c>
      <c r="J9" s="418" t="s">
        <v>9033</v>
      </c>
      <c r="K9" s="190" t="s">
        <v>9034</v>
      </c>
      <c r="L9" s="190" t="s">
        <v>9035</v>
      </c>
      <c r="M9" s="449" t="s">
        <v>9030</v>
      </c>
      <c r="N9" s="449" t="s">
        <v>9036</v>
      </c>
      <c r="O9" s="153"/>
      <c r="P9" s="153"/>
      <c r="Q9" s="153"/>
      <c r="R9" s="153"/>
      <c r="S9" s="153"/>
      <c r="T9" s="153"/>
      <c r="U9" s="153"/>
      <c r="V9" s="153"/>
      <c r="W9" s="153"/>
    </row>
    <row r="10">
      <c r="A10" s="416"/>
      <c r="B10" s="450" t="s">
        <v>9037</v>
      </c>
      <c r="C10" s="184"/>
      <c r="D10" s="451" t="s">
        <v>9038</v>
      </c>
      <c r="E10" s="452"/>
      <c r="F10" s="453" t="s">
        <v>8921</v>
      </c>
      <c r="G10" s="417"/>
      <c r="H10" s="454" t="s">
        <v>9039</v>
      </c>
      <c r="I10" s="455"/>
      <c r="J10" s="456" t="s">
        <v>8923</v>
      </c>
      <c r="K10" s="191"/>
      <c r="L10" s="426" t="str">
        <f>HYPERLINK("https://www.youtube.com/watch?v=9NSNcMB5M2o&amp;ab_channel=gabrielb", "Video Youtube tham khảo")</f>
        <v>Video Youtube tham khảo</v>
      </c>
      <c r="M10" s="457"/>
      <c r="N10" s="458" t="s">
        <v>9040</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