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<sst xmlns="http://schemas.openxmlformats.org/spreadsheetml/2006/main" count="11389" uniqueCount="9038">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</sst>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무료로"&amp;" 열람할 수 있다고 해서 무단 복제가 허용되는 것은 아닙니다. 저작권 침해를 원하시는 경우, 저희에게 연락하여 복제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"&amp;"사용하기 위해 VPN이 필요할 수 있습니다).
4. iOS 버전은 현재 공식 개발팀에서 고려하고 있지 않습니다.
5. 본 문서는 허가 없이 사용 가능합니다.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저작권 침해를 원하시는 경우, 저희에게 연락하여 복제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0.65A를 추가했습니다.")</f>
        <v>2025년 2월 2일: 이벤트 및 갑옷을 포함한 버전 0.65A를 추가했습니다.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IFERROR(__xludf.DUMMYFUNCTION("GOOGLETRANSLATE(A78,""zh-tw"",""KO"")"),"2024년 11월 24일 0.5C 버전 콘텐츠 추가 - 이벤트, 몬스터 정보, 팁")</f>
        <v>2024년 11월 24일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 일부를 수정했습니다.")</f>
        <v>2024년 10월 14일 서식 일부를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 및 알림 표 내용을 추가했습니다.")</f>
        <v>2024년 10월 10일: 새로운 이벤트 및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 기능이 추가되었습니다.")</f>
        <v>2024년 10월 9일에 이벤트 및 알림 기능이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확률"&amp;"이 높아집니다.
7. 여동생은 기분이 나쁠 때는 요리를 하지 않습니다.
8. 여동생의 보라색 하트가 높을 때, 여동생은 몰래 재료를 추가합니다 (아직 구현되지 않음).")</f>
        <v>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회복용 ""붉은 골수 묘약""을 마실 수 있습니다.
추신: 이 치료법은 한 번만 사용할 수 있습니다. 자세한 내용은 RPG 이벤트 설명을 참조하세요.")</f>
        <v>"뭘 마시고 ​​싶니?" 이 말을 하면 여동생은 회복용 "붉은 골수 묘약"을 마실 수 있습니다.
추신: 이 치료법은 한 번만 사용할 수 있습니다. 자세한 내용은 RPG 이벤트 설명을 참조하세요.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f>
        <v>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GOOGLETRANSLATE(J47,""en"",""RU""))"),"Мастурбирующая сестра - 2")</f>
        <v>Мастурбирующая сестра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f>
        <v>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provocar un resbalón y caída en el baño")</f>
        <v>Posibilidad de provocar un resbalón y caída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 있습니다.
또는 속옷을 훔쳐 입을 때 발동될 확률이 있습니다.")</f>
        <v>목욕 능력은 약 7일 만에 능력치를 모두 소모하며, 몰래 엿보지 않으면 발동될 확률이 있습니다.
형이 혼자 목욕할 때는 더 빨리 소모될 수 있습니다.
또는 속옷을 훔쳐 입을 때 발동될 확률이 있습니다.</v>
      </c>
      <c r="X52" s="72" t="str">
        <f>IFERROR(__xludf.DUMMYFUNCTION("GOOGLETRANSLATE(D52,""zh-tw"",""KO"")"),"욕실에서 미끄러져 넘어지는 사고를 유발할 확률")</f>
        <v>욕실에서 미끄러져 넘어지는 사고를 유발할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안면 시술 센터에 성공적으로 잠입했다.
2. 여동생에게 발각되었다.")</f>
        <v>1. 안면 시술 센터에 성공적으로 잠입했다.
2. 여동생에게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""섹스하고 싶어?""")</f>
        <v>어디 보자... -4
"섹스하고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J62,""en"",""ru""))"),"Хотите разврата?")</f>
        <v>Хотите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엿보는 것이 가능합니다.")</f>
        <v>여동생이 혼자 목욕하는 모습을 몰래 엿보는 것이 가능합니다.</v>
      </c>
      <c r="X69" s="72"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"),"Миссис Имоуто откажет вам в вашей просьбе")</f>
        <v>Миссис Имоуто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IFERROR(__xludf.DUMMYFUNCTION("GOOGLETRANSLATE(D80,""zh-tw"",""es-MX"")"),"El segundo segmento de la representación de la escena de las medias.")</f>
        <v>El segundo segmento de la representación de la escena de las medias.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IFERROR(__xludf.DUMMYFUNCTION("GOOGLETRANSLATE(D80,""zh-tw"",""KO"")"),"스타킹 장면 공연의 두 번째 부분")</f>
        <v>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식히기 - 3")</f>
        <v>더운 날씨에 시원하게 더위를 식히기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IFERROR(__xludf.DUMMYFUNCTION("GOOGLETRANSLATE(C98,""zh-tw"",""es-mx"")"),"En una conversación con su hermana menor, después de recibir educación nudista, es posible que...")</f>
        <v>En una conversación con su hermana menor, después de recibir educación nudista, es posible que...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-4")</f>
        <v>일찍 집에 가는 것도 좋은 일이다 -4</v>
      </c>
      <c r="W98" s="104" t="str">
        <f>IFERROR(__xludf.DUMMYFUNCTION("GOOGLETRANSLATE(C98,""zh-tw"",""KO"")"),"누디즘 교육을 받은 후 여동생과 대화를 나누다 보면, 다음과 같은 일이 일어날 가능성이 있다...")</f>
        <v>누디즘 교육을 받은 후 여동생과 대화를 나누다 보면, 다음과 같은 일이 일어날 가능성이 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""Horror Videotape"" a altas horas de la noche y obtener una puntuación de corazón púrpura superior a 3")</f>
        <v>Usar "Horror Videotape"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 속으로 떨어졌다")</f>
        <v>내가 본 것: 나는 동굴 속으로 떨어졌다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더해줍니다)")</f>
        <v>획득 아이템: 매직 젤 10개 (비 오는 날 상쾌함을 더해줍니다)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comerciante de la Tienda Misteriosa y ""no le des"" el salmón.")</f>
        <v>Habla con el comerciante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de agua suave y masticable súper sensible"".")</f>
        <v>Compra para recibir el artículo "Bollo de agua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워터 번""을 드립니다.")</f>
        <v>구매하시면 "매우 부드럽고 쫄깃한 워터 번"을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해당 아이템을 마셔서 상태 효과를 얻을 수 있습니다.")</f>
        <v>형은 해당 아이템을 마셔서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IFERROR(__xludf.DUMMYFUNCTION("GOOGLETRANSLATE(B50,""zh-tw"",""es-MX"")"),"Coche de tienda-1")</f>
        <v>Coche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IFERROR(__xludf.DUMMYFUNCTION("GOOGLETRANSLATE(B50,""zh-tw"",""KO"")"),"샵카-1")</f>
        <v>샵카-1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 Car-1")</f>
        <v>Магазин Car-1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IFERROR(__xludf.DUMMYFUNCTION("GOOGLETRANSLATE(B53,""zh-tw"",""KO"")"),"샵카-4")</f>
        <v>샵카-4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뜨거운 용암대")</f>
        <v>다자오 뜨거운 용암대</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IFERROR(__xludf.DUMMYFUNCTION("GOOGLETRANSLATE(B58,""zh-tw"",""ru"")"),"Пояс горячей лавы Дацзяо")</f>
        <v>Пояс горячей лавы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«Разрабатываемый район (шахта)-2»")</f>
        <v>Прибытие в «Разрабатываемый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검 달인의 휘장")</f>
        <v>획득 장비: 사냥꾼의 단검, 수호자의 검 달인의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차단하기")</f>
        <v>ASABA의 두뇌를 차단하기</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IFERROR(__xludf.DUMMYFUNCTION("GOOGLETRANSLATE(A16,""zh-tw"",""KO"")"),"가챠 기계 뒤쪽으로 다가가면 팝업으로 나타납니다.")</f>
        <v>가챠 기계 뒤쪽으로 다가가면 팝업으로 나타납니다.</v>
      </c>
      <c r="G16" s="72" t="str">
        <f>IFERROR(__xludf.DUMMYFUNCTION("GOOGLETRANSLATE(A16,""zh-tw"",""ru"")"),"Подойдите к автомату с гашапонами сзади, и он выскочит.")</f>
        <v>Подойдите к автомату с гашапонами сзади, и он выскочит.</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IFERROR(__xludf.DUMMYFUNCTION("GOOGLETRANSLATE(A27,""zh-tw"",""ja"")"),"ナイトはいい匂いがするらしいので、今後に期待してもいいかもしれません。")</f>
        <v>ナイトはいい匂いがするらしいので、今後に期待してもいいかもしれません。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permite cambiar entre las posturas de caminar y correr.")</f>
        <v>La tecla Shift permite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крольчиха,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крольчиха,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Nevada
Luna Escarchada
Bastón de Hielo")</f>
        <v>Slime Slime
Cúmulo de Cristales Mágicos
Visión Nevada
Luna Escarchada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덮인 풍경
서리가 내린 달
얼음 지팡이")</f>
        <v>슬라임 슬라임
마법 수정 덩어리
눈 덮인 풍경
서리가 내린 달
얼음 지팡이</v>
      </c>
      <c r="W10" s="47" t="s">
        <v>4881</v>
      </c>
      <c r="X10" s="305" t="str">
        <f>IFERROR(__xludf.DUMMYFUNCTION("GOOGLETRANSLATE(D10,""zh-tw"",""KO"")"),"-")</f>
        <v>-</v>
      </c>
      <c r="Y10" s="107" t="s">
        <v>4886</v>
      </c>
      <c r="Z10" s="47" t="str">
        <f>IFERROR(__xludf.DUMMYFUNCTION("GOOGLETRANSLATE(B10,""zh-tw"",""RU"")"),"Слизь, слизь
Волшебное скопление кристаллов
Снежное зрелище
Морозная луна
Ледяной посох")</f>
        <v>Слизь, слизь
Волшебное скопление кристаллов
Снежное зрелище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IFERROR(__xludf.DUMMYFUNCTION("GOOGLETRANSLATE(B42,""zh-tw"",""es-MX"")"),"Las fresas de ASAB, ¡recuperémoslas!")</f>
        <v>Las fresas de ASAB, ¡recuperémoslas!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되찾자!")</f>
        <v>ASAB의 딸기,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ее себе!")</f>
        <v>Клубника ASAB, давайте вернем ее себе!</v>
      </c>
      <c r="AA42" s="47" t="s">
        <v>5283</v>
      </c>
      <c r="AB42" s="304" t="s">
        <v>5241</v>
      </c>
      <c r="AC42" s="139" t="str">
        <f>IFERROR(__xludf.DUMMYFUNCTION("GOOGLETRANSLATE(A42,""zh-tw"",""DE"")"),"Berserk ASABA")</f>
        <v>Berserk ASABA</v>
      </c>
      <c r="AD42" s="143" t="str">
        <f>IFERROR(__xludf.DUMMYFUNCTION("GOOGLETRANSLATE(B42,""zh-tw"",""DE"")"),"ASABs Erdbeeren, lasst sie uns zurückholen!")</f>
        <v>ASABs Erdbeeren, lasst sie uns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43"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43"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43"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43"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ataque aumenta según el HP máximo.")</f>
        <v>Ataque físico: 2. El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IFERROR(__xludf.DUMMYFUNCTION("GOOGLETRANSLATE(B8,""zh-tw"",""ja"")"),"物理攻撃力：30（条件を満たすと2倍）")</f>
        <v>物理攻撃力：30（条件を満たすと2倍）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суммарный урон от оружия")</f>
        <v>Физическая атака: 1 суммарный урон от оружия</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IFERROR(__xludf.DUMMYFUNCTION("GOOGLETRANSLATE(B4,""zh-tw"",""ru"")"),"Низкая выносливость при восстановлении")</f>
        <v>Низкая выносливость при восстановлении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6257</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IFERROR(__xludf.DUMMYFUNCTION("GOOGLETRANSLATE(B24,""zh-tw"",""ja"")"),"スタミナが増加（基本25、追加ボーナス2%）。スタミナ回復効果が20%増加。")</f>
        <v>スタミナが増加（基本25、追加ボーナス2%）。スタミナ回復効果が20%増加。</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6386</v>
      </c>
      <c r="M25" s="317" t="str">
        <f>IFERROR(__xludf.DUMMYFUNCTION("GOOGLETRANSLATE(A25,""zh-tw"",""ru"")"),"Несчастливые роды")</f>
        <v>Несчастливые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6726</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IFERROR(__xludf.DUMMYFUNCTION("GOOGLETRANSLATE(A56,""zh-tw"",""ru"")"),"Огненная кукла")</f>
        <v>Огненная кукла</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草の上にいる間、スタミナが回復する")</f>
        <v>物理防御力：3
魔法耐性：10
草の上にいる間、スタミナが回復する</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IFERROR(__xludf.DUMMYFUNCTION("GOOGLETRANSLATE(A65,""zh-tw"",""KO"")"),"헌터 벨트")</f>
        <v>헌터 벨트</v>
      </c>
      <c r="L65" s="143" t="str">
        <f>IFERROR(__xludf.DUMMYFUNCTION("GOOGLETRANSLATE(B65,""zh-tw"",""KO"")"),"물리 방어력: 1 약간의 향상: 최대 체력, 이동 속도, 장비 소지량")</f>
        <v>물리 방어력: 1 약간의 향상: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 6
幸運: 20
肉のドロップ率が2倍（魚のフライを含む）")</f>
        <v>物理攻撃力: 6
幸運: 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IFERROR(__xludf.DUMMYFUNCTION("GOOGLETRANSLATE(A71,""zh-tw"",""ru"")"),"Такидзаси")</f>
        <v>Такидзаси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IFERROR(__xludf.DUMMYFUNCTION("GOOGLETRANSLATE(A78,""zh-tw"",""ru"")"),"Разделы 1-7")</f>
        <v>Разделы 1-7</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777 드롭률 증가 (치트 아이템)")</f>
        <v>행운: 777 드롭률 증가 (치트 아이템)</v>
      </c>
      <c r="M79" s="317" t="str">
        <f>IFERROR(__xludf.DUMMYFUNCTION("GOOGLETRANSLATE(A79,""zh-tw"",""ru"")"),"Молоток Руики")</f>
        <v>Молоток Руики</v>
      </c>
      <c r="N79" s="318" t="str">
        <f>IFERROR(__xludf.DUMMYFUNCTION("GOOGLETRANSLATE(B79,""zh-tw"",""ru"")"),"Удача: 777 Увеличивает вероятность выпадения (читерский предмет)")</f>
        <v>Удача: 777 Увеличивает вероятность выпадения (читерский 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구급상자")</f>
        <v>미오의 구급상자</v>
      </c>
      <c r="L80" s="143" t="str">
        <f>IFERROR(__xludf.DUMMYFUNCTION("GOOGLETRANSLATE(B80,""zh-tw"",""KO"")"),"초당 체력을 회복합니다 (치트 아이템)")</f>
        <v>초당 체력을 회복합니다 (치트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(читерский предмет)")</f>
        <v>Восстанавливает здоровье в секунду (читерский 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IFERROR(__xludf.DUMMYFUNCTION("GOOGLETRANSLATE(A81,""zh-tw"",""KO"")"),"바이옌의 황금손가락")</f>
        <v>바이옌의 황금손가락</v>
      </c>
      <c r="L81" s="143" t="str">
        <f>IFERROR(__xludf.DUMMYFUNCTION("GOOGLETRANSLATE(B81,""zh-tw"",""KO"")"),"무기는 비용이 들지 않습니다 (치트 아이템).")</f>
        <v>무기는 비용이 들지 않습니다 (치트 아이템).</v>
      </c>
      <c r="M81" s="317" t="str">
        <f>IFERROR(__xludf.DUMMYFUNCTION("GOOGLETRANSLATE(A81,""zh-tw"",""ru"")"),"Золотой палец Бай Яня")</f>
        <v>Золотой палец Бай Яня</v>
      </c>
      <c r="N81" s="318" t="str">
        <f>IFERROR(__xludf.DUMMYFUNCTION("GOOGLETRANSLATE(B81,""zh-tw"",""ru"")"),"Оружие бесплатное (читерский предмет)")</f>
        <v>Оружие бесплатное (читерский 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7050</v>
      </c>
      <c r="P2" s="88" t="s">
        <v>7051</v>
      </c>
      <c r="Q2" s="352" t="s">
        <v>7052</v>
      </c>
      <c r="R2" s="81" t="s">
        <v>7053</v>
      </c>
      <c r="S2" s="311" t="s">
        <v>7054</v>
      </c>
      <c r="T2" s="85" t="s">
        <v>7055</v>
      </c>
      <c r="U2" s="353"/>
      <c r="V2" s="353"/>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 공격력을 50% 증가시킵니다.")</f>
        <v>체력을 75 회복하고 마법 공격력을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효과는 아직 적용되지 않았습니다.")</f>
        <v>해당 효과는 아직 적용되지 않았습니다.</v>
      </c>
      <c r="M12" s="321" t="str">
        <f>IFERROR(__xludf.DUMMYFUNCTION("GOOGLETRANSLATE(A12,""zh-tw"",""ru"")"),"Зеленый Кинпейто")</f>
        <v>Зеленый Кинпейто</v>
      </c>
      <c r="N12" s="143" t="str">
        <f>IFERROR(__xludf.DUMMYFUNCTION("GOOGLETRANSLATE(B12,""zh-tw"",""ru"")"),"Данный эффект не был реализован.")</f>
        <v>Данный 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Р")</f>
        <v>Руна Р</v>
      </c>
      <c r="N15" s="143"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 카드")</f>
        <v>타로 - 황제 카드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IFERROR(__xludf.DUMMYFUNCTION("GOOGLETRANSLATE(B22,""zh-tw"",""ru"")"),"Звёздные Врата")</f>
        <v>Звёздные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IFERROR(__xludf.DUMMYFUNCTION("GOOGLETRANSLATE(A23,""zh-tw"",""es-MX"")"),"Tarot - El Carro")</f>
        <v>Tarot - El Carro</v>
      </c>
      <c r="J23" s="137" t="s">
        <v>7336</v>
      </c>
      <c r="K23" s="314" t="s">
        <v>7337</v>
      </c>
      <c r="L23" s="143" t="str">
        <f>IFERROR(__xludf.DUMMYFUNCTION("GOOGLETRANSLATE(B23,""zh-tw"",""KO"")"),"소환 고양이 소녀 상점 카트")</f>
        <v>소환 고양이 소녀 상점 카트</v>
      </c>
      <c r="M23" s="321" t="str">
        <f>IFERROR(__xludf.DUMMYFUNCTION("GOOGLETRANSLATE(A23,""zh-tw"",""ru"")"),"Таро - Колесница")</f>
        <v>Таро - Колесница</v>
      </c>
      <c r="N23" s="143" t="str">
        <f>IFERROR(__xludf.DUMMYFUNCTION("GOOGLETRANSLATE(B23,""zh-tw"",""ru"")"),"Призвать тележку магазина Кошки-девушки")</f>
        <v>Призвать тележку магазина Кошки-девушки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4" t="s">
        <v>7390</v>
      </c>
      <c r="L27" s="137" t="s">
        <v>7391</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밤")</f>
        <v>프로스트 잭 밤</v>
      </c>
      <c r="L30" s="137" t="s">
        <v>7428</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IFERROR(__xludf.DUMMYFUNCTION("GOOGLETRANSLATE(B47,""zh-tw"",""KO"")"),"제 여동생을 치료하곤 했어요.")</f>
        <v>제 여동생을 치료하곤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5" t="s">
        <v>7658</v>
      </c>
      <c r="B49" s="356" t="s">
        <v>7659</v>
      </c>
      <c r="C49" s="355" t="s">
        <v>7660</v>
      </c>
      <c r="D49" s="356" t="s">
        <v>7661</v>
      </c>
      <c r="E49" s="355" t="s">
        <v>7662</v>
      </c>
      <c r="F49" s="356" t="s">
        <v>7663</v>
      </c>
      <c r="G49" s="355" t="s">
        <v>7664</v>
      </c>
      <c r="H49" s="356"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7667</v>
      </c>
      <c r="P49" s="137" t="s">
        <v>7668</v>
      </c>
      <c r="Q49" s="357" t="s">
        <v>7669</v>
      </c>
      <c r="R49" s="358" t="s">
        <v>7670</v>
      </c>
      <c r="S49" s="359" t="s">
        <v>7671</v>
      </c>
      <c r="T49" s="360" t="s">
        <v>7672</v>
      </c>
      <c r="U49" s="30"/>
      <c r="V49" s="30"/>
    </row>
    <row r="50">
      <c r="A50" s="355" t="s">
        <v>7673</v>
      </c>
      <c r="B50" s="356" t="s">
        <v>7659</v>
      </c>
      <c r="C50" s="355" t="s">
        <v>7674</v>
      </c>
      <c r="D50" s="356" t="s">
        <v>7661</v>
      </c>
      <c r="E50" s="355" t="s">
        <v>7675</v>
      </c>
      <c r="F50" s="356" t="s">
        <v>7663</v>
      </c>
      <c r="G50" s="355" t="s">
        <v>7676</v>
      </c>
      <c r="H50" s="356" t="s">
        <v>7665</v>
      </c>
      <c r="I50" s="314" t="s">
        <v>7677</v>
      </c>
      <c r="J50" s="137" t="s">
        <v>7666</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7678</v>
      </c>
      <c r="P50" s="137" t="s">
        <v>7668</v>
      </c>
      <c r="Q50" s="357" t="s">
        <v>7679</v>
      </c>
      <c r="R50" s="358" t="s">
        <v>7670</v>
      </c>
      <c r="S50" s="359" t="s">
        <v>7680</v>
      </c>
      <c r="T50" s="360"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7681</v>
      </c>
      <c r="B1" s="363" t="s">
        <v>263</v>
      </c>
      <c r="C1" s="364" t="s">
        <v>7682</v>
      </c>
      <c r="F1" s="362" t="s">
        <v>7683</v>
      </c>
      <c r="G1" s="363" t="s">
        <v>263</v>
      </c>
      <c r="H1" s="365" t="s">
        <v>7684</v>
      </c>
      <c r="K1" s="362" t="s">
        <v>7685</v>
      </c>
      <c r="L1" s="363" t="s">
        <v>263</v>
      </c>
      <c r="M1" s="365" t="s">
        <v>7686</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IFERROR(__xludf.DUMMYFUNCTION("GOOGLETRANSLATE(A1,""zh-tw"",""KO"")"),"영양 상태가 좋으면 야간 습격 지속 시간이 길어지는 효과가 있습니다.")</f>
        <v>영양 상태가 좋으면 야간 습격 지속 시간이 길어지는 효과가 있습니다.</v>
      </c>
      <c r="AA1" s="363" t="s">
        <v>263</v>
      </c>
      <c r="AB1" s="36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3" t="s">
        <v>263</v>
      </c>
      <c r="AG1" s="366"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7" t="s">
        <v>7687</v>
      </c>
      <c r="AK1" s="363" t="s">
        <v>263</v>
      </c>
      <c r="AL1" s="364" t="s">
        <v>7688</v>
      </c>
      <c r="AO1" s="368" t="s">
        <v>7689</v>
      </c>
      <c r="AP1" s="369" t="s">
        <v>263</v>
      </c>
      <c r="AQ1" s="125" t="s">
        <v>7690</v>
      </c>
      <c r="AT1" s="362" t="s">
        <v>7691</v>
      </c>
      <c r="AU1" s="363" t="s">
        <v>263</v>
      </c>
      <c r="AV1" s="366" t="s">
        <v>7692</v>
      </c>
      <c r="AY1" s="125"/>
      <c r="AZ1" s="125"/>
      <c r="BA1" s="125"/>
      <c r="BB1" s="125"/>
      <c r="BC1" s="125"/>
    </row>
    <row r="2" ht="75.0" customHeight="1">
      <c r="A2" s="362" t="s">
        <v>7693</v>
      </c>
      <c r="B2" s="363" t="s">
        <v>934</v>
      </c>
      <c r="F2" s="362" t="s">
        <v>7694</v>
      </c>
      <c r="G2" s="363" t="s">
        <v>934</v>
      </c>
      <c r="K2" s="362" t="s">
        <v>7695</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IFERROR(__xludf.DUMMYFUNCTION("GOOGLETRANSLATE(A2,""zh-tw"",""KO"")"),"내 여동생은 음식이 너무 매워서 울었어요 (우연에 의한 유발).")</f>
        <v>내 여동생은 음식이 너무 매워서 울었어요 (우연에 의한 유발).</v>
      </c>
      <c r="AA2" s="363" t="s">
        <v>934</v>
      </c>
      <c r="AE2" s="36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3" t="s">
        <v>934</v>
      </c>
      <c r="AJ2" s="367" t="s">
        <v>7696</v>
      </c>
      <c r="AK2" s="363" t="s">
        <v>934</v>
      </c>
      <c r="AO2" s="177" t="s">
        <v>7697</v>
      </c>
      <c r="AP2" s="162" t="s">
        <v>934</v>
      </c>
      <c r="AT2" s="362" t="s">
        <v>7698</v>
      </c>
      <c r="AU2" s="363" t="s">
        <v>934</v>
      </c>
      <c r="AY2" s="125"/>
      <c r="AZ2" s="125"/>
      <c r="BA2" s="125"/>
      <c r="BB2" s="125"/>
      <c r="BC2" s="125"/>
    </row>
    <row r="3">
      <c r="A3" s="370" t="s">
        <v>7699</v>
      </c>
      <c r="B3" s="371" t="s">
        <v>7049</v>
      </c>
      <c r="F3" s="370" t="str">
        <f>IFERROR(__xludf.DUMMYFUNCTION("GOOGLETRANSLATE(A3,""zh-tw"",""ja"")"),"料理名")</f>
        <v>料理名</v>
      </c>
      <c r="G3" s="371" t="str">
        <f>IFERROR(__xludf.DUMMYFUNCTION("GOOGLETRANSLATE(B3,""zh-tw"",""ja"")"),"効果")</f>
        <v>効果</v>
      </c>
      <c r="K3" s="370" t="s">
        <v>7700</v>
      </c>
      <c r="L3" s="371" t="s">
        <v>7701</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7702</v>
      </c>
      <c r="AK3" s="373" t="s">
        <v>7703</v>
      </c>
      <c r="AO3" s="83" t="s">
        <v>7704</v>
      </c>
      <c r="AP3" s="82" t="s">
        <v>5562</v>
      </c>
      <c r="AT3" s="370" t="s">
        <v>7705</v>
      </c>
      <c r="AU3" s="371"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7712</v>
      </c>
      <c r="AC4" s="125"/>
      <c r="AD4" s="125"/>
      <c r="AE4" s="127" t="str">
        <f>IFERROR(__xludf.DUMMYFUNCTION("GOOGLETRANSLATE(A4,""zh-tw"",""ru"")"),"Слайм-желе")</f>
        <v>Слайм-желе</v>
      </c>
      <c r="AF4" s="372"/>
      <c r="AG4" s="168" t="str">
        <f>IFERROR(__xludf.DUMMYFUNCTION("GOOGLETRANSLATE(C4,""zh-tw"",""ru"")"),"слизь")</f>
        <v>слизь</v>
      </c>
      <c r="AH4" s="168"/>
      <c r="AI4" s="168"/>
      <c r="AJ4" s="376" t="s">
        <v>7713</v>
      </c>
      <c r="AK4" s="373"/>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7727</v>
      </c>
      <c r="AD5" s="143"/>
      <c r="AE5" s="127" t="str">
        <f>IFERROR(__xludf.DUMMYFUNCTION("GOOGLETRANSLATE(A5,""zh-tw"",""ru"")"),"Рис с карри")</f>
        <v>Рис с карри</v>
      </c>
      <c r="AF5" s="372"/>
      <c r="AG5" s="168" t="str">
        <f>IFERROR(__xludf.DUMMYFUNCTION("GOOGLETRANSLATE(C5,""zh-tw"",""ru"")"),"Белый рис")</f>
        <v>Белый рис</v>
      </c>
      <c r="AH5" s="168" t="str">
        <f>IFERROR(__xludf.DUMMYFUNCTION("GOOGLETRANSLATE(D5,""zh-tw"",""ru"")"),"кубики карри")</f>
        <v>кубики карри</v>
      </c>
      <c r="AI5" s="168"/>
      <c r="AJ5" s="376" t="s">
        <v>7728</v>
      </c>
      <c r="AK5" s="373"/>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7743</v>
      </c>
      <c r="AK6" s="373"/>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IFERROR(__xludf.DUMMYFUNCTION("GOOGLETRANSLATE(A7,""zh-tw"",""ru"")"),"Печёные яблоки")</f>
        <v>Печёные яблоки</v>
      </c>
      <c r="AF7" s="372"/>
      <c r="AG7" s="168" t="str">
        <f>IFERROR(__xludf.DUMMYFUNCTION("GOOGLETRANSLATE(C7,""zh-tw"",""ru"")"),"яблоко")</f>
        <v>яблоко</v>
      </c>
      <c r="AH7" s="168"/>
      <c r="AI7" s="168"/>
      <c r="AJ7" s="376" t="s">
        <v>7752</v>
      </c>
      <c r="AK7" s="373"/>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lanzar peces al río para obtener conchas).")</f>
        <v>Aún no implementado (más adelante, podrás lanzar peces al río para obtener conchas).</v>
      </c>
      <c r="Z8" s="376" t="s">
        <v>7760</v>
      </c>
      <c r="AA8" s="373"/>
      <c r="AB8" s="137" t="s">
        <v>677</v>
      </c>
      <c r="AE8" s="127" t="str">
        <f>IFERROR(__xludf.DUMMYFUNCTION("GOOGLETRANSLATE(A8,""zh-tw"",""ru"")"),"Жареные морепродукты")</f>
        <v>Жареные морепродукты</v>
      </c>
      <c r="AF8" s="372"/>
      <c r="AG8" s="168"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376" t="s">
        <v>7761</v>
      </c>
      <c r="AK8" s="373"/>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7771</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7772</v>
      </c>
      <c r="AK9" s="373"/>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7784</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7785</v>
      </c>
      <c r="AK10" s="373"/>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7798</v>
      </c>
      <c r="AA11" s="373"/>
      <c r="AB11" s="137" t="s">
        <v>7799</v>
      </c>
      <c r="AC11" s="143" t="str">
        <f>IFERROR(__xludf.DUMMYFUNCTION("GOOGLETRANSLATE(D11,""zh-tw"",""KO"")"),"감자")</f>
        <v>감자</v>
      </c>
      <c r="AD11" s="143"/>
      <c r="AE11" s="127" t="str">
        <f>IFERROR(__xludf.DUMMYFUNCTION("GOOGLETRANSLATE(A11,""zh-tw"",""ru"")"),"Шашлычки на гриле")</f>
        <v>Шашлычки на гриле</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7800</v>
      </c>
      <c r="AK11" s="373"/>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7807</v>
      </c>
      <c r="AK12" s="373"/>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7812</v>
      </c>
      <c r="AA13" s="373"/>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7813</v>
      </c>
      <c r="AK13" s="373"/>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3" t="s">
        <v>263</v>
      </c>
      <c r="C14" s="168" t="s">
        <v>4909</v>
      </c>
      <c r="D14" s="125"/>
      <c r="E14" s="125"/>
      <c r="F14" s="127" t="s">
        <v>7817</v>
      </c>
      <c r="G14" s="363" t="s">
        <v>263</v>
      </c>
      <c r="H14" s="168" t="s">
        <v>7818</v>
      </c>
      <c r="I14" s="125"/>
      <c r="J14" s="125"/>
      <c r="K14" s="117" t="s">
        <v>7819</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7820</v>
      </c>
      <c r="AA14" s="373" t="s">
        <v>263</v>
      </c>
      <c r="AB14" s="137" t="s">
        <v>7821</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7822</v>
      </c>
      <c r="AK14" s="373" t="s">
        <v>263</v>
      </c>
      <c r="AL14" s="137" t="s">
        <v>7823</v>
      </c>
      <c r="AM14" s="143"/>
      <c r="AN14" s="143"/>
      <c r="AO14" s="139" t="s">
        <v>7824</v>
      </c>
      <c r="AP14" s="363" t="s">
        <v>263</v>
      </c>
      <c r="AQ14" s="143" t="s">
        <v>4919</v>
      </c>
      <c r="AR14" s="125"/>
      <c r="AS14" s="125"/>
      <c r="AT14" s="127" t="s">
        <v>7825</v>
      </c>
      <c r="AU14" s="363" t="s">
        <v>263</v>
      </c>
      <c r="AV14" s="143" t="s">
        <v>4921</v>
      </c>
      <c r="AW14" s="28"/>
      <c r="AX14" s="28"/>
      <c r="AY14" s="125"/>
      <c r="AZ14" s="125"/>
      <c r="BA14" s="125"/>
      <c r="BB14" s="125"/>
      <c r="BC14" s="125"/>
    </row>
    <row r="15">
      <c r="A15" s="127" t="s">
        <v>7826</v>
      </c>
      <c r="B15" s="363" t="s">
        <v>263</v>
      </c>
      <c r="C15" s="168" t="s">
        <v>7792</v>
      </c>
      <c r="D15" s="125"/>
      <c r="E15" s="125"/>
      <c r="F15" s="127" t="s">
        <v>7827</v>
      </c>
      <c r="G15" s="363" t="s">
        <v>263</v>
      </c>
      <c r="H15" s="168" t="s">
        <v>7794</v>
      </c>
      <c r="I15" s="125"/>
      <c r="J15" s="125"/>
      <c r="K15" s="117" t="s">
        <v>7828</v>
      </c>
      <c r="L15" s="363" t="s">
        <v>263</v>
      </c>
      <c r="M15" s="137" t="s">
        <v>7797</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덩어리")</f>
        <v>구운 고기 덩어리</v>
      </c>
      <c r="AA15" s="373" t="s">
        <v>263</v>
      </c>
      <c r="AB15" s="137" t="s">
        <v>7799</v>
      </c>
      <c r="AC15" s="143"/>
      <c r="AD15" s="143"/>
      <c r="AE15" s="127" t="str">
        <f>IFERROR(__xludf.DUMMYFUNCTION("GOOGLETRANSLATE(A15,""zh-tw"",""ru"")"),"Кусочки жареного мяса")</f>
        <v>Кусочки жареного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7829</v>
      </c>
      <c r="AK15" s="373" t="s">
        <v>263</v>
      </c>
      <c r="AL15" s="137" t="s">
        <v>7801</v>
      </c>
      <c r="AM15" s="143"/>
      <c r="AN15" s="143"/>
      <c r="AO15" s="139" t="s">
        <v>7830</v>
      </c>
      <c r="AP15" s="363" t="s">
        <v>263</v>
      </c>
      <c r="AQ15" s="143" t="s">
        <v>7802</v>
      </c>
      <c r="AR15" s="125"/>
      <c r="AS15" s="125"/>
      <c r="AT15" s="127" t="s">
        <v>7831</v>
      </c>
      <c r="AU15" s="363" t="s">
        <v>263</v>
      </c>
      <c r="AV15" s="143" t="s">
        <v>7803</v>
      </c>
      <c r="AW15" s="28"/>
      <c r="AX15" s="28"/>
      <c r="AY15" s="125"/>
      <c r="AZ15" s="125"/>
      <c r="BA15" s="125"/>
      <c r="BB15" s="125"/>
      <c r="BC15" s="125"/>
    </row>
    <row r="16">
      <c r="A16" s="127" t="s">
        <v>7832</v>
      </c>
      <c r="B16" s="363" t="s">
        <v>263</v>
      </c>
      <c r="C16" s="168" t="s">
        <v>7792</v>
      </c>
      <c r="D16" s="168" t="s">
        <v>7792</v>
      </c>
      <c r="E16" s="125"/>
      <c r="F16" s="127" t="s">
        <v>7833</v>
      </c>
      <c r="G16" s="363" t="s">
        <v>263</v>
      </c>
      <c r="H16" s="168" t="s">
        <v>7794</v>
      </c>
      <c r="I16" s="168" t="s">
        <v>7794</v>
      </c>
      <c r="J16" s="125"/>
      <c r="K16" s="117" t="s">
        <v>7834</v>
      </c>
      <c r="L16" s="363" t="s">
        <v>263</v>
      </c>
      <c r="M16" s="137" t="s">
        <v>7797</v>
      </c>
      <c r="N16" s="137" t="s">
        <v>7797</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7835</v>
      </c>
      <c r="AA16" s="373" t="s">
        <v>263</v>
      </c>
      <c r="AB16" s="137" t="s">
        <v>7799</v>
      </c>
      <c r="AC16" s="137" t="s">
        <v>7799</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7836</v>
      </c>
      <c r="AK16" s="373" t="s">
        <v>263</v>
      </c>
      <c r="AL16" s="137" t="s">
        <v>7801</v>
      </c>
      <c r="AM16" s="137" t="s">
        <v>7801</v>
      </c>
      <c r="AN16" s="143"/>
      <c r="AO16" s="139" t="s">
        <v>7837</v>
      </c>
      <c r="AP16" s="363" t="s">
        <v>263</v>
      </c>
      <c r="AQ16" s="143" t="s">
        <v>7802</v>
      </c>
      <c r="AR16" s="143" t="s">
        <v>7802</v>
      </c>
      <c r="AS16" s="125"/>
      <c r="AT16" s="127" t="s">
        <v>7838</v>
      </c>
      <c r="AU16" s="363" t="s">
        <v>263</v>
      </c>
      <c r="AV16" s="143" t="s">
        <v>7803</v>
      </c>
      <c r="AW16" s="143" t="s">
        <v>7803</v>
      </c>
      <c r="AX16" s="28"/>
      <c r="AY16" s="125"/>
      <c r="AZ16" s="125"/>
      <c r="BA16" s="125"/>
      <c r="BB16" s="125"/>
      <c r="BC16" s="125"/>
    </row>
    <row r="17">
      <c r="A17" s="134" t="s">
        <v>7839</v>
      </c>
      <c r="B17" s="363" t="s">
        <v>263</v>
      </c>
      <c r="C17" s="168" t="s">
        <v>7792</v>
      </c>
      <c r="D17" s="168" t="s">
        <v>7792</v>
      </c>
      <c r="E17" s="168" t="s">
        <v>7792</v>
      </c>
      <c r="F17" s="127" t="s">
        <v>7840</v>
      </c>
      <c r="G17" s="363" t="s">
        <v>263</v>
      </c>
      <c r="H17" s="168" t="s">
        <v>7794</v>
      </c>
      <c r="I17" s="168" t="s">
        <v>7794</v>
      </c>
      <c r="J17" s="168" t="s">
        <v>7794</v>
      </c>
      <c r="K17" s="117" t="s">
        <v>7841</v>
      </c>
      <c r="L17" s="363" t="s">
        <v>263</v>
      </c>
      <c r="M17" s="137" t="s">
        <v>7797</v>
      </c>
      <c r="N17" s="137" t="s">
        <v>7797</v>
      </c>
      <c r="O17" s="137" t="s">
        <v>7797</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7842</v>
      </c>
      <c r="AA17" s="373" t="s">
        <v>263</v>
      </c>
      <c r="AB17" s="137" t="s">
        <v>7799</v>
      </c>
      <c r="AC17" s="316" t="s">
        <v>7799</v>
      </c>
      <c r="AD17" s="316" t="s">
        <v>7799</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7843</v>
      </c>
      <c r="AK17" s="373" t="s">
        <v>263</v>
      </c>
      <c r="AL17" s="137" t="s">
        <v>7801</v>
      </c>
      <c r="AM17" s="137" t="s">
        <v>7801</v>
      </c>
      <c r="AN17" s="137" t="s">
        <v>7801</v>
      </c>
      <c r="AO17" s="107" t="s">
        <v>7844</v>
      </c>
      <c r="AP17" s="363" t="s">
        <v>263</v>
      </c>
      <c r="AQ17" s="143" t="s">
        <v>7802</v>
      </c>
      <c r="AR17" s="143" t="s">
        <v>7802</v>
      </c>
      <c r="AS17" s="143" t="s">
        <v>7802</v>
      </c>
      <c r="AT17" s="127" t="s">
        <v>7845</v>
      </c>
      <c r="AU17" s="363" t="s">
        <v>263</v>
      </c>
      <c r="AV17" s="143" t="s">
        <v>7803</v>
      </c>
      <c r="AW17" s="143" t="s">
        <v>7803</v>
      </c>
      <c r="AX17" s="143" t="s">
        <v>7803</v>
      </c>
      <c r="AY17" s="143"/>
      <c r="AZ17" s="143"/>
      <c r="BA17" s="143"/>
      <c r="BB17" s="143"/>
      <c r="BC17" s="143"/>
    </row>
    <row r="18">
      <c r="A18" s="127" t="s">
        <v>7846</v>
      </c>
      <c r="B18" s="363" t="s">
        <v>263</v>
      </c>
      <c r="C18" s="168" t="s">
        <v>7719</v>
      </c>
      <c r="D18" s="168" t="s">
        <v>7792</v>
      </c>
      <c r="E18" s="125"/>
      <c r="F18" s="127" t="s">
        <v>7847</v>
      </c>
      <c r="G18" s="363" t="s">
        <v>263</v>
      </c>
      <c r="H18" s="168" t="s">
        <v>7722</v>
      </c>
      <c r="I18" s="168" t="s">
        <v>7794</v>
      </c>
      <c r="J18" s="125"/>
      <c r="K18" s="117" t="s">
        <v>7848</v>
      </c>
      <c r="L18" s="363" t="s">
        <v>263</v>
      </c>
      <c r="M18" s="137" t="s">
        <v>7849</v>
      </c>
      <c r="N18" s="137" t="s">
        <v>7797</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7850</v>
      </c>
      <c r="AA18" s="373"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7851</v>
      </c>
      <c r="AK18" s="373" t="s">
        <v>263</v>
      </c>
      <c r="AL18" s="137" t="s">
        <v>7729</v>
      </c>
      <c r="AM18" s="137" t="s">
        <v>7801</v>
      </c>
      <c r="AN18" s="143"/>
      <c r="AO18" s="139" t="s">
        <v>7852</v>
      </c>
      <c r="AP18" s="363" t="s">
        <v>263</v>
      </c>
      <c r="AQ18" s="143" t="s">
        <v>7732</v>
      </c>
      <c r="AR18" s="143" t="s">
        <v>7802</v>
      </c>
      <c r="AS18" s="125"/>
      <c r="AT18" s="127" t="s">
        <v>7853</v>
      </c>
      <c r="AU18" s="363"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 (파란색)")</f>
        <v>이상한 슬라임 젤리 (파란색)</v>
      </c>
      <c r="AA19" s="373"/>
      <c r="AB19" s="137" t="s">
        <v>7861</v>
      </c>
      <c r="AC19" s="143"/>
      <c r="AD19" s="143"/>
      <c r="AE19" s="127" t="str">
        <f>IFERROR(__xludf.DUMMYFUNCTION("GOOGLETRANSLATE(A19,""zh-tw"",""ru"")"),"Странное слизевое желе (синее)")</f>
        <v>Странное слизевое желе (синее)</v>
      </c>
      <c r="AF19" s="372"/>
      <c r="AG19" s="168" t="str">
        <f>IFERROR(__xludf.DUMMYFUNCTION("GOOGLETRANSLATE(C19,""zh-tw"",""ru"")"),"Водяной монстр-слизень")</f>
        <v>Водяной монстр-слизень</v>
      </c>
      <c r="AH19" s="168"/>
      <c r="AI19" s="168"/>
      <c r="AJ19" s="376" t="s">
        <v>7862</v>
      </c>
      <c r="AK19" s="373"/>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7872</v>
      </c>
      <c r="AA20" s="373"/>
      <c r="AB20" s="137" t="s">
        <v>7712</v>
      </c>
      <c r="AC20" s="137" t="s">
        <v>7873</v>
      </c>
      <c r="AD20" s="143"/>
      <c r="AE20" s="127" t="str">
        <f>IFERROR(__xludf.DUMMYFUNCTION("GOOGLETRANSLATE(A20,""zh-tw"",""ru"")"),"Странное желеобразное вещество (розовое)")</f>
        <v>Странное желеобразное вещество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7874</v>
      </c>
      <c r="AK20" s="373"/>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점액 젤리 (검은색)")</f>
        <v>이상한 점액 젤리 (검은색)</v>
      </c>
      <c r="AA21" s="373"/>
      <c r="AB21" s="137" t="s">
        <v>7712</v>
      </c>
      <c r="AC21" s="143" t="str">
        <f>IFERROR(__xludf.DUMMYFUNCTION("GOOGLETRANSLATE(D21,""zh-tw"",""KO"")"),"쓰레기")</f>
        <v>쓰레기</v>
      </c>
      <c r="AD21" s="143"/>
      <c r="AE21" s="127" t="str">
        <f>IFERROR(__xludf.DUMMYFUNCTION("GOOGLETRANSLATE(A21,""zh-tw"",""ru"")"),"Странное желеобразное вещество (чёрное)")</f>
        <v>Странное желеобразное вещество (чёрное)</v>
      </c>
      <c r="AF21" s="372"/>
      <c r="AG21" s="168" t="str">
        <f>IFERROR(__xludf.DUMMYFUNCTION("GOOGLETRANSLATE(C21,""zh-tw"",""ru"")"),"слизь")</f>
        <v>слизь</v>
      </c>
      <c r="AH21" s="168" t="str">
        <f>IFERROR(__xludf.DUMMYFUNCTION("GOOGLETRANSLATE(D21,""zh-tw"",""ru"")"),"Мусор")</f>
        <v>Мусор</v>
      </c>
      <c r="AI21" s="168"/>
      <c r="AJ21" s="376" t="s">
        <v>7885</v>
      </c>
      <c r="AK21" s="373"/>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(다채로운)")</f>
        <v>이상한 슬라임 젤리 (다채로운)</v>
      </c>
      <c r="AA22" s="373"/>
      <c r="AB22" s="137" t="s">
        <v>7861</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2"/>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6" t="s">
        <v>7895</v>
      </c>
      <c r="AK22" s="373"/>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IFERROR(__xludf.DUMMYFUNCTION("GOOGLETRANSLATE(A23,""zh-tw"",""ru"")"),"Запеченные бананы")</f>
        <v>Запеченные бананы</v>
      </c>
      <c r="AF23" s="372"/>
      <c r="AG23" s="168" t="str">
        <f>IFERROR(__xludf.DUMMYFUNCTION("GOOGLETRANSLATE(C23,""zh-tw"",""ru"")"),"банан")</f>
        <v>банан</v>
      </c>
      <c r="AH23" s="168"/>
      <c r="AI23" s="168"/>
      <c r="AJ23" s="376" t="s">
        <v>7907</v>
      </c>
      <c r="AK23" s="373"/>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IFERROR(__xludf.DUMMYFUNCTION("GOOGLETRANSLATE(A24,""zh-tw"",""KO"")"),"보르쉬")</f>
        <v>보르쉬</v>
      </c>
      <c r="AA24" s="373"/>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7918</v>
      </c>
      <c r="AK24" s="373"/>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7928</v>
      </c>
      <c r="AA25" s="373"/>
      <c r="AB25" s="137" t="s">
        <v>7929</v>
      </c>
      <c r="AC25" s="143"/>
      <c r="AD25" s="143"/>
      <c r="AE25" s="127" t="str">
        <f>IFERROR(__xludf.DUMMYFUNCTION("GOOGLETRANSLATE(A25,""zh-tw"",""ru"")"),"Жареные осьминожьи ножки")</f>
        <v>Жареные осьминожьи ножки</v>
      </c>
      <c r="AF25" s="372"/>
      <c r="AG25" s="168" t="str">
        <f>IFERROR(__xludf.DUMMYFUNCTION("GOOGLETRANSLATE(C25,""zh-tw"",""ru"")"),"щупальца осьминога")</f>
        <v>щупальца осьминога</v>
      </c>
      <c r="AH25" s="168"/>
      <c r="AI25" s="168"/>
      <c r="AJ25" s="376" t="s">
        <v>7930</v>
      </c>
      <c r="AK25" s="373"/>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7940</v>
      </c>
      <c r="AA26" s="373"/>
      <c r="AB26" s="377" t="s">
        <v>7941</v>
      </c>
      <c r="AC26" s="377" t="s">
        <v>7941</v>
      </c>
      <c r="AD26" s="137" t="s">
        <v>7941</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7942</v>
      </c>
      <c r="AK26" s="373"/>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7949</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7950</v>
      </c>
      <c r="AK27" s="373"/>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7958</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7959</v>
      </c>
      <c r="AK28" s="373"/>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IFERROR(__xludf.DUMMYFUNCTION("GOOGLETRANSLATE(A29,""zh-tw"",""ru"")"),"паста")</f>
        <v>паста</v>
      </c>
      <c r="AF29" s="372"/>
      <c r="AG29" s="168" t="str">
        <f>IFERROR(__xludf.DUMMYFUNCTION("GOOGLETRANSLATE(C29,""zh-tw"",""ru"")"),"спагетти")</f>
        <v>спагетти</v>
      </c>
      <c r="AH29" s="168"/>
      <c r="AI29" s="168"/>
      <c r="AJ29" s="376" t="s">
        <v>7969</v>
      </c>
      <c r="AK29" s="373"/>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7979</v>
      </c>
      <c r="AK30" s="373"/>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7992</v>
      </c>
      <c r="AK31" s="373"/>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카레라이스")</f>
        <v>계란 카레라이스</v>
      </c>
      <c r="AA32" s="373"/>
      <c r="AB32" s="143" t="str">
        <f>IFERROR(__xludf.DUMMYFUNCTION("GOOGLETRANSLATE(C32,""zh-tw"",""KO"")"),"흰쌀")</f>
        <v>흰쌀</v>
      </c>
      <c r="AC32" s="137" t="s">
        <v>7727</v>
      </c>
      <c r="AD32" s="137" t="s">
        <v>5355</v>
      </c>
      <c r="AE32" s="127" t="str">
        <f>IFERROR(__xludf.DUMMYFUNCTION("GOOGLETRANSLATE(A32,""zh-tw"",""ru"")"),"рис с яйцом и карри")</f>
        <v>рис с яйцом и карри</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8002</v>
      </c>
      <c r="AK32" s="373"/>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8010</v>
      </c>
      <c r="AA33" s="373"/>
      <c r="AB33" s="143" t="str">
        <f>IFERROR(__xludf.DUMMYFUNCTION("GOOGLETRANSLATE(C33,""zh-tw"",""KO"")"),"흰쌀")</f>
        <v>흰쌀</v>
      </c>
      <c r="AC33" s="316" t="s">
        <v>5355</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8011</v>
      </c>
      <c r="AK33" s="373"/>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8016</v>
      </c>
      <c r="AA34" s="373"/>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8017</v>
      </c>
      <c r="AK34" s="373"/>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8026</v>
      </c>
      <c r="AK35" s="373"/>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8036</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8037</v>
      </c>
      <c r="AK36" s="373"/>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8048</v>
      </c>
      <c r="AA37" s="373"/>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2"/>
      <c r="AG37" s="168" t="str">
        <f>IFERROR(__xludf.DUMMYFUNCTION("GOOGLETRANSLATE(C37,""zh-tw"",""ru"")"),"овощ")</f>
        <v>овощ</v>
      </c>
      <c r="AH37" s="168" t="str">
        <f>IFERROR(__xludf.DUMMYFUNCTION("GOOGLETRANSLATE(D37,""zh-tw"",""ru"")"),"овощ")</f>
        <v>овощ</v>
      </c>
      <c r="AI37" s="168"/>
      <c r="AJ37" s="376" t="s">
        <v>8049</v>
      </c>
      <c r="AK37" s="373"/>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3" t="s">
        <v>263</v>
      </c>
      <c r="C38" s="168" t="s">
        <v>8055</v>
      </c>
      <c r="D38" s="168" t="s">
        <v>8055</v>
      </c>
      <c r="E38" s="168" t="s">
        <v>7738</v>
      </c>
      <c r="F38" s="127" t="s">
        <v>8056</v>
      </c>
      <c r="G38" s="363" t="s">
        <v>263</v>
      </c>
      <c r="H38" s="168" t="s">
        <v>8057</v>
      </c>
      <c r="I38" s="168" t="s">
        <v>8057</v>
      </c>
      <c r="J38" s="168" t="s">
        <v>7740</v>
      </c>
      <c r="K38" s="114" t="s">
        <v>8058</v>
      </c>
      <c r="L38" s="363" t="s">
        <v>263</v>
      </c>
      <c r="M38" s="137" t="s">
        <v>8059</v>
      </c>
      <c r="N38" s="137" t="s">
        <v>8059</v>
      </c>
      <c r="O38" s="137" t="s">
        <v>7742</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8060</v>
      </c>
      <c r="AA38" s="373"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6" t="s">
        <v>8062</v>
      </c>
      <c r="AK38" s="373" t="s">
        <v>263</v>
      </c>
      <c r="AL38" s="137" t="s">
        <v>8063</v>
      </c>
      <c r="AM38" s="137" t="s">
        <v>8063</v>
      </c>
      <c r="AN38" s="137" t="s">
        <v>7744</v>
      </c>
      <c r="AO38" s="139" t="s">
        <v>8064</v>
      </c>
      <c r="AP38" s="363" t="s">
        <v>263</v>
      </c>
      <c r="AQ38" s="143" t="s">
        <v>8065</v>
      </c>
      <c r="AR38" s="143" t="s">
        <v>8065</v>
      </c>
      <c r="AS38" s="143" t="s">
        <v>7746</v>
      </c>
      <c r="AT38" s="127" t="s">
        <v>8066</v>
      </c>
      <c r="AU38" s="363" t="s">
        <v>263</v>
      </c>
      <c r="AV38" s="143" t="s">
        <v>8067</v>
      </c>
      <c r="AW38" s="143" t="s">
        <v>8067</v>
      </c>
      <c r="AX38" s="143" t="s">
        <v>7748</v>
      </c>
      <c r="AY38" s="143"/>
      <c r="AZ38" s="143"/>
      <c r="BA38" s="143"/>
      <c r="BB38" s="143"/>
      <c r="BC38" s="143"/>
    </row>
    <row r="39">
      <c r="A39" s="134" t="s">
        <v>8068</v>
      </c>
      <c r="B39" s="363" t="s">
        <v>263</v>
      </c>
      <c r="C39" s="168" t="s">
        <v>8055</v>
      </c>
      <c r="D39" s="125"/>
      <c r="E39" s="125"/>
      <c r="F39" s="127" t="s">
        <v>8069</v>
      </c>
      <c r="G39" s="363" t="s">
        <v>263</v>
      </c>
      <c r="H39" s="168" t="s">
        <v>8057</v>
      </c>
      <c r="I39" s="125"/>
      <c r="J39" s="125"/>
      <c r="K39" s="117" t="s">
        <v>8070</v>
      </c>
      <c r="L39" s="363" t="s">
        <v>263</v>
      </c>
      <c r="M39" s="137" t="s">
        <v>8059</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IFERROR(__xludf.DUMMYFUNCTION("GOOGLETRANSLATE(A39,""zh-tw"",""KO"")"),"닭다리 튀김")</f>
        <v>닭다리 튀김</v>
      </c>
      <c r="AA39" s="373" t="s">
        <v>263</v>
      </c>
      <c r="AB39" s="137" t="s">
        <v>8061</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IFERROR(__xludf.DUMMYFUNCTION("GOOGLETRANSLATE(C39,""zh-tw"",""ru"")"),"Куриное бедро")</f>
        <v>Куриное бедро</v>
      </c>
      <c r="AH39" s="168"/>
      <c r="AI39" s="168"/>
      <c r="AJ39" s="376" t="s">
        <v>8071</v>
      </c>
      <c r="AK39" s="373" t="s">
        <v>263</v>
      </c>
      <c r="AL39" s="137" t="s">
        <v>8063</v>
      </c>
      <c r="AM39" s="143"/>
      <c r="AN39" s="143"/>
      <c r="AO39" s="107" t="s">
        <v>8072</v>
      </c>
      <c r="AP39" s="363" t="s">
        <v>263</v>
      </c>
      <c r="AQ39" s="143" t="s">
        <v>8065</v>
      </c>
      <c r="AR39" s="125"/>
      <c r="AS39" s="125"/>
      <c r="AT39" s="127" t="s">
        <v>8073</v>
      </c>
      <c r="AU39" s="363" t="s">
        <v>263</v>
      </c>
      <c r="AV39" s="143" t="s">
        <v>8067</v>
      </c>
      <c r="AW39" s="28"/>
      <c r="AX39" s="28"/>
      <c r="AY39" s="125"/>
      <c r="AZ39" s="125"/>
      <c r="BA39" s="125"/>
      <c r="BB39" s="125"/>
      <c r="BC39" s="125"/>
    </row>
    <row r="40">
      <c r="A40" s="127" t="s">
        <v>8074</v>
      </c>
      <c r="B40" s="363" t="s">
        <v>263</v>
      </c>
      <c r="C40" s="168" t="s">
        <v>7719</v>
      </c>
      <c r="D40" s="168" t="s">
        <v>8055</v>
      </c>
      <c r="E40" s="125"/>
      <c r="F40" s="127" t="s">
        <v>8075</v>
      </c>
      <c r="G40" s="363" t="s">
        <v>263</v>
      </c>
      <c r="H40" s="168" t="s">
        <v>7722</v>
      </c>
      <c r="I40" s="168" t="s">
        <v>8057</v>
      </c>
      <c r="J40" s="125"/>
      <c r="K40" s="117" t="s">
        <v>8076</v>
      </c>
      <c r="L40" s="363" t="s">
        <v>263</v>
      </c>
      <c r="M40" s="137" t="s">
        <v>7849</v>
      </c>
      <c r="N40" s="137" t="s">
        <v>8059</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8077</v>
      </c>
      <c r="AA40" s="373"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6" t="s">
        <v>8078</v>
      </c>
      <c r="AK40" s="373" t="s">
        <v>263</v>
      </c>
      <c r="AL40" s="137" t="s">
        <v>7729</v>
      </c>
      <c r="AM40" s="137" t="s">
        <v>8063</v>
      </c>
      <c r="AN40" s="143"/>
      <c r="AO40" s="139" t="s">
        <v>8076</v>
      </c>
      <c r="AP40" s="363" t="s">
        <v>263</v>
      </c>
      <c r="AQ40" s="143" t="s">
        <v>7732</v>
      </c>
      <c r="AR40" s="143" t="s">
        <v>8065</v>
      </c>
      <c r="AS40" s="125"/>
      <c r="AT40" s="127" t="s">
        <v>8076</v>
      </c>
      <c r="AU40" s="363"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8"/>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8084</v>
      </c>
      <c r="AA41" s="373"/>
      <c r="AB41" s="137" t="s">
        <v>8025</v>
      </c>
      <c r="AC41" s="137" t="s">
        <v>8025</v>
      </c>
      <c r="AD41" s="137" t="s">
        <v>8025</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8085</v>
      </c>
      <c r="AK41" s="373"/>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8"/>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8096</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8097</v>
      </c>
      <c r="AK42" s="373"/>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8"/>
      <c r="H43" s="168" t="s">
        <v>8106</v>
      </c>
      <c r="I43" s="125"/>
      <c r="J43" s="125"/>
      <c r="K43" s="117" t="s">
        <v>8107</v>
      </c>
      <c r="L43" s="190"/>
      <c r="M43" s="137" t="s">
        <v>8108</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8109</v>
      </c>
      <c r="AK43" s="373"/>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8"/>
      <c r="C44" s="168" t="s">
        <v>7923</v>
      </c>
      <c r="D44" s="168" t="s">
        <v>7738</v>
      </c>
      <c r="E44" s="125"/>
      <c r="F44" s="127" t="s">
        <v>8116</v>
      </c>
      <c r="G44" s="378"/>
      <c r="H44" s="168" t="s">
        <v>7925</v>
      </c>
      <c r="I44" s="168" t="s">
        <v>7740</v>
      </c>
      <c r="J44" s="125"/>
      <c r="K44" s="117" t="s">
        <v>8117</v>
      </c>
      <c r="L44" s="190"/>
      <c r="M44" s="137" t="s">
        <v>7927</v>
      </c>
      <c r="N44" s="137" t="s">
        <v>7742</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8118</v>
      </c>
      <c r="AA44" s="373"/>
      <c r="AB44" s="137" t="s">
        <v>7929</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IFERROR(__xludf.DUMMYFUNCTION("GOOGLETRANSLATE(C44,""zh-tw"",""ru"")"),"щупальца осьминога")</f>
        <v>щупальца осьминога</v>
      </c>
      <c r="AH44" s="168" t="str">
        <f>IFERROR(__xludf.DUMMYFUNCTION("GOOGLETRANSLATE(D44,""zh-tw"",""ru"")"),"пшеничная мука")</f>
        <v>пшеничная мука</v>
      </c>
      <c r="AI44" s="168"/>
      <c r="AJ44" s="376" t="s">
        <v>8119</v>
      </c>
      <c r="AK44" s="373"/>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8"/>
      <c r="C45" s="168" t="s">
        <v>7792</v>
      </c>
      <c r="D45" s="125"/>
      <c r="E45" s="125"/>
      <c r="F45" s="127" t="s">
        <v>7827</v>
      </c>
      <c r="G45" s="378"/>
      <c r="H45" s="168" t="s">
        <v>7794</v>
      </c>
      <c r="I45" s="125"/>
      <c r="J45" s="125"/>
      <c r="K45" s="117" t="s">
        <v>8121</v>
      </c>
      <c r="L45" s="190"/>
      <c r="M45" s="137" t="s">
        <v>7797</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8122</v>
      </c>
      <c r="AA45" s="373"/>
      <c r="AB45" s="137" t="s">
        <v>7799</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8123</v>
      </c>
      <c r="AK45" s="373"/>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3" t="s">
        <v>934</v>
      </c>
      <c r="C46" s="168" t="s">
        <v>5489</v>
      </c>
      <c r="D46" s="168" t="s">
        <v>5510</v>
      </c>
      <c r="E46" s="125"/>
      <c r="F46" s="127" t="s">
        <v>8127</v>
      </c>
      <c r="G46" s="363" t="s">
        <v>934</v>
      </c>
      <c r="H46" s="168" t="s">
        <v>7914</v>
      </c>
      <c r="I46" s="168" t="s">
        <v>8128</v>
      </c>
      <c r="J46" s="125"/>
      <c r="K46" s="117" t="s">
        <v>8129</v>
      </c>
      <c r="L46" s="363" t="s">
        <v>934</v>
      </c>
      <c r="M46" s="137" t="s">
        <v>5491</v>
      </c>
      <c r="N46" s="137" t="s">
        <v>5512</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8130</v>
      </c>
      <c r="AA46" s="373"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8132</v>
      </c>
      <c r="AK46" s="373" t="s">
        <v>934</v>
      </c>
      <c r="AL46" s="137" t="s">
        <v>5494</v>
      </c>
      <c r="AM46" s="137" t="s">
        <v>8133</v>
      </c>
      <c r="AN46" s="143"/>
      <c r="AO46" s="139" t="s">
        <v>8134</v>
      </c>
      <c r="AP46" s="363" t="s">
        <v>934</v>
      </c>
      <c r="AQ46" s="143" t="s">
        <v>5496</v>
      </c>
      <c r="AR46" s="143" t="s">
        <v>5516</v>
      </c>
      <c r="AS46" s="125"/>
      <c r="AT46" s="127" t="s">
        <v>8135</v>
      </c>
      <c r="AU46" s="363" t="s">
        <v>934</v>
      </c>
      <c r="AV46" s="143" t="s">
        <v>5498</v>
      </c>
      <c r="AW46" s="143" t="s">
        <v>5512</v>
      </c>
      <c r="AX46" s="28"/>
      <c r="AY46" s="125"/>
      <c r="AZ46" s="125"/>
      <c r="BA46" s="125"/>
      <c r="BB46" s="125"/>
      <c r="BC46" s="125"/>
    </row>
    <row r="47">
      <c r="A47" s="127" t="s">
        <v>8136</v>
      </c>
      <c r="B47" s="363" t="s">
        <v>934</v>
      </c>
      <c r="C47" s="168" t="s">
        <v>5510</v>
      </c>
      <c r="D47" s="125"/>
      <c r="E47" s="125"/>
      <c r="F47" s="127" t="s">
        <v>8137</v>
      </c>
      <c r="G47" s="363" t="s">
        <v>934</v>
      </c>
      <c r="H47" s="168" t="s">
        <v>8128</v>
      </c>
      <c r="I47" s="125"/>
      <c r="J47" s="125"/>
      <c r="K47" s="117" t="s">
        <v>8138</v>
      </c>
      <c r="L47" s="363" t="s">
        <v>934</v>
      </c>
      <c r="M47" s="137" t="s">
        <v>5512</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8139</v>
      </c>
      <c r="AA47" s="373" t="s">
        <v>934</v>
      </c>
      <c r="AB47" s="316" t="s">
        <v>8131</v>
      </c>
      <c r="AC47" s="143"/>
      <c r="AD47" s="143"/>
      <c r="AE47" s="127" t="str">
        <f>IFERROR(__xludf.DUMMYFUNCTION("GOOGLETRANSLATE(A47,""zh-tw"",""ru"")"),"Вода с перцем чили")</f>
        <v>Вода с перцем чили</v>
      </c>
      <c r="AF47" s="372" t="str">
        <f>IFERROR(__xludf.DUMMYFUNCTION("GOOGLETRANSLATE(L47,""zh-tw"",""es-MX"")"),"B")</f>
        <v>B</v>
      </c>
      <c r="AG47" s="168" t="str">
        <f>IFERROR(__xludf.DUMMYFUNCTION("GOOGLETRANSLATE(C47,""zh-tw"",""ru"")"),"чили")</f>
        <v>чили</v>
      </c>
      <c r="AH47" s="168"/>
      <c r="AI47" s="168"/>
      <c r="AJ47" s="376" t="s">
        <v>8140</v>
      </c>
      <c r="AK47" s="373" t="s">
        <v>934</v>
      </c>
      <c r="AL47" s="137" t="s">
        <v>8133</v>
      </c>
      <c r="AM47" s="143"/>
      <c r="AN47" s="143"/>
      <c r="AO47" s="139" t="s">
        <v>8141</v>
      </c>
      <c r="AP47" s="363" t="s">
        <v>934</v>
      </c>
      <c r="AQ47" s="143" t="s">
        <v>5516</v>
      </c>
      <c r="AR47" s="125"/>
      <c r="AS47" s="125"/>
      <c r="AT47" s="127" t="s">
        <v>8142</v>
      </c>
      <c r="AU47" s="363" t="s">
        <v>934</v>
      </c>
      <c r="AV47" s="143" t="s">
        <v>5512</v>
      </c>
      <c r="AW47" s="28"/>
      <c r="AX47" s="28"/>
      <c r="AY47" s="125"/>
      <c r="AZ47" s="125"/>
      <c r="BA47" s="125"/>
      <c r="BB47" s="125"/>
      <c r="BC47" s="125"/>
    </row>
    <row r="48">
      <c r="A48" s="127" t="s">
        <v>8143</v>
      </c>
      <c r="B48" s="378"/>
      <c r="C48" s="168" t="s">
        <v>7707</v>
      </c>
      <c r="D48" s="168" t="s">
        <v>7856</v>
      </c>
      <c r="E48" s="125"/>
      <c r="F48" s="127" t="s">
        <v>8144</v>
      </c>
      <c r="G48" s="378"/>
      <c r="H48" s="168" t="s">
        <v>7709</v>
      </c>
      <c r="I48" s="168" t="s">
        <v>7858</v>
      </c>
      <c r="J48" s="125"/>
      <c r="K48" s="117" t="s">
        <v>8145</v>
      </c>
      <c r="L48" s="190"/>
      <c r="M48" s="137" t="s">
        <v>7711</v>
      </c>
      <c r="N48" s="137" t="s">
        <v>7860</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8146</v>
      </c>
      <c r="AA48" s="373"/>
      <c r="AB48" s="316" t="s">
        <v>7712</v>
      </c>
      <c r="AC48" s="137" t="s">
        <v>7861</v>
      </c>
      <c r="AD48" s="143"/>
      <c r="AE48" s="127" t="str">
        <f>IFERROR(__xludf.DUMMYFUNCTION("GOOGLETRANSLATE(A48,""zh-tw"",""ru"")"),"Водяной монстр-мармелад")</f>
        <v>Водяной монстр-мармелад</v>
      </c>
      <c r="AF48" s="372"/>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6" t="s">
        <v>8147</v>
      </c>
      <c r="AK48" s="373"/>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8"/>
      <c r="C49" s="168" t="s">
        <v>7707</v>
      </c>
      <c r="D49" s="168" t="s">
        <v>7856</v>
      </c>
      <c r="E49" s="125"/>
      <c r="F49" s="127" t="s">
        <v>8152</v>
      </c>
      <c r="G49" s="378"/>
      <c r="H49" s="168" t="s">
        <v>7709</v>
      </c>
      <c r="I49" s="168" t="s">
        <v>7858</v>
      </c>
      <c r="J49" s="125"/>
      <c r="K49" s="117" t="s">
        <v>8153</v>
      </c>
      <c r="L49" s="190"/>
      <c r="M49" s="137" t="s">
        <v>7711</v>
      </c>
      <c r="N49" s="137" t="s">
        <v>7860</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8154</v>
      </c>
      <c r="AA49" s="373"/>
      <c r="AB49" s="316" t="s">
        <v>7712</v>
      </c>
      <c r="AC49" s="316" t="s">
        <v>7861</v>
      </c>
      <c r="AD49" s="143"/>
      <c r="AE49" s="127" t="str">
        <f>IFERROR(__xludf.DUMMYFUNCTION("GOOGLETRANSLATE(A49,""zh-tw"",""ru"")"),"Ледяная стружка «Водяной монстр»")</f>
        <v>Ледяная стружка «Водяной монстр»</v>
      </c>
      <c r="AF49" s="372"/>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6" t="s">
        <v>8155</v>
      </c>
      <c r="AK49" s="373"/>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9" t="s">
        <v>8159</v>
      </c>
      <c r="C50" s="168" t="s">
        <v>7707</v>
      </c>
      <c r="D50" s="168" t="s">
        <v>7856</v>
      </c>
      <c r="E50" s="168" t="s">
        <v>8160</v>
      </c>
      <c r="F50" s="127" t="s">
        <v>8161</v>
      </c>
      <c r="G50" s="379"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9"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8167</v>
      </c>
      <c r="AA50" s="373" t="s">
        <v>8168</v>
      </c>
      <c r="AB50" s="137" t="s">
        <v>7712</v>
      </c>
      <c r="AC50" s="316" t="s">
        <v>7861</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6" t="s">
        <v>8169</v>
      </c>
      <c r="AK50" s="373"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8"/>
      <c r="C51" s="168" t="s">
        <v>7738</v>
      </c>
      <c r="D51" s="125"/>
      <c r="E51" s="125"/>
      <c r="F51" s="127" t="s">
        <v>8177</v>
      </c>
      <c r="G51" s="378"/>
      <c r="H51" s="168" t="s">
        <v>7740</v>
      </c>
      <c r="I51" s="125"/>
      <c r="J51" s="125"/>
      <c r="K51" s="117" t="s">
        <v>8178</v>
      </c>
      <c r="L51" s="190"/>
      <c r="M51" s="137" t="s">
        <v>7742</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8179</v>
      </c>
      <c r="AK51" s="373"/>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8"/>
      <c r="C52" s="168" t="s">
        <v>5473</v>
      </c>
      <c r="D52" s="168" t="s">
        <v>7738</v>
      </c>
      <c r="E52" s="125"/>
      <c r="F52" s="127" t="s">
        <v>8183</v>
      </c>
      <c r="G52" s="378"/>
      <c r="H52" s="168" t="s">
        <v>8184</v>
      </c>
      <c r="I52" s="168" t="s">
        <v>7740</v>
      </c>
      <c r="J52" s="125"/>
      <c r="K52" s="117" t="s">
        <v>8185</v>
      </c>
      <c r="L52" s="190"/>
      <c r="M52" s="137" t="s">
        <v>5477</v>
      </c>
      <c r="N52" s="137" t="s">
        <v>7742</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8186</v>
      </c>
      <c r="AK52" s="373"/>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8"/>
      <c r="C53" s="168" t="s">
        <v>5500</v>
      </c>
      <c r="D53" s="125"/>
      <c r="E53" s="125"/>
      <c r="F53" s="127" t="s">
        <v>8191</v>
      </c>
      <c r="G53" s="378"/>
      <c r="H53" s="168" t="s">
        <v>8014</v>
      </c>
      <c r="I53" s="125"/>
      <c r="J53" s="125"/>
      <c r="K53" s="117" t="s">
        <v>8192</v>
      </c>
      <c r="L53" s="190"/>
      <c r="M53" s="137" t="s">
        <v>5502</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8193</v>
      </c>
      <c r="AK53" s="373"/>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8"/>
      <c r="C54" s="168" t="s">
        <v>5473</v>
      </c>
      <c r="D54" s="125"/>
      <c r="E54" s="125"/>
      <c r="F54" s="127" t="s">
        <v>8196</v>
      </c>
      <c r="G54" s="378"/>
      <c r="H54" s="168" t="s">
        <v>8184</v>
      </c>
      <c r="I54" s="125"/>
      <c r="J54" s="125"/>
      <c r="K54" s="117" t="s">
        <v>5477</v>
      </c>
      <c r="L54" s="190"/>
      <c r="M54" s="137" t="s">
        <v>5477</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8187</v>
      </c>
      <c r="AK54" s="373"/>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80" t="s">
        <v>8055</v>
      </c>
      <c r="D55" s="380" t="s">
        <v>8198</v>
      </c>
      <c r="E55" s="380" t="s">
        <v>8199</v>
      </c>
      <c r="F55" s="126"/>
      <c r="G55" s="378"/>
      <c r="H55" s="125"/>
      <c r="I55" s="125"/>
      <c r="J55" s="125"/>
      <c r="K55" s="114" t="s">
        <v>8200</v>
      </c>
      <c r="L55" s="162"/>
      <c r="M55" s="137" t="s">
        <v>8059</v>
      </c>
      <c r="N55" s="137" t="s">
        <v>8201</v>
      </c>
      <c r="O55" s="137" t="s">
        <v>7725</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닭고기 밥볼")</f>
        <v>훈제 닭고기 밥볼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80" t="s">
        <v>8055</v>
      </c>
      <c r="D56" s="380" t="s">
        <v>8207</v>
      </c>
      <c r="E56" s="380" t="s">
        <v>8199</v>
      </c>
      <c r="F56" s="126"/>
      <c r="G56" s="378"/>
      <c r="H56" s="125"/>
      <c r="I56" s="125"/>
      <c r="J56" s="125"/>
      <c r="K56" s="114" t="s">
        <v>8208</v>
      </c>
      <c r="L56" s="190"/>
      <c r="M56" s="137" t="s">
        <v>8059</v>
      </c>
      <c r="N56" s="137" t="s">
        <v>7726</v>
      </c>
      <c r="O56" s="137" t="s">
        <v>7725</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1" t="s">
        <v>7736</v>
      </c>
      <c r="AX56" s="143" t="s">
        <v>7735</v>
      </c>
      <c r="AY56" s="125"/>
      <c r="AZ56" s="125"/>
      <c r="BA56" s="125"/>
      <c r="BB56" s="125"/>
      <c r="BC56" s="125"/>
    </row>
    <row r="57">
      <c r="A57" s="134" t="s">
        <v>8211</v>
      </c>
      <c r="B57" s="190"/>
      <c r="C57" s="380" t="s">
        <v>7912</v>
      </c>
      <c r="D57" s="380" t="s">
        <v>7912</v>
      </c>
      <c r="E57" s="380"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2"/>
      <c r="AP1" s="382"/>
    </row>
    <row r="2" ht="45.0" customHeight="1">
      <c r="AO2" s="382"/>
      <c r="AP2" s="382"/>
    </row>
    <row r="3" ht="55.5" customHeight="1">
      <c r="A3" s="383" t="s">
        <v>8216</v>
      </c>
      <c r="B3" s="25" t="s">
        <v>8217</v>
      </c>
      <c r="C3" s="384" t="s">
        <v>8218</v>
      </c>
      <c r="D3" s="157" t="s">
        <v>8219</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8220</v>
      </c>
      <c r="J3" s="25" t="s">
        <v>8221</v>
      </c>
      <c r="K3" s="384" t="s">
        <v>8222</v>
      </c>
      <c r="L3" s="157" t="s">
        <v>8223</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IFERROR(__xludf.DUMMYFUNCTION("GOOGLETRANSLATE(A3,""zh-tw"",""KO"")"),"상태도")</f>
        <v>상태도</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8224</v>
      </c>
      <c r="AH3" s="388" t="s">
        <v>8225</v>
      </c>
      <c r="AI3" s="389" t="s">
        <v>8226</v>
      </c>
      <c r="AJ3" s="390" t="s">
        <v>4814</v>
      </c>
      <c r="AK3" s="159" t="s">
        <v>8227</v>
      </c>
      <c r="AL3" s="161" t="s">
        <v>8228</v>
      </c>
      <c r="AM3" s="391" t="s">
        <v>8229</v>
      </c>
      <c r="AN3" s="392" t="s">
        <v>4818</v>
      </c>
      <c r="AO3" s="393"/>
      <c r="AP3" s="393"/>
    </row>
    <row r="4" ht="26.25" customHeight="1">
      <c r="A4" s="176" t="s">
        <v>8230</v>
      </c>
      <c r="B4" s="316" t="s">
        <v>8231</v>
      </c>
      <c r="C4" s="215" t="s">
        <v>816</v>
      </c>
      <c r="D4" s="394" t="s">
        <v>8232</v>
      </c>
      <c r="E4" s="176" t="s">
        <v>8233</v>
      </c>
      <c r="F4" s="318" t="str">
        <f>IFERROR(__xludf.DUMMYFUNCTION("GOOGLETRANSLATE(B4,""zh-tw"",""ja"")"),"少し落ち着かない気分です")</f>
        <v>少し落ち着かない気分です</v>
      </c>
      <c r="G4" s="395" t="str">
        <f>IFERROR(__xludf.DUMMYFUNCTION("GOOGLETRANSLATE(C4,""zh-tw"",""ja"")"),"-")</f>
        <v>-</v>
      </c>
      <c r="H4" s="394" t="s">
        <v>8234</v>
      </c>
      <c r="I4" s="176" t="s">
        <v>8235</v>
      </c>
      <c r="J4" s="316" t="s">
        <v>8236</v>
      </c>
      <c r="K4" s="395" t="str">
        <f>IFERROR(__xludf.DUMMYFUNCTION("GOOGLETRANSLATE(C4,""zh-tw"",""en"")"),"-")</f>
        <v>-</v>
      </c>
      <c r="L4" s="394" t="s">
        <v>8237</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влечение.")</f>
        <v>У моего брата есть сексуальное влечение.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8"/>
      <c r="AP4" s="398"/>
    </row>
    <row r="5" ht="26.25" customHeight="1">
      <c r="A5" s="176" t="s">
        <v>8230</v>
      </c>
      <c r="B5" s="316" t="s">
        <v>8244</v>
      </c>
      <c r="C5" s="215" t="s">
        <v>816</v>
      </c>
      <c r="D5" s="394" t="s">
        <v>8245</v>
      </c>
      <c r="E5" s="176" t="s">
        <v>8233</v>
      </c>
      <c r="F5" s="318" t="str">
        <f>IFERROR(__xludf.DUMMYFUNCTION("GOOGLETRANSLATE(B5,""zh-tw"",""ja"")"),"体全体が何らかの刺激を求めている。")</f>
        <v>体全体が何らかの刺激を求めている。</v>
      </c>
      <c r="G5" s="215" t="s">
        <v>816</v>
      </c>
      <c r="H5" s="394" t="s">
        <v>8246</v>
      </c>
      <c r="I5" s="176" t="s">
        <v>8235</v>
      </c>
      <c r="J5" s="316" t="s">
        <v>8247</v>
      </c>
      <c r="K5" s="215" t="s">
        <v>816</v>
      </c>
      <c r="L5" s="394" t="s">
        <v>8248</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очень высокое половое влечение.")</f>
        <v>У моего брата очень высокое половое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8"/>
      <c r="AP5" s="398"/>
    </row>
    <row r="6" ht="26.25" customHeight="1">
      <c r="A6" s="176" t="s">
        <v>8230</v>
      </c>
      <c r="B6" s="316" t="s">
        <v>8253</v>
      </c>
      <c r="C6" s="215" t="s">
        <v>816</v>
      </c>
      <c r="D6" s="394" t="s">
        <v>8254</v>
      </c>
      <c r="E6" s="176" t="s">
        <v>8233</v>
      </c>
      <c r="F6" s="318" t="str">
        <f>IFERROR(__xludf.DUMMYFUNCTION("GOOGLETRANSLATE(B6,""zh-tw"",""ja"")"),"もう自分をコントロールできない。")</f>
        <v>もう自分をコントロールできない。</v>
      </c>
      <c r="G6" s="215" t="s">
        <v>816</v>
      </c>
      <c r="H6" s="394" t="s">
        <v>8255</v>
      </c>
      <c r="I6" s="176" t="s">
        <v>8235</v>
      </c>
      <c r="J6" s="316" t="s">
        <v>8256</v>
      </c>
      <c r="K6" s="215" t="s">
        <v>816</v>
      </c>
      <c r="L6" s="394" t="s">
        <v>8257</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высокое половое влечение.")</f>
        <v>У старшего брата более высокое половое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8"/>
      <c r="AP6" s="398"/>
    </row>
    <row r="7">
      <c r="A7" s="176" t="s">
        <v>8262</v>
      </c>
      <c r="B7" s="316" t="s">
        <v>8263</v>
      </c>
      <c r="C7" s="215" t="s">
        <v>8264</v>
      </c>
      <c r="D7" s="394" t="s">
        <v>8265</v>
      </c>
      <c r="E7" s="176" t="s">
        <v>8266</v>
      </c>
      <c r="F7" s="318" t="str">
        <f>IFERROR(__xludf.DUMMYFUNCTION("GOOGLETRANSLATE(B7,""zh-tw"",""ja"")"),"うーん…")</f>
        <v>うーん…</v>
      </c>
      <c r="G7" s="215" t="s">
        <v>8267</v>
      </c>
      <c r="H7" s="394" t="s">
        <v>8268</v>
      </c>
      <c r="I7" s="176" t="s">
        <v>8269</v>
      </c>
      <c r="J7" s="316" t="s">
        <v>8270</v>
      </c>
      <c r="K7" s="215" t="s">
        <v>8271</v>
      </c>
      <c r="L7" s="394" t="s">
        <v>8272</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6" t="str">
        <f>IFERROR(__xludf.DUMMYFUNCTION("GOOGLETRANSLATE(A7,""zh-tw"",""RU"")"),"Орки")</f>
        <v>Орки</v>
      </c>
      <c r="Z7" s="318" t="str">
        <f>IFERROR(__xludf.DUMMYFUNCTION("GOOGLETRANSLATE(B7,""zh-tw"",""RU"")"),"Уф...")</f>
        <v>Уф...</v>
      </c>
      <c r="AA7" s="395" t="str">
        <f>IFERROR(__xludf.DUMMYFUNCTION("GOOGLETRANSLATE(C7,""zh-tw"",""RU"")"),"Оно превратилось в зверя, разум которого полон желаний!")</f>
        <v>Оно превратилось в зверя, разум которого полон желаний!</v>
      </c>
      <c r="AB7" s="397" t="str">
        <f>IFERROR(__xludf.DUMMYFUNCTION("GOOGLETRANSLATE(D7,""zh-tw"",""RU"")"),"У моего брата чрезвычайно высокое половое влечение.")</f>
        <v>У моего брата чрезвычайно высокое половое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8"/>
      <c r="AP7" s="398"/>
    </row>
    <row r="8">
      <c r="A8" s="176" t="s">
        <v>8278</v>
      </c>
      <c r="B8" s="316" t="s">
        <v>8279</v>
      </c>
      <c r="C8" s="215" t="s">
        <v>8280</v>
      </c>
      <c r="D8" s="394" t="s">
        <v>8281</v>
      </c>
      <c r="E8" s="176" t="s">
        <v>8282</v>
      </c>
      <c r="F8" s="316" t="s">
        <v>8283</v>
      </c>
      <c r="G8" s="395" t="str">
        <f>IFERROR(__xludf.DUMMYFUNCTION("GOOGLETRANSLATE(C8,""zh-tw"",""ja"")"),"賢者モードに入ると、すべての属性が上昇します。")</f>
        <v>賢者モードに入ると、すべての属性が上昇します。</v>
      </c>
      <c r="H8" s="394" t="s">
        <v>8284</v>
      </c>
      <c r="I8" s="176" t="s">
        <v>8285</v>
      </c>
      <c r="J8" s="316" t="s">
        <v>8286</v>
      </c>
      <c r="K8" s="215" t="s">
        <v>8287</v>
      </c>
      <c r="L8" s="394" t="s">
        <v>8288</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6"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5" t="str">
        <f>IFERROR(__xludf.DUMMYFUNCTION("GOOGLETRANSLATE(C8,""zh-tw"",""RU"")"),"В режиме Мудреца все характеристики повышаются.")</f>
        <v>В режиме Мудреца все характеристики повышаются.</v>
      </c>
      <c r="AB8" s="397" t="str">
        <f>IFERROR(__xludf.DUMMYFUNCTION("GOOGLETRANSLATE(D8,""zh-tw"",""RU"")"),"У моего брата отсутствует половое влечение.")</f>
        <v>У моего брата отсутствует половое влечение.</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8"/>
      <c r="AP8" s="398"/>
    </row>
    <row r="9">
      <c r="A9" s="176" t="s">
        <v>8297</v>
      </c>
      <c r="B9" s="316" t="s">
        <v>816</v>
      </c>
      <c r="C9" s="215" t="s">
        <v>8298</v>
      </c>
      <c r="D9" s="394" t="s">
        <v>8299</v>
      </c>
      <c r="E9" s="396" t="str">
        <f>IFERROR(__xludf.DUMMYFUNCTION("GOOGLETRANSLATE(A9,""zh-tw"",""ja"")"),"集中")</f>
        <v>集中</v>
      </c>
      <c r="F9" s="318" t="str">
        <f>IFERROR(__xludf.DUMMYFUNCTION("GOOGLETRANSLATE(B9,""zh-tw"",""ja"")"),"-")</f>
        <v>-</v>
      </c>
      <c r="G9" s="215" t="s">
        <v>8300</v>
      </c>
      <c r="H9" s="394" t="s">
        <v>8301</v>
      </c>
      <c r="I9" s="176" t="s">
        <v>8302</v>
      </c>
      <c r="J9" s="318" t="str">
        <f>IFERROR(__xludf.DUMMYFUNCTION("GOOGLETRANSLATE(B9,""zh-tw"",""en"")"),"-")</f>
        <v>-</v>
      </c>
      <c r="K9" s="215" t="s">
        <v>8303</v>
      </c>
      <c r="L9" s="394" t="s">
        <v>8304</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6" t="str">
        <f>IFERROR(__xludf.DUMMYFUNCTION("GOOGLETRANSLATE(A9,""zh-tw"",""RU"")"),"Фокус")</f>
        <v>Фокус</v>
      </c>
      <c r="Z9" s="318" t="str">
        <f>IFERROR(__xludf.DUMMYFUNCTION("GOOGLETRANSLATE(B9,""zh-tw"",""RU"")"),"-")</f>
        <v>-</v>
      </c>
      <c r="AA9" s="395"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7" t="str">
        <f>IFERROR(__xludf.DUMMYFUNCTION("GOOGLETRANSLATE(D9,""zh-tw"",""RU"")"),"Правая кнопка мыши для оружия ближнего боя")</f>
        <v>Правая кнопка мыши для оружия ближнего боя</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8"/>
      <c r="AP9" s="398"/>
    </row>
    <row r="10">
      <c r="A10" s="176" t="s">
        <v>8310</v>
      </c>
      <c r="B10" s="316" t="s">
        <v>8311</v>
      </c>
      <c r="C10" s="215" t="s">
        <v>816</v>
      </c>
      <c r="D10" s="394" t="s">
        <v>8312</v>
      </c>
      <c r="E10" s="176" t="s">
        <v>8313</v>
      </c>
      <c r="F10" s="316" t="s">
        <v>8314</v>
      </c>
      <c r="G10" s="395" t="str">
        <f>IFERROR(__xludf.DUMMYFUNCTION("GOOGLETRANSLATE(C10,""zh-tw"",""ja"")"),"-")</f>
        <v>-</v>
      </c>
      <c r="H10" s="394" t="s">
        <v>8315</v>
      </c>
      <c r="I10" s="176" t="s">
        <v>8316</v>
      </c>
      <c r="J10" s="316" t="s">
        <v>8317</v>
      </c>
      <c r="K10" s="395" t="str">
        <f>IFERROR(__xludf.DUMMYFUNCTION("GOOGLETRANSLATE(C10,""zh-tw"",""en"")"),"-")</f>
        <v>-</v>
      </c>
      <c r="L10" s="394" t="s">
        <v>8318</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6"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5" t="str">
        <f>IFERROR(__xludf.DUMMYFUNCTION("GOOGLETRANSLATE(C10,""zh-tw"",""RU"")"),"-")</f>
        <v>-</v>
      </c>
      <c r="AB10" s="397"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8"/>
      <c r="AP10" s="398"/>
    </row>
    <row r="11">
      <c r="A11" s="176" t="s">
        <v>8323</v>
      </c>
      <c r="B11" s="316" t="s">
        <v>816</v>
      </c>
      <c r="C11" s="215" t="s">
        <v>8324</v>
      </c>
      <c r="D11" s="394" t="s">
        <v>8325</v>
      </c>
      <c r="E11" s="176" t="s">
        <v>8326</v>
      </c>
      <c r="F11" s="318" t="str">
        <f>IFERROR(__xludf.DUMMYFUNCTION("GOOGLETRANSLATE(B11,""zh-tw"",""ja"")"),"-")</f>
        <v>-</v>
      </c>
      <c r="G11" s="215" t="s">
        <v>8327</v>
      </c>
      <c r="H11" s="394" t="s">
        <v>8328</v>
      </c>
      <c r="I11" s="176" t="s">
        <v>8329</v>
      </c>
      <c r="J11" s="318" t="str">
        <f>IFERROR(__xludf.DUMMYFUNCTION("GOOGLETRANSLATE(B11,""zh-tw"",""en"")"),"-")</f>
        <v>-</v>
      </c>
      <c r="K11" s="215" t="s">
        <v>8330</v>
      </c>
      <c r="L11" s="394" t="s">
        <v>8331</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Flash Step")</f>
        <v>Tiempo de reutilización de Flash Step</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IFERROR(__xludf.DUMMYFUNCTION("GOOGLETRANSLATE(A11,""zh-tw"",""RU"")"),"Запрещено использование быстрого шага")</f>
        <v>Запрещено использование быстрого шага</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IFERROR(__xludf.DUMMYFUNCTION("GOOGLETRANSLATE(D11,""zh-tw"",""RU"")"),"время восстановления Flash Step")</f>
        <v>время восстановления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8"/>
      <c r="AP11" s="398"/>
    </row>
    <row r="12">
      <c r="A12" s="176" t="s">
        <v>8337</v>
      </c>
      <c r="B12" s="316" t="s">
        <v>816</v>
      </c>
      <c r="C12" s="215" t="s">
        <v>8338</v>
      </c>
      <c r="D12" s="394" t="s">
        <v>8339</v>
      </c>
      <c r="E12" s="176" t="s">
        <v>8340</v>
      </c>
      <c r="F12" s="318" t="str">
        <f>IFERROR(__xludf.DUMMYFUNCTION("GOOGLETRANSLATE(B12,""zh-tw"",""ja"")"),"-")</f>
        <v>-</v>
      </c>
      <c r="G12" s="215" t="s">
        <v>8341</v>
      </c>
      <c r="H12" s="394" t="s">
        <v>8342</v>
      </c>
      <c r="I12" s="176" t="s">
        <v>8343</v>
      </c>
      <c r="J12" s="318" t="str">
        <f>IFERROR(__xludf.DUMMYFUNCTION("GOOGLETRANSLATE(B12,""zh-tw"",""en"")"),"-")</f>
        <v>-</v>
      </c>
      <c r="K12" s="215" t="s">
        <v>8344</v>
      </c>
      <c r="L12" s="394" t="s">
        <v>8345</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8"/>
      <c r="AP12" s="398"/>
    </row>
    <row r="13">
      <c r="A13" s="176" t="s">
        <v>8352</v>
      </c>
      <c r="B13" s="316" t="s">
        <v>816</v>
      </c>
      <c r="C13" s="215" t="s">
        <v>8353</v>
      </c>
      <c r="D13" s="394" t="s">
        <v>8354</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8355</v>
      </c>
      <c r="J13" s="318" t="str">
        <f>IFERROR(__xludf.DUMMYFUNCTION("GOOGLETRANSLATE(B13,""zh-tw"",""en"")"),"-")</f>
        <v>-</v>
      </c>
      <c r="K13" s="215" t="s">
        <v>8356</v>
      </c>
      <c r="L13" s="394" t="s">
        <v>8357</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волшебного заклинания")</f>
        <v>Во время волшебного заклинания</v>
      </c>
      <c r="AB13" s="397" t="str">
        <f>IFERROR(__xludf.DUMMYFUNCTION("GOOGLETRANSLATE(D13,""zh-tw"",""RU"")"),"Щёлкните правой кнопкой мыши по оружию «посох».")</f>
        <v>Щёлкните правой кнопкой мыши по оружию «посох».</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8"/>
      <c r="AP13" s="398"/>
    </row>
    <row r="14">
      <c r="A14" s="176" t="s">
        <v>8364</v>
      </c>
      <c r="B14" s="316" t="s">
        <v>8365</v>
      </c>
      <c r="C14" s="215" t="s">
        <v>8366</v>
      </c>
      <c r="D14" s="394" t="s">
        <v>8367</v>
      </c>
      <c r="E14" s="176" t="s">
        <v>8364</v>
      </c>
      <c r="F14" s="316" t="s">
        <v>8368</v>
      </c>
      <c r="G14" s="215" t="s">
        <v>8369</v>
      </c>
      <c r="H14" s="394" t="s">
        <v>8370</v>
      </c>
      <c r="I14" s="176" t="s">
        <v>8371</v>
      </c>
      <c r="J14" s="316" t="s">
        <v>8372</v>
      </c>
      <c r="K14" s="215" t="s">
        <v>8373</v>
      </c>
      <c r="L14" s="394" t="s">
        <v>8374</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6"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5" t="str">
        <f>IFERROR(__xludf.DUMMYFUNCTION("GOOGLETRANSLATE(C14,""zh-tw"",""RU"")"),"Со временем наносится всё больший ущерб.")</f>
        <v>Со временем наносится всё больший ущерб.</v>
      </c>
      <c r="AB14" s="397" t="str">
        <f>IFERROR(__xludf.DUMMYFUNCTION("GOOGLETRANSLATE(D14,""zh-tw"",""RU"")"),"Подвергся нападению зомби")</f>
        <v>Подвергся нападению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8"/>
      <c r="AP14" s="398"/>
    </row>
    <row r="15">
      <c r="A15" s="176" t="s">
        <v>8383</v>
      </c>
      <c r="B15" s="316" t="s">
        <v>8384</v>
      </c>
      <c r="C15" s="215" t="s">
        <v>8385</v>
      </c>
      <c r="D15" s="394" t="s">
        <v>8386</v>
      </c>
      <c r="E15" s="396" t="str">
        <f>IFERROR(__xludf.DUMMYFUNCTION("GOOGLETRANSLATE(A15,""zh-tw"",""ja"")"),"出血")</f>
        <v>出血</v>
      </c>
      <c r="F15" s="316" t="s">
        <v>8387</v>
      </c>
      <c r="G15" s="395" t="str">
        <f>IFERROR(__xludf.DUMMYFUNCTION("GOOGLETRANSLATE(C15,""zh-tw"",""ja"")"),"受けるダメージは最大スタミナに基づいて決まります。")</f>
        <v>受けるダメージは最大スタミナに基づいて決まります。</v>
      </c>
      <c r="H15" s="394" t="s">
        <v>8388</v>
      </c>
      <c r="I15" s="396" t="str">
        <f>IFERROR(__xludf.DUMMYFUNCTION("GOOGLETRANSLATE(A15,""zh-tw"",""en"")"),"Bleeding")</f>
        <v>Bleeding</v>
      </c>
      <c r="J15" s="316" t="s">
        <v>8389</v>
      </c>
      <c r="K15" s="215" t="s">
        <v>8390</v>
      </c>
      <c r="L15" s="394" t="s">
        <v>8391</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6"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5"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7" t="str">
        <f>IFERROR(__xludf.DUMMYFUNCTION("GOOGLETRANSLATE(D15,""zh-tw"",""RU"")"),"Подвергся нападению маленького красного зверя.")</f>
        <v>Подвергся нападению маленького красного зверя.</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8"/>
      <c r="AP15" s="398"/>
    </row>
    <row r="16">
      <c r="A16" s="176" t="s">
        <v>8400</v>
      </c>
      <c r="B16" s="316" t="s">
        <v>8401</v>
      </c>
      <c r="C16" s="215" t="s">
        <v>8402</v>
      </c>
      <c r="D16" s="394" t="s">
        <v>8403</v>
      </c>
      <c r="E16" s="176" t="s">
        <v>8404</v>
      </c>
      <c r="F16" s="318" t="str">
        <f>IFERROR(__xludf.DUMMYFUNCTION("GOOGLETRANSLATE(B16,""zh-tw"",""ja"")"),"見て、この男は雷に打たれたんだ！")</f>
        <v>見て、この男は雷に打たれたんだ！</v>
      </c>
      <c r="G16" s="215" t="s">
        <v>8405</v>
      </c>
      <c r="H16" s="394" t="s">
        <v>8406</v>
      </c>
      <c r="I16" s="176" t="s">
        <v>8407</v>
      </c>
      <c r="J16" s="316" t="s">
        <v>8408</v>
      </c>
      <c r="K16" s="215" t="s">
        <v>8409</v>
      </c>
      <c r="L16" s="394" t="s">
        <v>8410</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5" t="str">
        <f>IFERROR(__xludf.DUMMYFUNCTION("GOOGLETRANSLATE(C16,""zh-tw"",""RU"")"),"Полный паралич, неспособность двигаться!")</f>
        <v>Полный паралич, неспособность двигаться!</v>
      </c>
      <c r="AB16" s="397"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8"/>
      <c r="AP16" s="398"/>
    </row>
    <row r="17">
      <c r="A17" s="176" t="s">
        <v>8419</v>
      </c>
      <c r="B17" s="316" t="s">
        <v>8420</v>
      </c>
      <c r="C17" s="215" t="s">
        <v>8421</v>
      </c>
      <c r="D17" s="394" t="s">
        <v>8422</v>
      </c>
      <c r="E17" s="176" t="s">
        <v>8419</v>
      </c>
      <c r="F17" s="318" t="str">
        <f>IFERROR(__xludf.DUMMYFUNCTION("GOOGLETRANSLATE(B17,""zh-tw"",""ja"")"),"暑い！暑い！暑い！暑い！")</f>
        <v>暑い！暑い！暑い！暑い！</v>
      </c>
      <c r="G17" s="215" t="s">
        <v>8423</v>
      </c>
      <c r="H17" s="394" t="s">
        <v>8424</v>
      </c>
      <c r="I17" s="176" t="s">
        <v>8425</v>
      </c>
      <c r="J17" s="316" t="s">
        <v>8426</v>
      </c>
      <c r="K17" s="215" t="s">
        <v>8427</v>
      </c>
      <c r="L17" s="394" t="s">
        <v>8428</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397" t="str">
        <f>IFERROR(__xludf.DUMMYFUNCTION("GOOGLETRANSLATE(D17,""zh-tw"",""RU"")"),"Поражён огнём")</f>
        <v>Поражён огнём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8"/>
      <c r="AP17" s="398"/>
    </row>
    <row r="18">
      <c r="A18" s="176" t="s">
        <v>8437</v>
      </c>
      <c r="B18" s="316" t="s">
        <v>8438</v>
      </c>
      <c r="C18" s="215" t="s">
        <v>8439</v>
      </c>
      <c r="D18" s="394" t="s">
        <v>4879</v>
      </c>
      <c r="E18" s="176" t="s">
        <v>8440</v>
      </c>
      <c r="F18" s="318" t="str">
        <f>IFERROR(__xludf.DUMMYFUNCTION("GOOGLETRANSLATE(B18,""zh-tw"",""ja"")"),"アイスキャンディーにしちゃおう！")</f>
        <v>アイスキャンディーにしちゃおう！</v>
      </c>
      <c r="G18" s="215" t="s">
        <v>8441</v>
      </c>
      <c r="H18" s="394" t="s">
        <v>8442</v>
      </c>
      <c r="I18" s="176" t="s">
        <v>8443</v>
      </c>
      <c r="J18" s="316" t="s">
        <v>8444</v>
      </c>
      <c r="K18" s="215" t="s">
        <v>8445</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 막대처럼 얼려 보세요!")</f>
        <v>아이스크림 막대처럼 얼려 보세요!</v>
      </c>
      <c r="W18" s="304" t="str">
        <f>IFERROR(__xludf.DUMMYFUNCTION("GOOGLETRANSLATE(C18,""zh-tw"",""KO"")"),"완전히 꽁꽁 얼었어요!")</f>
        <v>완전히 꽁꽁 얼었어요!</v>
      </c>
      <c r="X18" s="142" t="str">
        <f>IFERROR(__xludf.DUMMYFUNCTION("GOOGLETRANSLATE(D18,""zh-tw"",""KO"")"),"냉동 슬라임")</f>
        <v>냉동 슬라임</v>
      </c>
      <c r="Y18" s="396" t="str">
        <f>IFERROR(__xludf.DUMMYFUNCTION("GOOGLETRANSLATE(A18,""zh-tw"",""RU"")"),"Лед")</f>
        <v>Лед</v>
      </c>
      <c r="Z18" s="318" t="str">
        <f>IFERROR(__xludf.DUMMYFUNCTION("GOOGLETRANSLATE(B18,""zh-tw"",""RU"")"),"Пусть превратится в леденец!")</f>
        <v>Пусть превратится в леденец!</v>
      </c>
      <c r="AA18" s="395" t="str">
        <f>IFERROR(__xludf.DUMMYFUNCTION("GOOGLETRANSLATE(C18,""zh-tw"",""RU"")"),"Оно замерзло намертво!")</f>
        <v>Оно замерзло намертво!</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IFERROR(__xludf.DUMMYFUNCTION("GOOGLETRANSLATE(B18,""zh-tw"",""DE"")"),"Lass es zu einem Eis am Stiel werden!")</f>
        <v>Lass es zu einem Eis am Stiel werden!</v>
      </c>
      <c r="AE18" s="395" t="str">
        <f>IFERROR(__xludf.DUMMYFUNCTION("GOOGLETRANSLATE(C18,""zh-tw"",""DE"")"),"Es ist komplett durchgefroren!")</f>
        <v>Es ist komplett durchgefroren!</v>
      </c>
      <c r="AF18" s="397"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8"/>
      <c r="AP18" s="398"/>
    </row>
    <row r="19">
      <c r="A19" s="176" t="s">
        <v>8452</v>
      </c>
      <c r="B19" s="316" t="s">
        <v>8453</v>
      </c>
      <c r="C19" s="215" t="s">
        <v>8454</v>
      </c>
      <c r="D19" s="394" t="s">
        <v>8455</v>
      </c>
      <c r="E19" s="176" t="s">
        <v>8456</v>
      </c>
      <c r="F19" s="318" t="str">
        <f>IFERROR(__xludf.DUMMYFUNCTION("GOOGLETRANSLATE(B19,""zh-tw"",""ja"")"),"ふふ、私に反抗するとこうなるのね～♡")</f>
        <v>ふふ、私に反抗するとこうなるのね～♡</v>
      </c>
      <c r="G19" s="215" t="s">
        <v>8457</v>
      </c>
      <c r="H19" s="397" t="str">
        <f>IFERROR(__xludf.DUMMYFUNCTION("GOOGLETRANSLATE(D19,""zh-tw"",""ja"")"),"ミステリーショップでは魚はもらえません。")</f>
        <v>ミステリーショップでは魚はもらえません。</v>
      </c>
      <c r="I19" s="176" t="s">
        <v>8458</v>
      </c>
      <c r="J19" s="316" t="s">
        <v>8459</v>
      </c>
      <c r="K19" s="215" t="s">
        <v>8460</v>
      </c>
      <c r="L19" s="394" t="s">
        <v>8461</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6"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5" t="str">
        <f>IFERROR(__xludf.DUMMYFUNCTION("GOOGLETRANSLATE(C19,""zh-tw"",""RU"")"),"Проклят странным маленьким дьяволом-ларектиром.")</f>
        <v>Проклят странным маленьким дьяволом-ларектиром.</v>
      </c>
      <c r="AB19" s="397" t="str">
        <f>IFERROR(__xludf.DUMMYFUNCTION("GOOGLETRANSLATE(D19,""zh-tw"",""RU"")"),"Тайный покупатель не продаёт рыбу.")</f>
        <v>Тайный покупатель не продаёт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8"/>
      <c r="AP19" s="398"/>
    </row>
    <row r="20">
      <c r="A20" s="176" t="s">
        <v>8470</v>
      </c>
      <c r="B20" s="316" t="s">
        <v>8471</v>
      </c>
      <c r="C20" s="215" t="s">
        <v>8472</v>
      </c>
      <c r="D20" s="394" t="s">
        <v>8473</v>
      </c>
      <c r="E20" s="176" t="s">
        <v>8474</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8475</v>
      </c>
      <c r="J20" s="316" t="s">
        <v>8476</v>
      </c>
      <c r="K20" s="215" t="s">
        <v>8477</v>
      </c>
      <c r="L20" s="394" t="s">
        <v>8478</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6"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IFERROR(__xludf.DUMMYFUNCTION("GOOGLETRANSLATE(C20,""zh-tw"",""RU"")"),"Агрессивное поведение запрещено")</f>
        <v>Агрессивное поведение запрещено</v>
      </c>
      <c r="AB20" s="397" t="str">
        <f>IFERROR(__xludf.DUMMYFUNCTION("GOOGLETRANSLATE(D20,""zh-tw"",""RU"")"),"Рядом с Тайным магазином")</f>
        <v>Рядом с Тайным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8"/>
      <c r="AP20" s="398"/>
    </row>
    <row r="21">
      <c r="A21" s="176" t="s">
        <v>8487</v>
      </c>
      <c r="B21" s="316" t="s">
        <v>8488</v>
      </c>
      <c r="C21" s="215" t="s">
        <v>8489</v>
      </c>
      <c r="D21" s="394" t="s">
        <v>8490</v>
      </c>
      <c r="E21" s="176" t="s">
        <v>8491</v>
      </c>
      <c r="F21" s="316" t="s">
        <v>8492</v>
      </c>
      <c r="G21" s="215" t="s">
        <v>8493</v>
      </c>
      <c r="H21" s="397" t="str">
        <f>IFERROR(__xludf.DUMMYFUNCTION("GOOGLETRANSLATE(D21,""zh-tw"",""ja"")"),"妹にいたずらをすると怒る")</f>
        <v>妹にいたずらをすると怒る</v>
      </c>
      <c r="I21" s="176" t="s">
        <v>8494</v>
      </c>
      <c r="J21" s="316" t="s">
        <v>8495</v>
      </c>
      <c r="K21" s="215" t="s">
        <v>8496</v>
      </c>
      <c r="L21" s="394" t="s">
        <v>8497</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6"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IFERROR(__xludf.DUMMYFUNCTION("GOOGLETRANSLATE(D21,""zh-tw"",""RU"")"),"Злюсь, когда разыгрываю младшую сестру.")</f>
        <v>Злюсь, когда разыгрываю младшую сестру.</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8"/>
      <c r="AP21" s="398"/>
    </row>
    <row r="22">
      <c r="A22" s="176" t="s">
        <v>8505</v>
      </c>
      <c r="B22" s="316" t="s">
        <v>8488</v>
      </c>
      <c r="C22" s="215" t="s">
        <v>8506</v>
      </c>
      <c r="D22" s="394" t="s">
        <v>8490</v>
      </c>
      <c r="E22" s="176" t="s">
        <v>8507</v>
      </c>
      <c r="F22" s="316" t="s">
        <v>8492</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8508</v>
      </c>
      <c r="J22" s="316" t="s">
        <v>8495</v>
      </c>
      <c r="K22" s="395" t="str">
        <f>IFERROR(__xludf.DUMMYFUNCTION("GOOGLETRANSLATE(C22,""zh-tw"",""en"")"),"Making meat dishes")</f>
        <v>Making meat dishes</v>
      </c>
      <c r="L22" s="394" t="s">
        <v>8497</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6"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5" t="str">
        <f>IFERROR(__xludf.DUMMYFUNCTION("GOOGLETRANSLATE(C22,""zh-tw"",""RU"")"),"Приготовление мясных блюд")</f>
        <v>Приготовление мясных блюд</v>
      </c>
      <c r="AB22" s="397" t="str">
        <f>IFERROR(__xludf.DUMMYFUNCTION("GOOGLETRANSLATE(D22,""zh-tw"",""RU"")"),"Злюсь, когда разыгрываю младшую сестру.")</f>
        <v>Злюсь, когда разыгрываю младшую сестру.</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8"/>
      <c r="AP22" s="398"/>
    </row>
    <row r="23">
      <c r="A23" s="176" t="s">
        <v>8514</v>
      </c>
      <c r="B23" s="316" t="s">
        <v>8515</v>
      </c>
      <c r="C23" s="215" t="s">
        <v>8516</v>
      </c>
      <c r="D23" s="394" t="s">
        <v>273</v>
      </c>
      <c r="E23" s="176" t="s">
        <v>336</v>
      </c>
      <c r="F23" s="318" t="str">
        <f>IFERROR(__xludf.DUMMYFUNCTION("GOOGLETRANSLATE(B23,""zh-tw"",""ja"")"),"...")</f>
        <v>...</v>
      </c>
      <c r="G23" s="215" t="s">
        <v>8517</v>
      </c>
      <c r="H23" s="394" t="s">
        <v>276</v>
      </c>
      <c r="I23" s="176" t="s">
        <v>8518</v>
      </c>
      <c r="J23" s="318" t="str">
        <f>IFERROR(__xludf.DUMMYFUNCTION("GOOGLETRANSLATE(B23,""zh-tw"",""en"")"),"...")</f>
        <v>...</v>
      </c>
      <c r="K23" s="215" t="s">
        <v>8519</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7" t="str">
        <f>IFERROR(__xludf.DUMMYFUNCTION("GOOGLETRANSLATE(D23,""zh-tw"",""RU"")"),"Варианты начала")</f>
        <v>Варианты начала</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8"/>
      <c r="AP23" s="398"/>
    </row>
    <row r="24">
      <c r="A24" s="176" t="s">
        <v>8525</v>
      </c>
      <c r="B24" s="316" t="s">
        <v>8526</v>
      </c>
      <c r="C24" s="215" t="s">
        <v>8527</v>
      </c>
      <c r="D24" s="394" t="s">
        <v>5667</v>
      </c>
      <c r="E24" s="176" t="s">
        <v>8528</v>
      </c>
      <c r="F24" s="316" t="s">
        <v>8529</v>
      </c>
      <c r="G24" s="395" t="str">
        <f>IFERROR(__xludf.DUMMYFUNCTION("GOOGLETRANSLATE(C24,""zh-tw"",""ja"")"),"彼の体は常に悪臭を放っていた")</f>
        <v>彼の体は常に悪臭を放っていた</v>
      </c>
      <c r="H24" s="394" t="s">
        <v>5669</v>
      </c>
      <c r="I24" s="176" t="s">
        <v>8530</v>
      </c>
      <c r="J24" s="316" t="s">
        <v>8531</v>
      </c>
      <c r="K24" s="215" t="s">
        <v>8532</v>
      </c>
      <c r="L24" s="394" t="s">
        <v>5670</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6"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5" t="str">
        <f>IFERROR(__xludf.DUMMYFUNCTION("GOOGLETRANSLATE(C24,""zh-tw"",""RU"")"),"От его тела постоянно исходил отвратительный смрад.")</f>
        <v>От его тела постоянно исходил отвратительный смрад.</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8"/>
      <c r="AP24" s="398"/>
    </row>
    <row r="25">
      <c r="A25" s="176" t="s">
        <v>8539</v>
      </c>
      <c r="B25" s="316" t="s">
        <v>8540</v>
      </c>
      <c r="C25" s="215" t="s">
        <v>8541</v>
      </c>
      <c r="D25" s="394" t="s">
        <v>8542</v>
      </c>
      <c r="E25" s="396"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8543</v>
      </c>
      <c r="J25" s="316" t="s">
        <v>8544</v>
      </c>
      <c r="K25" s="215" t="s">
        <v>8545</v>
      </c>
      <c r="L25" s="394" t="s">
        <v>8546</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6"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IFERROR(__xludf.DUMMYFUNCTION("GOOGLETRANSLATE(D25,""zh-tw"",""RU"")"),"Изысканная кухня")</f>
        <v>Изысканная кухня</v>
      </c>
      <c r="AC25" s="396"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8"/>
      <c r="AP25" s="398"/>
    </row>
    <row r="26">
      <c r="A26" s="176" t="s">
        <v>8555</v>
      </c>
      <c r="B26" s="316" t="s">
        <v>8556</v>
      </c>
      <c r="C26" s="215" t="s">
        <v>8557</v>
      </c>
      <c r="D26" s="394" t="s">
        <v>8558</v>
      </c>
      <c r="E26" s="176" t="s">
        <v>8559</v>
      </c>
      <c r="F26" s="316" t="s">
        <v>8560</v>
      </c>
      <c r="G26" s="395" t="str">
        <f>IFERROR(__xludf.DUMMYFUNCTION("GOOGLETRANSLATE(C26,""zh-tw"",""ja"")"),"攻撃力+50%")</f>
        <v>攻撃力+50%</v>
      </c>
      <c r="H26" s="397" t="str">
        <f>IFERROR(__xludf.DUMMYFUNCTION("GOOGLETRANSLATE(D26,""zh-tw"",""ja"")"),"食べ物")</f>
        <v>食べ物</v>
      </c>
      <c r="I26" s="176" t="s">
        <v>8561</v>
      </c>
      <c r="J26" s="316" t="s">
        <v>8562</v>
      </c>
      <c r="K26" s="215" t="s">
        <v>8563</v>
      </c>
      <c r="L26" s="394" t="s">
        <v>8564</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8"/>
      <c r="AP26" s="398"/>
    </row>
    <row r="27">
      <c r="A27" s="176" t="s">
        <v>8573</v>
      </c>
      <c r="B27" s="316" t="s">
        <v>8574</v>
      </c>
      <c r="C27" s="215" t="s">
        <v>8575</v>
      </c>
      <c r="D27" s="394" t="s">
        <v>8558</v>
      </c>
      <c r="E27" s="176" t="s">
        <v>8576</v>
      </c>
      <c r="F27" s="316" t="s">
        <v>8577</v>
      </c>
      <c r="G27" s="395" t="str">
        <f>IFERROR(__xludf.DUMMYFUNCTION("GOOGLETRANSLATE(C27,""zh-tw"",""ja"")"),"魔法力+50%")</f>
        <v>魔法力+50%</v>
      </c>
      <c r="H27" s="397" t="str">
        <f>IFERROR(__xludf.DUMMYFUNCTION("GOOGLETRANSLATE(D27,""zh-tw"",""ja"")"),"食べ物")</f>
        <v>食べ物</v>
      </c>
      <c r="I27" s="176" t="s">
        <v>8578</v>
      </c>
      <c r="J27" s="316" t="s">
        <v>8579</v>
      </c>
      <c r="K27" s="215" t="s">
        <v>8580</v>
      </c>
      <c r="L27" s="394" t="s">
        <v>8564</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6"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5" t="str">
        <f>IFERROR(__xludf.DUMMYFUNCTION("GOOGLETRANSLATE(C27,""zh-tw"",""RU"")"),"Сила магии +50%")</f>
        <v>Сила магии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8"/>
      <c r="AP27" s="398"/>
    </row>
    <row r="28">
      <c r="A28" s="176" t="s">
        <v>8587</v>
      </c>
      <c r="B28" s="316" t="s">
        <v>8588</v>
      </c>
      <c r="C28" s="215" t="s">
        <v>8589</v>
      </c>
      <c r="D28" s="394" t="s">
        <v>8558</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8590</v>
      </c>
      <c r="J28" s="316" t="s">
        <v>8591</v>
      </c>
      <c r="K28" s="215" t="s">
        <v>8592</v>
      </c>
      <c r="L28" s="394" t="s">
        <v>8564</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8"/>
      <c r="AP28" s="398"/>
    </row>
    <row r="29">
      <c r="A29" s="176" t="s">
        <v>8599</v>
      </c>
      <c r="B29" s="316" t="s">
        <v>8600</v>
      </c>
      <c r="C29" s="215" t="s">
        <v>8601</v>
      </c>
      <c r="D29" s="394" t="s">
        <v>8602</v>
      </c>
      <c r="E29" s="396" t="str">
        <f>IFERROR(__xludf.DUMMYFUNCTION("GOOGLETRANSLATE(A29,""zh-tw"",""ja"")"),"巨神兵")</f>
        <v>巨神兵</v>
      </c>
      <c r="F29" s="316" t="s">
        <v>8603</v>
      </c>
      <c r="G29" s="215" t="s">
        <v>8604</v>
      </c>
      <c r="H29" s="397" t="str">
        <f>IFERROR(__xludf.DUMMYFUNCTION("GOOGLETRANSLATE(D29,""zh-tw"",""ja"")"),"タロットカード")</f>
        <v>タロットカード</v>
      </c>
      <c r="I29" s="176" t="s">
        <v>8605</v>
      </c>
      <c r="J29" s="316" t="s">
        <v>8606</v>
      </c>
      <c r="K29" s="215" t="s">
        <v>8607</v>
      </c>
      <c r="L29" s="394" t="s">
        <v>8608</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6"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5"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8"/>
      <c r="AP29" s="398"/>
    </row>
    <row r="30">
      <c r="A30" s="176" t="s">
        <v>8617</v>
      </c>
      <c r="B30" s="316" t="s">
        <v>8618</v>
      </c>
      <c r="C30" s="215" t="s">
        <v>8619</v>
      </c>
      <c r="D30" s="394" t="s">
        <v>8602</v>
      </c>
      <c r="E30" s="176" t="s">
        <v>8620</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8621</v>
      </c>
      <c r="J30" s="316" t="s">
        <v>8622</v>
      </c>
      <c r="K30" s="395" t="str">
        <f>IFERROR(__xludf.DUMMYFUNCTION("GOOGLETRANSLATE(C30,""zh-tw"",""en"")"),"With the blessing of fate, it's easier to encounter happy things!")</f>
        <v>With the blessing of fate, it's easier to encounter happy things!</v>
      </c>
      <c r="L30" s="394" t="s">
        <v>8623</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6"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5"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8"/>
      <c r="AP30" s="398"/>
    </row>
    <row r="31">
      <c r="A31" s="176" t="s">
        <v>8632</v>
      </c>
      <c r="B31" s="316" t="s">
        <v>8633</v>
      </c>
      <c r="C31" s="215" t="s">
        <v>8634</v>
      </c>
      <c r="D31" s="394" t="s">
        <v>8602</v>
      </c>
      <c r="E31" s="176" t="s">
        <v>8635</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8636</v>
      </c>
      <c r="J31" s="316" t="s">
        <v>8637</v>
      </c>
      <c r="K31" s="395" t="str">
        <f>IFERROR(__xludf.DUMMYFUNCTION("GOOGLETRANSLATE(C31,""zh-tw"",""en"")"),"Being blessed by fate makes it easier to encounter difficult things!")</f>
        <v>Being blessed by fate makes it easier to encounter difficult things!</v>
      </c>
      <c r="L31" s="394" t="s">
        <v>8623</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6"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5"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8"/>
      <c r="AP31" s="398"/>
    </row>
    <row r="32">
      <c r="A32" s="176" t="s">
        <v>8644</v>
      </c>
      <c r="B32" s="316" t="s">
        <v>8645</v>
      </c>
      <c r="C32" s="215" t="s">
        <v>8646</v>
      </c>
      <c r="D32" s="394" t="s">
        <v>7194</v>
      </c>
      <c r="E32" s="176" t="s">
        <v>8647</v>
      </c>
      <c r="F32" s="316" t="s">
        <v>8648</v>
      </c>
      <c r="G32" s="215" t="s">
        <v>8649</v>
      </c>
      <c r="H32" s="394" t="s">
        <v>7196</v>
      </c>
      <c r="I32" s="176" t="s">
        <v>8650</v>
      </c>
      <c r="J32" s="316" t="s">
        <v>8651</v>
      </c>
      <c r="K32" s="215" t="s">
        <v>8652</v>
      </c>
      <c r="L32" s="394" t="s">
        <v>7198</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5"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8"/>
      <c r="AP32" s="398"/>
    </row>
    <row r="33">
      <c r="A33" s="176" t="s">
        <v>8659</v>
      </c>
      <c r="B33" s="316" t="s">
        <v>8660</v>
      </c>
      <c r="C33" s="215" t="s">
        <v>8661</v>
      </c>
      <c r="D33" s="394" t="s">
        <v>8662</v>
      </c>
      <c r="E33" s="176" t="s">
        <v>8663</v>
      </c>
      <c r="F33" s="316" t="s">
        <v>8664</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8665</v>
      </c>
      <c r="I33" s="176" t="s">
        <v>8666</v>
      </c>
      <c r="J33" s="316" t="s">
        <v>8667</v>
      </c>
      <c r="K33" s="215" t="s">
        <v>8668</v>
      </c>
      <c r="L33" s="394" t="s">
        <v>8669</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8"/>
      <c r="AP33" s="398"/>
    </row>
    <row r="34">
      <c r="A34" s="176" t="s">
        <v>8678</v>
      </c>
      <c r="B34" s="316" t="s">
        <v>8679</v>
      </c>
      <c r="C34" s="215" t="s">
        <v>8680</v>
      </c>
      <c r="D34" s="394" t="s">
        <v>6406</v>
      </c>
      <c r="E34" s="176" t="s">
        <v>8681</v>
      </c>
      <c r="F34" s="318" t="str">
        <f>IFERROR(__xludf.DUMMYFUNCTION("GOOGLETRANSLATE(B34,""zh-tw"",""ja"")"),"祝福を享受できますように")</f>
        <v>祝福を享受できますように</v>
      </c>
      <c r="G34" s="215" t="s">
        <v>8682</v>
      </c>
      <c r="H34" s="394" t="s">
        <v>6408</v>
      </c>
      <c r="I34" s="176" t="s">
        <v>8683</v>
      </c>
      <c r="J34" s="316" t="s">
        <v>8684</v>
      </c>
      <c r="K34" s="215" t="s">
        <v>8685</v>
      </c>
      <c r="L34" s="394" t="s">
        <v>6409</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IFERROR(__xludf.DUMMYFUNCTION("GOOGLETRANSLATE(D34,""zh-tw"",""RU"")"),"Незавершенный Святой Грааль")</f>
        <v>Незавершенный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9" t="s">
        <v>8693</v>
      </c>
      <c r="AO34" s="398"/>
      <c r="AP34" s="398"/>
    </row>
    <row r="35">
      <c r="A35" s="176" t="s">
        <v>8694</v>
      </c>
      <c r="B35" s="316" t="s">
        <v>816</v>
      </c>
      <c r="C35" s="215" t="s">
        <v>816</v>
      </c>
      <c r="D35" s="394" t="s">
        <v>8695</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5" t="str">
        <f>IFERROR(__xludf.DUMMYFUNCTION("GOOGLETRANSLATE(C35,""zh-tw"",""en"")"),"-")</f>
        <v>-</v>
      </c>
      <c r="L35" s="394" t="s">
        <v>8697</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8"/>
      <c r="AP35" s="398"/>
    </row>
    <row r="36">
      <c r="A36" s="176" t="s">
        <v>8702</v>
      </c>
      <c r="B36" s="316" t="s">
        <v>8703</v>
      </c>
      <c r="C36" s="215" t="s">
        <v>8704</v>
      </c>
      <c r="D36" s="394" t="s">
        <v>5844</v>
      </c>
      <c r="E36" s="176" t="s">
        <v>5846</v>
      </c>
      <c r="F36" s="316" t="s">
        <v>8705</v>
      </c>
      <c r="G36" s="395" t="str">
        <f>IFERROR(__xludf.DUMMYFUNCTION("GOOGLETRANSLATE(C36,""zh-tw"",""ja"")"),"全属性が上昇し、一時的に無敵になる。")</f>
        <v>全属性が上昇し、一時的に無敵になる。</v>
      </c>
      <c r="H36" s="394" t="s">
        <v>5846</v>
      </c>
      <c r="I36" s="176" t="s">
        <v>5848</v>
      </c>
      <c r="J36" s="316" t="s">
        <v>8706</v>
      </c>
      <c r="K36" s="215" t="s">
        <v>8707</v>
      </c>
      <c r="L36" s="394" t="s">
        <v>5848</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IFERROR(__xludf.DUMMYFUNCTION("GOOGLETRANSLATE(B36,""zh-tw"",""RU"")"),"Вы излучаете славу.")</f>
        <v>Вы излучаете славу.</v>
      </c>
      <c r="AA36" s="395" t="str">
        <f>IFERROR(__xludf.DUMMYFUNCTION("GOOGLETRANSLATE(C36,""zh-tw"",""RU"")"),"Все характеристики повысились, временная неуязвимость.")</f>
        <v>Все характеристики повысились, временная неуязвимость.</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8"/>
      <c r="AP36" s="398"/>
    </row>
    <row r="37">
      <c r="A37" s="176" t="s">
        <v>3348</v>
      </c>
      <c r="B37" s="316" t="s">
        <v>8713</v>
      </c>
      <c r="C37" s="215" t="s">
        <v>8714</v>
      </c>
      <c r="D37" s="394" t="s">
        <v>8715</v>
      </c>
      <c r="E37" s="176" t="s">
        <v>3351</v>
      </c>
      <c r="F37" s="316" t="s">
        <v>8716</v>
      </c>
      <c r="G37" s="395" t="str">
        <f>IFERROR(__xludf.DUMMYFUNCTION("GOOGLETRANSLATE(C37,""zh-tw"",""ja"")"),"スタミナを回復できない")</f>
        <v>スタミナを回復できない</v>
      </c>
      <c r="H37" s="394" t="s">
        <v>5255</v>
      </c>
      <c r="I37" s="176" t="s">
        <v>5257</v>
      </c>
      <c r="J37" s="316" t="s">
        <v>8717</v>
      </c>
      <c r="K37" s="215" t="s">
        <v>8718</v>
      </c>
      <c r="L37" s="394" t="s">
        <v>5257</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8"/>
      <c r="AP37" s="398"/>
    </row>
    <row r="38">
      <c r="A38" s="176" t="s">
        <v>8723</v>
      </c>
      <c r="B38" s="316" t="s">
        <v>816</v>
      </c>
      <c r="C38" s="215" t="s">
        <v>8724</v>
      </c>
      <c r="D38" s="394" t="s">
        <v>8725</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8726</v>
      </c>
      <c r="J38" s="318" t="str">
        <f>IFERROR(__xludf.DUMMYFUNCTION("GOOGLETRANSLATE(B38,""zh-tw"",""en"")"),"-")</f>
        <v>-</v>
      </c>
      <c r="K38" s="215" t="s">
        <v>8727</v>
      </c>
      <c r="L38" s="394" t="s">
        <v>8728</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8"/>
      <c r="AP38" s="398"/>
    </row>
    <row r="39">
      <c r="A39" s="176" t="s">
        <v>8735</v>
      </c>
      <c r="B39" s="316" t="s">
        <v>8736</v>
      </c>
      <c r="C39" s="215" t="s">
        <v>8737</v>
      </c>
      <c r="D39" s="394" t="s">
        <v>5335</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8738</v>
      </c>
      <c r="J39" s="316" t="s">
        <v>8739</v>
      </c>
      <c r="K39" s="215" t="s">
        <v>8740</v>
      </c>
      <c r="L39" s="394" t="s">
        <v>5338</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8"/>
      <c r="AP39" s="398"/>
    </row>
    <row r="40">
      <c r="A40" s="176" t="s">
        <v>8747</v>
      </c>
      <c r="B40" s="316" t="s">
        <v>8748</v>
      </c>
      <c r="C40" s="215" t="s">
        <v>8749</v>
      </c>
      <c r="D40" s="394" t="s">
        <v>6132</v>
      </c>
      <c r="E40" s="176" t="s">
        <v>8750</v>
      </c>
      <c r="F40" s="316" t="s">
        <v>8751</v>
      </c>
      <c r="G40" s="395" t="str">
        <f>IFERROR(__xludf.DUMMYFUNCTION("GOOGLETRANSLATE(C40,""zh-tw"",""ja"")"),"スタミナは自動的に回復します。")</f>
        <v>スタミナは自動的に回復します。</v>
      </c>
      <c r="H40" s="394" t="s">
        <v>8752</v>
      </c>
      <c r="I40" s="176" t="s">
        <v>8753</v>
      </c>
      <c r="J40" s="316" t="s">
        <v>8754</v>
      </c>
      <c r="K40" s="215" t="s">
        <v>8755</v>
      </c>
      <c r="L40" s="394" t="s">
        <v>8756</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8"/>
      <c r="AP40" s="398"/>
    </row>
    <row r="41">
      <c r="A41" s="176" t="s">
        <v>8765</v>
      </c>
      <c r="B41" s="316" t="s">
        <v>8766</v>
      </c>
      <c r="C41" s="215" t="s">
        <v>8767</v>
      </c>
      <c r="D41" s="394" t="s">
        <v>8768</v>
      </c>
      <c r="E41" s="176" t="s">
        <v>8769</v>
      </c>
      <c r="F41" s="316" t="s">
        <v>8770</v>
      </c>
      <c r="G41" s="215" t="s">
        <v>8771</v>
      </c>
      <c r="H41" s="394" t="s">
        <v>8772</v>
      </c>
      <c r="I41" s="176" t="s">
        <v>8773</v>
      </c>
      <c r="J41" s="316" t="s">
        <v>8774</v>
      </c>
      <c r="K41" s="215" t="s">
        <v>8775</v>
      </c>
      <c r="L41" s="394" t="s">
        <v>8776</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IFERROR(__xludf.DUMMYFUNCTION("GOOGLETRANSLATE(D41,""zh-tw"",""KO"")"),"독성이 있는 음식")</f>
        <v>독성이 있는 음식</v>
      </c>
      <c r="Y41" s="396" t="str">
        <f>IFERROR(__xludf.DUMMYFUNCTION("GOOGLETRANSLATE(A41,""zh-tw"",""RU"")"),"Буль-буль")</f>
        <v>Буль-буль</v>
      </c>
      <c r="Z41" s="318" t="str">
        <f>IFERROR(__xludf.DUMMYFUNCTION("GOOGLETRANSLATE(B41,""zh-tw"",""RU"")"),"У меня заболел живот...")</f>
        <v>У меня заболел живот...</v>
      </c>
      <c r="AA41" s="395" t="str">
        <f>IFERROR(__xludf.DUMMYFUNCTION("GOOGLETRANSLATE(C41,""zh-tw"",""RU"")"),"У меня не проходит боль в животе!")</f>
        <v>У меня не проходит боль в животе!</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8"/>
      <c r="AP41" s="398"/>
    </row>
    <row r="42">
      <c r="A42" s="176" t="s">
        <v>8784</v>
      </c>
      <c r="B42" s="316" t="s">
        <v>8785</v>
      </c>
      <c r="C42" s="215" t="s">
        <v>8786</v>
      </c>
      <c r="D42" s="394" t="s">
        <v>8787</v>
      </c>
      <c r="E42" s="176" t="s">
        <v>8788</v>
      </c>
      <c r="F42" s="316" t="s">
        <v>8789</v>
      </c>
      <c r="G42" s="215" t="s">
        <v>8790</v>
      </c>
      <c r="H42" s="394" t="s">
        <v>8791</v>
      </c>
      <c r="I42" s="176" t="s">
        <v>8792</v>
      </c>
      <c r="J42" s="316" t="s">
        <v>8793</v>
      </c>
      <c r="K42" s="215" t="s">
        <v>8794</v>
      </c>
      <c r="L42" s="394" t="s">
        <v>8795</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6"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5"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8"/>
      <c r="AP42" s="398"/>
    </row>
    <row r="43">
      <c r="A43" s="176" t="s">
        <v>8803</v>
      </c>
      <c r="B43" s="316" t="s">
        <v>8804</v>
      </c>
      <c r="C43" s="215" t="s">
        <v>8805</v>
      </c>
      <c r="D43" s="394" t="s">
        <v>8806</v>
      </c>
      <c r="E43" s="176" t="s">
        <v>8807</v>
      </c>
      <c r="F43" s="316" t="s">
        <v>8808</v>
      </c>
      <c r="G43" s="215" t="s">
        <v>8809</v>
      </c>
      <c r="H43" s="394" t="s">
        <v>8810</v>
      </c>
      <c r="I43" s="176" t="s">
        <v>8811</v>
      </c>
      <c r="J43" s="316" t="s">
        <v>8812</v>
      </c>
      <c r="K43" s="215" t="s">
        <v>8813</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6" t="str">
        <f>IFERROR(__xludf.DUMMYFUNCTION("GOOGLETRANSLATE(A43,""zh-tw"",""RU"")"),"Уходите домой пораньше.")</f>
        <v>Уходите домой пораньше.</v>
      </c>
      <c r="Z43" s="318" t="str">
        <f>IFERROR(__xludf.DUMMYFUNCTION("GOOGLETRANSLATE(B43,""zh-tw"",""RU"")"),"Так жарко...")</f>
        <v>Так жарко...</v>
      </c>
      <c r="AA43" s="395" t="str">
        <f>IFERROR(__xludf.DUMMYFUNCTION("GOOGLETRANSLATE(C43,""zh-tw"",""RU"")"),"Я чувствую слабость по всему телу из-за жары...")</f>
        <v>Я чувствую слабость по всему телу из-за жары...</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8814</v>
      </c>
      <c r="AI43" s="214" t="s">
        <v>8815</v>
      </c>
      <c r="AJ43" s="400"/>
      <c r="AK43" s="107" t="s">
        <v>2386</v>
      </c>
      <c r="AL43" s="47" t="s">
        <v>8816</v>
      </c>
      <c r="AM43" s="305" t="s">
        <v>8817</v>
      </c>
      <c r="AN43" s="400"/>
      <c r="AO43" s="398"/>
      <c r="AP43" s="398"/>
    </row>
    <row r="44">
      <c r="A44" s="176" t="s">
        <v>8818</v>
      </c>
      <c r="B44" s="316" t="s">
        <v>8819</v>
      </c>
      <c r="C44" s="215" t="s">
        <v>8820</v>
      </c>
      <c r="D44" s="394" t="s">
        <v>8821</v>
      </c>
      <c r="E44" s="176" t="s">
        <v>8822</v>
      </c>
      <c r="F44" s="316" t="s">
        <v>8823</v>
      </c>
      <c r="G44" s="215" t="s">
        <v>8824</v>
      </c>
      <c r="H44" s="394" t="s">
        <v>8825</v>
      </c>
      <c r="I44" s="176" t="s">
        <v>8826</v>
      </c>
      <c r="J44" s="316" t="s">
        <v>8827</v>
      </c>
      <c r="K44" s="215" t="s">
        <v>8828</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8829</v>
      </c>
      <c r="AH44" s="137" t="s">
        <v>8830</v>
      </c>
      <c r="AI44" s="214" t="s">
        <v>8831</v>
      </c>
      <c r="AJ44" s="400"/>
      <c r="AK44" s="107" t="s">
        <v>8826</v>
      </c>
      <c r="AL44" s="47" t="s">
        <v>8832</v>
      </c>
      <c r="AM44" s="305" t="s">
        <v>8833</v>
      </c>
      <c r="AN44" s="400"/>
      <c r="AO44" s="398"/>
      <c r="AP44" s="398"/>
    </row>
    <row r="45">
      <c r="A45" s="176" t="s">
        <v>8834</v>
      </c>
      <c r="B45" s="316" t="s">
        <v>8835</v>
      </c>
      <c r="C45" s="215" t="s">
        <v>816</v>
      </c>
      <c r="D45" s="394" t="s">
        <v>6794</v>
      </c>
      <c r="E45" s="176" t="s">
        <v>8836</v>
      </c>
      <c r="F45" s="316" t="s">
        <v>8837</v>
      </c>
      <c r="G45" s="215" t="s">
        <v>816</v>
      </c>
      <c r="H45" s="394" t="s">
        <v>8838</v>
      </c>
      <c r="I45" s="176" t="s">
        <v>6798</v>
      </c>
      <c r="J45" s="316" t="s">
        <v>8839</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IFERROR(__xludf.DUMMYFUNCTION("GOOGLETRANSLATE(A45,""zh-tw"",""es-MX"")"),"Héroes del mundo")</f>
        <v>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6"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IFERROR(__xludf.DUMMYFUNCTION("GOOGLETRANSLATE(A45,""zh-tw"",""DE"")"),"Helden der Welt")</f>
        <v>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8840</v>
      </c>
      <c r="AH45" s="137" t="s">
        <v>8841</v>
      </c>
      <c r="AI45" s="401"/>
      <c r="AJ45" s="400"/>
      <c r="AK45" s="107" t="s">
        <v>6798</v>
      </c>
      <c r="AL45" s="47" t="s">
        <v>8839</v>
      </c>
      <c r="AM45" s="401"/>
      <c r="AN45" s="400"/>
      <c r="AO45" s="398"/>
      <c r="AP45" s="398"/>
    </row>
    <row r="46">
      <c r="A46" s="176" t="s">
        <v>8842</v>
      </c>
      <c r="B46" s="316" t="s">
        <v>8843</v>
      </c>
      <c r="C46" s="215" t="s">
        <v>8844</v>
      </c>
      <c r="D46" s="394" t="s">
        <v>6723</v>
      </c>
      <c r="E46" s="176" t="s">
        <v>8845</v>
      </c>
      <c r="F46" s="316" t="s">
        <v>8846</v>
      </c>
      <c r="G46" s="215" t="s">
        <v>8847</v>
      </c>
      <c r="H46" s="397" t="str">
        <f>IFERROR(__xludf.DUMMYFUNCTION("GOOGLETRANSLATE(D46,""zh-tw"",""ja"")"),"貪欲な貯金箱")</f>
        <v>貪欲な貯金箱</v>
      </c>
      <c r="I46" s="176" t="s">
        <v>8848</v>
      </c>
      <c r="J46" s="316" t="s">
        <v>8849</v>
      </c>
      <c r="K46" s="215" t="s">
        <v>8850</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IFERROR(__xludf.DUMMYFUNCTION("GOOGLETRANSLATE(C46,""zh-tw"",""es-MX"")"),"Las monedas de oro se dejan caer con fuerza cuando uno se lesiona.")</f>
        <v>Las monedas de oro se dejan caer con fuerza cuando uno se lesiona.</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IFERROR(__xludf.DUMMYFUNCTION("GOOGLETRANSLATE(C46,""zh-tw"",""KO"")"),"부상을 입으면 금화가 강제로 떨어집니다.")</f>
        <v>부상을 입으면 금화가 강제로 떨어집니다.</v>
      </c>
      <c r="X46" s="142" t="str">
        <f>IFERROR(__xludf.DUMMYFUNCTION("GOOGLETRANSLATE(D46,""zh-tw"",""KO"")"),"욕심쟁이 돼지 저금통")</f>
        <v>욕심쟁이 돼지 저금통</v>
      </c>
      <c r="Y46" s="396"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5" t="str">
        <f>IFERROR(__xludf.DUMMYFUNCTION("GOOGLETRANSLATE(C46,""zh-tw"",""RU"")"),"При получении травмы золотые монеты с силой роняют.")</f>
        <v>При получении травмы золотые монеты с силой роняют.</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189" t="s">
        <v>8851</v>
      </c>
      <c r="AH46" s="137" t="s">
        <v>8852</v>
      </c>
      <c r="AI46" s="214" t="s">
        <v>8853</v>
      </c>
      <c r="AJ46" s="402"/>
      <c r="AK46" s="139" t="s">
        <v>8854</v>
      </c>
      <c r="AL46" s="143" t="s">
        <v>8855</v>
      </c>
      <c r="AM46" s="304" t="s">
        <v>8856</v>
      </c>
      <c r="AN46" s="402"/>
      <c r="AO46" s="201"/>
      <c r="AP46" s="201"/>
    </row>
    <row r="47">
      <c r="A47" s="176" t="s">
        <v>8857</v>
      </c>
      <c r="B47" s="316" t="s">
        <v>8858</v>
      </c>
      <c r="C47" s="215" t="s">
        <v>8859</v>
      </c>
      <c r="D47" s="394" t="s">
        <v>6626</v>
      </c>
      <c r="E47" s="176" t="s">
        <v>8860</v>
      </c>
      <c r="F47" s="316" t="s">
        <v>8861</v>
      </c>
      <c r="G47" s="215" t="s">
        <v>8862</v>
      </c>
      <c r="H47" s="397" t="str">
        <f>IFERROR(__xludf.DUMMYFUNCTION("GOOGLETRANSLATE(D47,""zh-tw"",""ja"")"),"夜霧の幻影")</f>
        <v>夜霧の幻影</v>
      </c>
      <c r="I47" s="176" t="s">
        <v>8863</v>
      </c>
      <c r="J47" s="316" t="s">
        <v>8864</v>
      </c>
      <c r="K47" s="215" t="s">
        <v>8865</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6"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5"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7" t="str">
        <f>IFERROR(__xludf.DUMMYFUNCTION("GOOGLETRANSLATE(D47,""zh-tw"",""RU"")"),"Ночной туман Фантом")</f>
        <v>Ночной туман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8866</v>
      </c>
      <c r="AH47" s="137" t="s">
        <v>8867</v>
      </c>
      <c r="AI47" s="214" t="s">
        <v>8868</v>
      </c>
      <c r="AJ47" s="142"/>
      <c r="AK47" s="139" t="s">
        <v>8869</v>
      </c>
      <c r="AL47" s="143" t="s">
        <v>8870</v>
      </c>
      <c r="AM47" s="304" t="s">
        <v>8871</v>
      </c>
      <c r="AN47" s="402"/>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6"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5" t="str">
        <f>IFERROR(__xludf.DUMMYFUNCTION("GOOGLETRANSLATE(C48,""zh-tw"",""RU"")"),"За вами внимательно наблюдает группа мелких существ.")</f>
        <v>За вами внимательно наблюдает группа мелких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8887</v>
      </c>
      <c r="AE48" s="304" t="s">
        <v>8888</v>
      </c>
      <c r="AF48" s="142" t="s">
        <v>8889</v>
      </c>
      <c r="AG48" s="396" t="str">
        <f>IFERROR(__xludf.DUMMYFUNCTION("GOOGLETRANSLATE(A48,""zh-tw"",""VI"")"),"Tôi luôn có cảm giác như có thứ gì đó đang theo dõi mình.")</f>
        <v>Tôi luôn có cảm giác như có thứ gì đó đang theo dõi mình.</v>
      </c>
      <c r="AH48" s="145" t="s">
        <v>8890</v>
      </c>
      <c r="AI48" s="403" t="s">
        <v>8891</v>
      </c>
      <c r="AJ48" s="131" t="s">
        <v>8892</v>
      </c>
      <c r="AK48" s="139" t="s">
        <v>8893</v>
      </c>
      <c r="AL48" s="143" t="s">
        <v>8894</v>
      </c>
      <c r="AM48" s="304" t="s">
        <v>8895</v>
      </c>
      <c r="AN48" s="142" t="s">
        <v>8896</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8898</v>
      </c>
      <c r="G1" s="415" t="s">
        <v>8899</v>
      </c>
      <c r="H1" s="416"/>
      <c r="I1" s="416"/>
      <c r="J1" s="416"/>
      <c r="K1" s="416"/>
      <c r="L1" s="416"/>
      <c r="M1" s="416"/>
      <c r="N1" s="416"/>
      <c r="O1" s="416"/>
      <c r="P1" s="416"/>
      <c r="Q1" s="416"/>
      <c r="R1" s="416"/>
    </row>
    <row r="2">
      <c r="A2" s="417"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8901</v>
      </c>
      <c r="F2" s="190" t="s">
        <v>8902</v>
      </c>
      <c r="G2" s="420" t="s">
        <v>8903</v>
      </c>
      <c r="H2" s="153"/>
      <c r="I2" s="153"/>
      <c r="J2" s="153"/>
      <c r="K2" s="153"/>
      <c r="L2" s="153"/>
      <c r="M2" s="153"/>
      <c r="N2" s="153"/>
      <c r="O2" s="153"/>
      <c r="P2" s="153"/>
      <c r="Q2" s="153"/>
      <c r="R2" s="153"/>
    </row>
    <row r="3">
      <c r="A3" s="417"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8905</v>
      </c>
      <c r="F3" s="190" t="s">
        <v>8906</v>
      </c>
      <c r="G3" s="421" t="s">
        <v>8907</v>
      </c>
      <c r="H3" s="153"/>
      <c r="I3" s="153"/>
      <c r="J3" s="153"/>
      <c r="K3" s="153"/>
      <c r="L3" s="153"/>
      <c r="M3" s="153"/>
      <c r="N3" s="153"/>
      <c r="O3" s="153"/>
      <c r="P3" s="153"/>
      <c r="Q3" s="153"/>
      <c r="R3" s="153"/>
    </row>
    <row r="4">
      <c r="A4" s="417" t="s">
        <v>8908</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8909</v>
      </c>
      <c r="F4" s="190" t="s">
        <v>8910</v>
      </c>
      <c r="G4" s="420" t="s">
        <v>8911</v>
      </c>
      <c r="H4" s="153"/>
      <c r="I4" s="153"/>
      <c r="J4" s="153"/>
      <c r="K4" s="153"/>
      <c r="L4" s="153"/>
      <c r="M4" s="153"/>
      <c r="N4" s="153"/>
      <c r="O4" s="153"/>
      <c r="P4" s="153"/>
      <c r="Q4" s="153"/>
      <c r="R4" s="153"/>
    </row>
    <row r="5">
      <c r="A5" s="417"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8913</v>
      </c>
      <c r="F5" s="190" t="s">
        <v>8914</v>
      </c>
      <c r="G5" s="421" t="s">
        <v>8915</v>
      </c>
      <c r="H5" s="153"/>
      <c r="I5" s="153"/>
      <c r="J5" s="153"/>
      <c r="K5" s="153"/>
      <c r="L5" s="153"/>
      <c r="M5" s="153"/>
      <c r="N5" s="153"/>
      <c r="O5" s="153"/>
      <c r="P5" s="153"/>
      <c r="Q5" s="153"/>
      <c r="R5" s="153"/>
    </row>
    <row r="6">
      <c r="A6" s="422" t="s">
        <v>8916</v>
      </c>
      <c r="B6" s="423" t="s">
        <v>8917</v>
      </c>
      <c r="C6" s="424" t="s">
        <v>8918</v>
      </c>
      <c r="D6" s="425" t="s">
        <v>8919</v>
      </c>
      <c r="E6" s="426" t="s">
        <v>8920</v>
      </c>
      <c r="F6" s="427" t="s">
        <v>8921</v>
      </c>
      <c r="G6" s="428" t="s">
        <v>8922</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8923</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8924</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8925</v>
      </c>
      <c r="B3" s="45" t="s">
        <v>8925</v>
      </c>
      <c r="C3" s="436" t="s">
        <v>8925</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8926</v>
      </c>
      <c r="B5" s="45" t="str">
        <f>IFERROR(__xludf.DUMMYFUNCTION("GOOGLETRANSLATE(A5,""zh-tw"",""ja"")"),"公式YouTubeチャンネル")</f>
        <v>公式YouTubeチャンネル</v>
      </c>
      <c r="C5" s="436" t="str">
        <f>IFERROR(__xludf.DUMMYFUNCTION("GOOGLETRANSLATE(A5,""zh-tw"",""en"")"),"Official YouTube channel")</f>
        <v>Official YouTube channel</v>
      </c>
      <c r="D5" s="156" t="s">
        <v>8927</v>
      </c>
      <c r="E5" s="434"/>
      <c r="F5" s="434"/>
      <c r="G5" s="434"/>
      <c r="H5" s="434"/>
      <c r="I5" s="434"/>
      <c r="J5" s="434"/>
      <c r="K5" s="434"/>
      <c r="L5" s="434"/>
      <c r="M5" s="434"/>
      <c r="N5" s="434"/>
      <c r="O5" s="434"/>
      <c r="P5" s="434"/>
      <c r="Q5" s="434"/>
      <c r="R5" s="434"/>
      <c r="S5" s="434"/>
      <c r="T5" s="434"/>
      <c r="U5" s="434"/>
      <c r="V5" s="434"/>
      <c r="W5" s="434"/>
      <c r="X5" s="434"/>
      <c r="Y5" s="434"/>
      <c r="Z5" s="434"/>
    </row>
    <row r="6">
      <c r="A6" s="435" t="s">
        <v>8928</v>
      </c>
      <c r="B6" s="45" t="str">
        <f>IFERROR(__xludf.DUMMYFUNCTION("GOOGLETRANSLATE(A6,""zh-tw"",""ja"")"),"公式法案")</f>
        <v>公式法案</v>
      </c>
      <c r="C6" s="436" t="str">
        <f>IFERROR(__xludf.DUMMYFUNCTION("GOOGLETRANSLATE(A6,""zh-tw"",""en"")"),"Official bill")</f>
        <v>Official bill</v>
      </c>
      <c r="D6" s="156" t="s">
        <v>8927</v>
      </c>
      <c r="E6" s="434"/>
      <c r="F6" s="434"/>
      <c r="G6" s="434"/>
      <c r="H6" s="434"/>
      <c r="I6" s="434"/>
      <c r="J6" s="434"/>
      <c r="K6" s="434"/>
      <c r="L6" s="434"/>
      <c r="M6" s="434"/>
      <c r="N6" s="434"/>
      <c r="O6" s="434"/>
      <c r="P6" s="434"/>
      <c r="Q6" s="434"/>
      <c r="R6" s="434"/>
      <c r="S6" s="434"/>
      <c r="T6" s="434"/>
      <c r="U6" s="434"/>
      <c r="V6" s="434"/>
      <c r="W6" s="434"/>
      <c r="X6" s="434"/>
      <c r="Y6" s="434"/>
      <c r="Z6" s="434"/>
    </row>
    <row r="7">
      <c r="A7" s="435" t="s">
        <v>8929</v>
      </c>
      <c r="B7" s="45" t="str">
        <f>IFERROR(__xludf.DUMMYFUNCTION("GOOGLETRANSLATE(A7,""zh-tw"",""ja"")"),"片桐亜希のYouTubeチャンネル
（妹の声優）")</f>
        <v>片桐亜希のYouTubeチャンネル
（妹の声優）</v>
      </c>
      <c r="C7" s="436" t="str">
        <f>IFERROR(__xludf.DUMMYFUNCTION("GOOGLETRANSLATE(A7,""zh-tw"",""en"")"),"Aki Katagiri's YouTube channel
(Voice actress for her younger sister)")</f>
        <v>Aki Katagiri's YouTube channel
(Voice actress for her younger sister)</v>
      </c>
      <c r="D7" s="156" t="s">
        <v>8930</v>
      </c>
      <c r="E7" s="434"/>
      <c r="F7" s="434"/>
      <c r="G7" s="434"/>
      <c r="H7" s="434"/>
      <c r="I7" s="434"/>
      <c r="J7" s="434"/>
      <c r="K7" s="434"/>
      <c r="L7" s="434"/>
      <c r="M7" s="434"/>
      <c r="N7" s="434"/>
      <c r="O7" s="434"/>
      <c r="P7" s="434"/>
      <c r="Q7" s="434"/>
      <c r="R7" s="434"/>
      <c r="S7" s="434"/>
      <c r="T7" s="434"/>
      <c r="U7" s="434"/>
      <c r="V7" s="434"/>
      <c r="W7" s="434"/>
      <c r="X7" s="434"/>
      <c r="Y7" s="434"/>
      <c r="Z7" s="434"/>
    </row>
    <row r="8">
      <c r="A8" s="435" t="s">
        <v>8931</v>
      </c>
      <c r="B8" s="45" t="str">
        <f>IFERROR(__xludf.DUMMYFUNCTION("GOOGLETRANSLATE(A8,""zh-tw"",""ja"")"),"片桐亜樹（ビルビルチャンネル）
（妹役の声優）")</f>
        <v>片桐亜樹（ビルビルチャンネル）
（妹役の声優）</v>
      </c>
      <c r="C8" s="436" t="str">
        <f>IFERROR(__xludf.DUMMYFUNCTION("GOOGLETRANSLATE(A8,""zh-tw"",""en"")"),"Aki Katagiri (bilbill channel)
(Voice actress for the younger sister)")</f>
        <v>Aki Katagiri (bilbill channel)
(Voice actress for the younger sister)</v>
      </c>
      <c r="D8" s="156" t="s">
        <v>8930</v>
      </c>
      <c r="E8" s="434"/>
      <c r="F8" s="434"/>
      <c r="G8" s="434"/>
      <c r="H8" s="434"/>
      <c r="I8" s="434"/>
      <c r="J8" s="434"/>
      <c r="K8" s="434"/>
      <c r="L8" s="434"/>
      <c r="M8" s="434"/>
      <c r="N8" s="434"/>
      <c r="O8" s="434"/>
      <c r="P8" s="434"/>
      <c r="Q8" s="434"/>
      <c r="R8" s="434"/>
      <c r="S8" s="434"/>
      <c r="T8" s="434"/>
      <c r="U8" s="434"/>
      <c r="V8" s="434"/>
      <c r="W8" s="434"/>
      <c r="X8" s="434"/>
      <c r="Y8" s="434"/>
      <c r="Z8" s="434"/>
    </row>
    <row r="9">
      <c r="A9" s="435"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8934</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8935</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1" t="s">
        <v>8938</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8939</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8940</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8941</v>
      </c>
      <c r="J1" s="414" t="s">
        <v>8942</v>
      </c>
      <c r="K1" s="138" t="s">
        <v>8943</v>
      </c>
      <c r="L1" s="138" t="s">
        <v>8944</v>
      </c>
      <c r="M1" s="447" t="s">
        <v>8945</v>
      </c>
      <c r="N1" s="447" t="s">
        <v>8946</v>
      </c>
      <c r="O1" s="416"/>
      <c r="P1" s="416"/>
      <c r="Q1" s="416"/>
      <c r="R1" s="416"/>
      <c r="S1" s="416"/>
      <c r="T1" s="416"/>
      <c r="U1" s="416"/>
      <c r="V1" s="416"/>
      <c r="W1" s="416"/>
    </row>
    <row r="2">
      <c r="A2" s="417" t="s">
        <v>8947</v>
      </c>
      <c r="B2" s="417"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8950</v>
      </c>
      <c r="F2" s="211" t="str">
        <f>IFERROR(__xludf.DUMMYFUNCTION("GOOGLETRANSLATE(B2,""zh-tw"",""en"")"),"1 - Search for ""NVIDIA APP install"" on Google and launch the NVIDIA application.")</f>
        <v>1 - Search for "NVIDIA APP install" on Google and launch the NVIDIA application.</v>
      </c>
      <c r="G2" s="449" t="s">
        <v>8951</v>
      </c>
      <c r="H2" s="418" t="str">
        <f>IFERROR(__xludf.DUMMYFUNCTION("GOOGLETRANSLATE(B2,""zh-tw"",""zh"")"),"1 - 在google上搜寻 NVIDIA APP安装，并启动 NVIDIA 应用程式。")</f>
        <v>1 - 在google上搜寻 NVIDIA APP安装，并启动 NVIDIA 应用程式。</v>
      </c>
      <c r="I2" s="419" t="s">
        <v>8952</v>
      </c>
      <c r="J2" s="419" t="s">
        <v>8953</v>
      </c>
      <c r="K2" s="190" t="s">
        <v>8954</v>
      </c>
      <c r="L2" s="190" t="s">
        <v>8955</v>
      </c>
      <c r="M2" s="450" t="s">
        <v>8956</v>
      </c>
      <c r="N2" s="450" t="s">
        <v>8957</v>
      </c>
      <c r="O2" s="153"/>
      <c r="P2" s="153"/>
      <c r="Q2" s="153"/>
      <c r="R2" s="153"/>
      <c r="S2" s="153"/>
      <c r="T2" s="153"/>
      <c r="U2" s="153"/>
      <c r="V2" s="153"/>
      <c r="W2" s="153"/>
    </row>
    <row r="3">
      <c r="A3" s="417" t="s">
        <v>8958</v>
      </c>
      <c r="B3" s="417"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8961</v>
      </c>
      <c r="F3" s="211" t="str">
        <f>IFERROR(__xludf.DUMMYFUNCTION("GOOGLETRANSLATE(B3,""zh-tw"",""en"")"),"2 - Restart the NVIDIA application after updating to the latest version.")</f>
        <v>2 - Restart the NVIDIA application after updating to the latest version.</v>
      </c>
      <c r="G3" s="449" t="s">
        <v>8962</v>
      </c>
      <c r="H3" s="418" t="str">
        <f>IFERROR(__xludf.DUMMYFUNCTION("GOOGLETRANSLATE(B3,""zh-tw"",""zh"")"),"2 - 在更新至最新版本后重新启动 NVIDIA 应用程式。")</f>
        <v>2 - 在更新至最新版本后重新启动 NVIDIA 应用程式。</v>
      </c>
      <c r="I3" s="419" t="s">
        <v>8963</v>
      </c>
      <c r="J3" s="419" t="s">
        <v>8964</v>
      </c>
      <c r="K3" s="190" t="s">
        <v>8965</v>
      </c>
      <c r="L3" s="190" t="s">
        <v>8966</v>
      </c>
      <c r="M3" s="450" t="s">
        <v>8967</v>
      </c>
      <c r="N3" s="450" t="s">
        <v>8968</v>
      </c>
      <c r="O3" s="153"/>
      <c r="P3" s="153"/>
      <c r="Q3" s="153"/>
      <c r="R3" s="153"/>
      <c r="S3" s="153"/>
      <c r="T3" s="153"/>
      <c r="U3" s="153"/>
      <c r="V3" s="153"/>
      <c r="W3" s="153"/>
    </row>
    <row r="4">
      <c r="A4" s="417" t="s">
        <v>8969</v>
      </c>
      <c r="B4" s="417"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8" t="s">
        <v>8972</v>
      </c>
      <c r="F4" s="211" t="str">
        <f>IFERROR(__xludf.DUMMYFUNCTION("GOOGLETRANSLATE(B4,""zh-tw"",""en"")"),"3 - In the NVIDIA application, go to the graphics settings area.")</f>
        <v>3 - In the NVIDIA application, go to the graphics settings area.</v>
      </c>
      <c r="G4" s="449" t="s">
        <v>8973</v>
      </c>
      <c r="H4" s="418" t="str">
        <f>IFERROR(__xludf.DUMMYFUNCTION("GOOGLETRANSLATE(B4,""zh-tw"",""zh"")"),"3 - 在NVIDIA应用程式中，进入图形设置区域。")</f>
        <v>3 - 在NVIDIA应用程式中，进入图形设置区域。</v>
      </c>
      <c r="I4" s="419" t="s">
        <v>8974</v>
      </c>
      <c r="J4" s="419" t="s">
        <v>8975</v>
      </c>
      <c r="K4" s="190" t="s">
        <v>8976</v>
      </c>
      <c r="L4" s="190" t="s">
        <v>8977</v>
      </c>
      <c r="M4" s="450" t="s">
        <v>8978</v>
      </c>
      <c r="N4" s="450" t="s">
        <v>8979</v>
      </c>
      <c r="O4" s="153"/>
      <c r="P4" s="153"/>
      <c r="Q4" s="153"/>
      <c r="R4" s="153"/>
      <c r="S4" s="153"/>
      <c r="T4" s="153"/>
      <c r="U4" s="153"/>
      <c r="V4" s="153"/>
      <c r="W4" s="153"/>
    </row>
    <row r="5">
      <c r="A5" s="417" t="s">
        <v>8980</v>
      </c>
      <c r="B5" s="417"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8984</v>
      </c>
      <c r="H5" s="418" t="str">
        <f>IFERROR(__xludf.DUMMYFUNCTION("GOOGLETRANSLATE(B5,""zh-tw"",""zh"")"),"4 - 在「程式设定」中点击三个点，选择「新增程式」，然后寻找游戏的执行档。")</f>
        <v>4 - 在「程式设定」中点击三个点，选择「新增程式」，然后寻找游戏的执行档。</v>
      </c>
      <c r="I5" s="419" t="s">
        <v>8985</v>
      </c>
      <c r="J5" s="419" t="s">
        <v>8986</v>
      </c>
      <c r="K5" s="190" t="s">
        <v>8987</v>
      </c>
      <c r="L5" s="190" t="s">
        <v>8988</v>
      </c>
      <c r="M5" s="450" t="s">
        <v>8989</v>
      </c>
      <c r="N5" s="450" t="s">
        <v>8990</v>
      </c>
      <c r="O5" s="153"/>
      <c r="P5" s="153"/>
      <c r="Q5" s="153"/>
      <c r="R5" s="153"/>
      <c r="S5" s="153"/>
      <c r="T5" s="153"/>
      <c r="U5" s="153"/>
      <c r="V5" s="153"/>
      <c r="W5" s="153"/>
    </row>
    <row r="6">
      <c r="A6" s="417" t="s">
        <v>8991</v>
      </c>
      <c r="B6" s="417"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8" t="s">
        <v>8994</v>
      </c>
      <c r="F6" s="211" t="str">
        <f>IFERROR(__xludf.DUMMYFUNCTION("GOOGLETRANSLATE(B6,""zh-tw"",""en"")"),"5 - Set ""Low Latency Mode"" to ""Ultra High"" and ""Power Management Mode"" to ""Optimal Power"".")</f>
        <v>5 - Set "Low Latency Mode" to "Ultra High" and "Power Management Mode" to "Optimal Power".</v>
      </c>
      <c r="G6" s="449" t="s">
        <v>8995</v>
      </c>
      <c r="H6" s="418" t="str">
        <f>IFERROR(__xludf.DUMMYFUNCTION("GOOGLETRANSLATE(B6,""zh-tw"",""zh"")"),"5 - 将「低延迟模式」设为「超高」，电源管理模式设为「最佳电源」。")</f>
        <v>5 - 将「低延迟模式」设为「超高」，电源管理模式设为「最佳电源」。</v>
      </c>
      <c r="I6" s="419" t="s">
        <v>8996</v>
      </c>
      <c r="J6" s="419" t="s">
        <v>8997</v>
      </c>
      <c r="K6" s="190" t="s">
        <v>8998</v>
      </c>
      <c r="L6" s="190" t="s">
        <v>8999</v>
      </c>
      <c r="M6" s="450" t="s">
        <v>9000</v>
      </c>
      <c r="N6" s="450" t="s">
        <v>9001</v>
      </c>
      <c r="O6" s="153"/>
      <c r="P6" s="153"/>
      <c r="Q6" s="153"/>
      <c r="R6" s="153"/>
      <c r="S6" s="153"/>
      <c r="T6" s="153"/>
      <c r="U6" s="153"/>
      <c r="V6" s="153"/>
      <c r="W6" s="153"/>
    </row>
    <row r="7">
      <c r="A7" s="417" t="s">
        <v>9002</v>
      </c>
      <c r="B7" s="417" t="s">
        <v>9003</v>
      </c>
      <c r="C7" s="120" t="s">
        <v>9004</v>
      </c>
      <c r="D7" s="120" t="str">
        <f>IFERROR(__xludf.DUMMYFUNCTION("GOOGLETRANSLATE(B7,""zh-tw"",""ja"")"),"6-「垂直同期」を「高速」に設定します。")</f>
        <v>6-「垂直同期」を「高速」に設定します。</v>
      </c>
      <c r="E7" s="448" t="s">
        <v>9005</v>
      </c>
      <c r="F7" s="211" t="str">
        <f>IFERROR(__xludf.DUMMYFUNCTION("GOOGLETRANSLATE(B7,""zh-tw"",""en"")"),"6- Set ""Vertical Sync"" to ""Fast"".")</f>
        <v>6- Set "Vertical Sync" to "Fast".</v>
      </c>
      <c r="G7" s="449" t="s">
        <v>9006</v>
      </c>
      <c r="H7" s="418" t="str">
        <f>IFERROR(__xludf.DUMMYFUNCTION("GOOGLETRANSLATE(B7,""zh-tw"",""zh"")"),"6- 将「垂直同步」设为「快速」。")</f>
        <v>6- 将「垂直同步」设为「快速」。</v>
      </c>
      <c r="I7" s="419" t="s">
        <v>9007</v>
      </c>
      <c r="J7" s="419" t="s">
        <v>9008</v>
      </c>
      <c r="K7" s="190" t="s">
        <v>9009</v>
      </c>
      <c r="L7" s="190" t="s">
        <v>9010</v>
      </c>
      <c r="M7" s="450" t="s">
        <v>9011</v>
      </c>
      <c r="N7" s="450" t="s">
        <v>9012</v>
      </c>
      <c r="O7" s="153"/>
      <c r="P7" s="153"/>
      <c r="Q7" s="153"/>
      <c r="R7" s="153"/>
      <c r="S7" s="153"/>
      <c r="T7" s="153"/>
      <c r="U7" s="153"/>
      <c r="V7" s="153"/>
      <c r="W7" s="153"/>
    </row>
    <row r="8">
      <c r="A8" s="417" t="s">
        <v>9013</v>
      </c>
      <c r="B8" s="417"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9016</v>
      </c>
      <c r="F8" s="211" t="str">
        <f>IFERROR(__xludf.DUMMYFUNCTION("GOOGLETRANSLATE(B8,""zh-tw"",""en"")"),"7 - If your computer cannot handle these options, please choose the best option.")</f>
        <v>7 - If your computer cannot handle these options, please choose the best option.</v>
      </c>
      <c r="G8" s="449" t="s">
        <v>9017</v>
      </c>
      <c r="H8" s="418" t="str">
        <f>IFERROR(__xludf.DUMMYFUNCTION("GOOGLETRANSLATE(B8,""zh-tw"",""zh"")"),"7 - 如果你的电脑无法负荷这些选项，请依照最佳的选项即可。")</f>
        <v>7 - 如果你的电脑无法负荷这些选项，请依照最佳的选项即可。</v>
      </c>
      <c r="I8" s="419" t="s">
        <v>9018</v>
      </c>
      <c r="J8" s="419" t="s">
        <v>9019</v>
      </c>
      <c r="K8" s="190" t="s">
        <v>9020</v>
      </c>
      <c r="L8" s="190" t="s">
        <v>9021</v>
      </c>
      <c r="M8" s="450" t="s">
        <v>9022</v>
      </c>
      <c r="N8" s="450" t="s">
        <v>9023</v>
      </c>
      <c r="O8" s="153"/>
      <c r="P8" s="153"/>
      <c r="Q8" s="153"/>
      <c r="R8" s="153"/>
      <c r="S8" s="153"/>
      <c r="T8" s="153"/>
      <c r="U8" s="153"/>
      <c r="V8" s="153"/>
      <c r="W8" s="153"/>
    </row>
    <row r="9">
      <c r="A9" s="417" t="s">
        <v>9024</v>
      </c>
      <c r="B9" s="417" t="s">
        <v>9025</v>
      </c>
      <c r="C9" s="120" t="s">
        <v>9026</v>
      </c>
      <c r="D9" s="120" t="str">
        <f>IFERROR(__xludf.DUMMYFUNCTION("GOOGLETRANSLATE(B9,""zh-tw"",""ja"")"),"8- ゲームを起動すると、その優れた安定性を体験できます。")</f>
        <v>8- ゲームを起動すると、その優れた安定性を体験できます。</v>
      </c>
      <c r="E9" s="448" t="s">
        <v>9027</v>
      </c>
      <c r="F9" s="211" t="str">
        <f>IFERROR(__xludf.DUMMYFUNCTION("GOOGLETRANSLATE(B9,""zh-tw"",""en"")"),"8- Now, launch the game and you will experience its excellent stability.")</f>
        <v>8- Now, launch the game and you will experience its excellent stability.</v>
      </c>
      <c r="G9" s="449" t="s">
        <v>9028</v>
      </c>
      <c r="H9" s="418" t="str">
        <f>IFERROR(__xludf.DUMMYFUNCTION("GOOGLETRANSLATE(B9,""zh-tw"",""zh"")"),"8- 现在，将游戏启动，你能体验到良好的稳定性能。")</f>
        <v>8- 现在，将游戏启动，你能体验到良好的稳定性能。</v>
      </c>
      <c r="I9" s="419" t="s">
        <v>9029</v>
      </c>
      <c r="J9" s="419" t="s">
        <v>9030</v>
      </c>
      <c r="K9" s="190" t="s">
        <v>9031</v>
      </c>
      <c r="L9" s="190" t="s">
        <v>9032</v>
      </c>
      <c r="M9" s="450" t="s">
        <v>9027</v>
      </c>
      <c r="N9" s="450" t="s">
        <v>9033</v>
      </c>
      <c r="O9" s="153"/>
      <c r="P9" s="153"/>
      <c r="Q9" s="153"/>
      <c r="R9" s="153"/>
      <c r="S9" s="153"/>
      <c r="T9" s="153"/>
      <c r="U9" s="153"/>
      <c r="V9" s="153"/>
      <c r="W9" s="153"/>
    </row>
    <row r="10">
      <c r="A10" s="417"/>
      <c r="B10" s="451" t="s">
        <v>9034</v>
      </c>
      <c r="C10" s="184"/>
      <c r="D10" s="452" t="s">
        <v>9035</v>
      </c>
      <c r="E10" s="453"/>
      <c r="F10" s="454" t="s">
        <v>8918</v>
      </c>
      <c r="G10" s="418"/>
      <c r="H10" s="455" t="s">
        <v>9036</v>
      </c>
      <c r="I10" s="456"/>
      <c r="J10" s="457" t="s">
        <v>8920</v>
      </c>
      <c r="K10" s="191"/>
      <c r="L10" s="427" t="str">
        <f>HYPERLINK("https://www.youtube.com/watch?v=9NSNcMB5M2o&amp;ab_channel=gabrielb", "Video Youtube tham khảo")</f>
        <v>Video Youtube tham khảo</v>
      </c>
      <c r="M10" s="458"/>
      <c r="N10" s="459" t="s">
        <v>9037</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