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<sst xmlns="http://schemas.openxmlformats.org/spreadsheetml/2006/main" count="15944" uniqueCount="12385">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</sst>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IFERROR(__xludf.DUMMYFUNCTION("GOOGLETRANSLATE(A22,""zh-tw"",""ja"")"),"地図セクションの画像は2025年12月22日をもって一時閉鎖となりました。インタラクティブウェブ版で閲覧いただけます。")</f>
        <v>地図セクションの画像は2025年12月22日をもって一時閉鎖となりました。インタラクティブウェブ版で閲覧いただけます。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IFERROR(__xludf.DUMMYFUNCTION("GOOGLETRANSLATE(A40,""zh-tw"",""DE"")"),"TIPS-Version 0.79D hinzugefügt am 20.07.2025")</f>
        <v>TIPS-Version 0.79D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행위가 발생하고, 미닫이문이 완전히 열리며, 유일한 선택지가 표시됩니다.")</f>
        <v>옷 갈아입는 동안 엿보는 행위가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jugadores o enemigos.")</f>
        <v>El cofre del tesoro frente al área BOSS explotará cuando se abra, lo que causará daño a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치우면 산속 동굴과 연결될 수 있습니다.")</f>
        <v>바위를 치우면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열 카르스트대")</f>
        <v>다자오 열 카르스트대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4936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5" s="75" t="str">
        <f>IFERROR(__xludf.DUMMYFUNCTION("GOOGLETRANSLATE(D85,""zh-tw"",""KO"")"),"훈련하는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IFERROR(__xludf.DUMMYFUNCTION("GOOGLETRANSLATE(D92,""zh-tw"",""es-MX"")"),"Máquina de Dulces con Descuento de $500
Reciba un Pudín de Sushi
*La Máquina de Dulces tiene un precio de $500")</f>
        <v>Máquina de Dulces con Descuento de $500
Reciba un Pudín de Sushi
*La Máquina de Dulces tiene un precio de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가격 500달러 인하
경품: 스시 푸딩
*자판기 가격이 최저 500달러입니다")</f>
        <v>자판기 가격 500달러 인하
경품: 스시 푸딩
*자판기 가격이 최저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 la tienda por segunda vez, es posible que encuentres bollos de agua como artículo.")</f>
        <v>Después de completar el diálogo y al encontrar la tienda por segunda vez, es posible que encuentres bollos de agua como artículo.</v>
      </c>
      <c r="T95" s="75" t="str">
        <f>IFERROR(__xludf.DUMMYFUNCTION("GOOGLETRANSLATE(D95,""zh-tw"",""es-MX"")"),"Compra para recibir el artículo ""Bollo de agua suave y masticable súper sensible"".")</f>
        <v>Compra para recibir el artículo "Bollo de agua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워터 번""을 드립니다.")</f>
        <v>구매하시면 "매우 부드럽고 쫄깃한 워터 번"을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 트럭-1")</f>
        <v>샵 트럭-1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12" t="s">
        <v>5798</v>
      </c>
      <c r="G119" s="111" t="s">
        <v>5799</v>
      </c>
      <c r="H119" s="72" t="s">
        <v>5800</v>
      </c>
      <c r="I119" s="234" t="s">
        <v>5794</v>
      </c>
      <c r="J119" s="112" t="s">
        <v>5801</v>
      </c>
      <c r="K119" s="111" t="s">
        <v>5802</v>
      </c>
      <c r="L119" s="72" t="s">
        <v>5803</v>
      </c>
      <c r="M119" s="280"/>
      <c r="N119" s="125"/>
      <c r="O119" s="113"/>
      <c r="P119" s="75"/>
      <c r="Q119" s="280"/>
      <c r="R119" s="125"/>
      <c r="S119" s="113"/>
      <c r="T119" s="75"/>
      <c r="U119" s="280"/>
      <c r="V119" s="125"/>
      <c r="W119" s="113"/>
      <c r="X119" s="75"/>
      <c r="Y119" s="234" t="s">
        <v>5794</v>
      </c>
      <c r="Z119" s="178" t="s">
        <v>5804</v>
      </c>
      <c r="AA119" s="281" t="s">
        <v>5805</v>
      </c>
      <c r="AB119" s="180" t="s">
        <v>5806</v>
      </c>
      <c r="AC119" s="280"/>
      <c r="AD119" s="125"/>
      <c r="AE119" s="240"/>
      <c r="AF119" s="282"/>
      <c r="AG119" s="280"/>
      <c r="AH119" s="283"/>
      <c r="AI119" s="284"/>
      <c r="AJ119" s="188"/>
      <c r="AK119" s="234" t="s">
        <v>5794</v>
      </c>
      <c r="AL119" s="285" t="s">
        <v>5807</v>
      </c>
      <c r="AM119" s="111" t="s">
        <v>5808</v>
      </c>
      <c r="AN119" s="72" t="s">
        <v>5809</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5810</v>
      </c>
      <c r="B1" s="293" t="s">
        <v>5811</v>
      </c>
      <c r="C1" s="72" t="s">
        <v>5812</v>
      </c>
      <c r="D1" s="293" t="s">
        <v>5813</v>
      </c>
      <c r="E1" s="75" t="str">
        <f>IFERROR(__xludf.DUMMYFUNCTION("GOOGLETRANSLATE(A1,""zh-tw"",""es-MX"")"),"Para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1" s="294"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3" t="s">
        <v>5814</v>
      </c>
      <c r="H1" s="293" t="s">
        <v>5815</v>
      </c>
      <c r="I1" s="188" t="s">
        <v>5816</v>
      </c>
      <c r="J1" s="294" t="s">
        <v>5817</v>
      </c>
      <c r="K1" s="110" t="s">
        <v>5818</v>
      </c>
      <c r="L1" s="66"/>
      <c r="M1" s="66"/>
      <c r="N1" s="66"/>
      <c r="O1" s="66"/>
      <c r="P1" s="66"/>
      <c r="Q1" s="66"/>
      <c r="R1" s="66"/>
      <c r="S1" s="66"/>
      <c r="T1" s="66"/>
      <c r="U1" s="66"/>
      <c r="V1" s="66"/>
      <c r="W1" s="66"/>
      <c r="X1" s="66"/>
    </row>
    <row r="2">
      <c r="A2" s="72" t="s">
        <v>5819</v>
      </c>
      <c r="B2" s="293" t="s">
        <v>5820</v>
      </c>
      <c r="C2" s="72" t="s">
        <v>5821</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142" t="s">
        <v>5822</v>
      </c>
      <c r="H2" s="295" t="s">
        <v>5823</v>
      </c>
      <c r="I2" s="134" t="s">
        <v>5824</v>
      </c>
      <c r="J2" s="294" t="s">
        <v>5825</v>
      </c>
      <c r="K2" s="110" t="s">
        <v>5826</v>
      </c>
      <c r="L2" s="66"/>
      <c r="M2" s="66"/>
      <c r="N2" s="66"/>
      <c r="O2" s="66"/>
      <c r="P2" s="66"/>
      <c r="Q2" s="66"/>
      <c r="R2" s="66"/>
      <c r="S2" s="66"/>
      <c r="T2" s="66"/>
      <c r="U2" s="66"/>
      <c r="V2" s="66"/>
      <c r="W2" s="66"/>
      <c r="X2" s="66"/>
    </row>
    <row r="3">
      <c r="A3" s="72" t="s">
        <v>5827</v>
      </c>
      <c r="B3" s="293" t="s">
        <v>5828</v>
      </c>
      <c r="C3" s="72" t="s">
        <v>5829</v>
      </c>
      <c r="D3" s="293" t="str">
        <f>IFERROR(__xludf.DUMMYFUNCTION("GOOGLETRANSLATE(A3,""zh-tw"",""zh"")"),"CTRL可加速对话")</f>
        <v>CTRL可加速对话</v>
      </c>
      <c r="E3" s="75" t="str">
        <f>IFERROR(__xludf.DUMMYFUNCTION("GOOGLETRANSLATE(A3,""zh-tw"",""es-MX"")"),"CTRL puede acelerar la conversación.")</f>
        <v>CTRL puede acelerar la conversación.</v>
      </c>
      <c r="F3" s="294" t="str">
        <f>IFERROR(__xludf.DUMMYFUNCTION("GOOGLETRANSLATE(A3,""zh-tw"",""KO"")"),"CTRL 키를 누르면 대화 속도가 빨라집니다.")</f>
        <v>CTRL 키를 누르면 대화 속도가 빨라집니다.</v>
      </c>
      <c r="G3" s="123" t="s">
        <v>5830</v>
      </c>
      <c r="H3" s="293" t="s">
        <v>5831</v>
      </c>
      <c r="I3" s="188" t="s">
        <v>5832</v>
      </c>
      <c r="J3" s="294" t="s">
        <v>5833</v>
      </c>
      <c r="K3" s="110" t="s">
        <v>5834</v>
      </c>
      <c r="L3" s="66"/>
      <c r="M3" s="66"/>
      <c r="N3" s="66"/>
      <c r="O3" s="66"/>
      <c r="P3" s="66"/>
      <c r="Q3" s="66"/>
      <c r="R3" s="66"/>
      <c r="S3" s="66"/>
      <c r="T3" s="66"/>
      <c r="U3" s="66"/>
      <c r="V3" s="66"/>
      <c r="W3" s="66"/>
      <c r="X3" s="66"/>
    </row>
    <row r="4">
      <c r="A4" s="72" t="s">
        <v>5835</v>
      </c>
      <c r="B4" s="293" t="s">
        <v>5836</v>
      </c>
      <c r="C4" s="72" t="s">
        <v>5837</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142" t="s">
        <v>5838</v>
      </c>
      <c r="H4" s="293" t="s">
        <v>5839</v>
      </c>
      <c r="I4" s="188" t="s">
        <v>5840</v>
      </c>
      <c r="J4" s="294" t="s">
        <v>5841</v>
      </c>
      <c r="K4" s="110" t="s">
        <v>5842</v>
      </c>
      <c r="L4" s="66"/>
      <c r="M4" s="66"/>
      <c r="N4" s="66"/>
      <c r="O4" s="66"/>
      <c r="P4" s="66"/>
      <c r="Q4" s="66"/>
      <c r="R4" s="66"/>
      <c r="S4" s="66"/>
      <c r="T4" s="66"/>
      <c r="U4" s="66"/>
      <c r="V4" s="66"/>
      <c r="W4" s="66"/>
      <c r="X4" s="66"/>
    </row>
    <row r="5">
      <c r="A5" s="72" t="s">
        <v>5843</v>
      </c>
      <c r="B5" s="293" t="s">
        <v>5844</v>
      </c>
      <c r="C5" s="72" t="s">
        <v>5845</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142" t="s">
        <v>5846</v>
      </c>
      <c r="H5" s="293" t="s">
        <v>5847</v>
      </c>
      <c r="I5" s="188" t="s">
        <v>5848</v>
      </c>
      <c r="J5" s="294" t="s">
        <v>5849</v>
      </c>
      <c r="K5" s="110" t="s">
        <v>5850</v>
      </c>
      <c r="L5" s="66"/>
      <c r="M5" s="66"/>
      <c r="N5" s="66"/>
      <c r="O5" s="66"/>
      <c r="P5" s="66"/>
      <c r="Q5" s="66"/>
      <c r="R5" s="66"/>
      <c r="S5" s="66"/>
      <c r="T5" s="66"/>
      <c r="U5" s="66"/>
      <c r="V5" s="66"/>
      <c r="W5" s="66"/>
      <c r="X5" s="66"/>
    </row>
    <row r="6">
      <c r="A6" s="72" t="s">
        <v>5851</v>
      </c>
      <c r="B6" s="293" t="s">
        <v>5852</v>
      </c>
      <c r="C6" s="72" t="s">
        <v>5853</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142" t="s">
        <v>5854</v>
      </c>
      <c r="H6" s="293" t="s">
        <v>5855</v>
      </c>
      <c r="I6" s="188" t="s">
        <v>5856</v>
      </c>
      <c r="J6" s="294" t="s">
        <v>5857</v>
      </c>
      <c r="K6" s="110" t="s">
        <v>5858</v>
      </c>
      <c r="L6" s="66"/>
      <c r="M6" s="66"/>
      <c r="N6" s="66"/>
      <c r="O6" s="66"/>
      <c r="P6" s="66"/>
      <c r="Q6" s="66"/>
      <c r="R6" s="66"/>
      <c r="S6" s="66"/>
      <c r="T6" s="66"/>
      <c r="U6" s="66"/>
      <c r="V6" s="66"/>
      <c r="W6" s="66"/>
      <c r="X6" s="66"/>
    </row>
    <row r="7">
      <c r="A7" s="72" t="s">
        <v>5859</v>
      </c>
      <c r="B7" s="293" t="s">
        <v>5860</v>
      </c>
      <c r="C7" s="72" t="s">
        <v>5861</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5862</v>
      </c>
      <c r="H7" s="293" t="s">
        <v>5863</v>
      </c>
      <c r="I7" s="188" t="s">
        <v>5864</v>
      </c>
      <c r="J7" s="294" t="s">
        <v>5865</v>
      </c>
      <c r="K7" s="72" t="s">
        <v>5866</v>
      </c>
      <c r="L7" s="66"/>
      <c r="M7" s="66"/>
      <c r="N7" s="66"/>
      <c r="O7" s="66"/>
      <c r="P7" s="66"/>
      <c r="Q7" s="66"/>
      <c r="R7" s="66"/>
      <c r="S7" s="66"/>
      <c r="T7" s="66"/>
      <c r="U7" s="66"/>
      <c r="V7" s="66"/>
      <c r="W7" s="66"/>
      <c r="X7" s="66"/>
    </row>
    <row r="8">
      <c r="A8" s="72" t="s">
        <v>5867</v>
      </c>
      <c r="B8" s="293" t="s">
        <v>5868</v>
      </c>
      <c r="C8" s="72" t="s">
        <v>5869</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5870</v>
      </c>
      <c r="H8" s="293" t="s">
        <v>5871</v>
      </c>
      <c r="I8" s="188" t="s">
        <v>5872</v>
      </c>
      <c r="J8" s="294" t="s">
        <v>5873</v>
      </c>
      <c r="K8" s="110" t="s">
        <v>5874</v>
      </c>
      <c r="L8" s="66"/>
      <c r="M8" s="66"/>
      <c r="N8" s="66"/>
      <c r="O8" s="66"/>
      <c r="P8" s="66"/>
      <c r="Q8" s="66"/>
      <c r="R8" s="66"/>
      <c r="S8" s="66"/>
      <c r="T8" s="66"/>
      <c r="U8" s="66"/>
      <c r="V8" s="66"/>
      <c r="W8" s="66"/>
      <c r="X8" s="66"/>
    </row>
    <row r="9">
      <c r="A9" s="72" t="s">
        <v>5875</v>
      </c>
      <c r="B9" s="293" t="s">
        <v>5876</v>
      </c>
      <c r="C9" s="72" t="s">
        <v>5877</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5878</v>
      </c>
      <c r="H9" s="293" t="s">
        <v>5879</v>
      </c>
      <c r="I9" s="188" t="s">
        <v>5880</v>
      </c>
      <c r="J9" s="294" t="s">
        <v>5881</v>
      </c>
      <c r="K9" s="72" t="s">
        <v>5882</v>
      </c>
      <c r="L9" s="66"/>
      <c r="M9" s="66"/>
      <c r="N9" s="66"/>
      <c r="O9" s="66"/>
      <c r="P9" s="66"/>
      <c r="Q9" s="66"/>
      <c r="R9" s="66"/>
      <c r="S9" s="66"/>
      <c r="T9" s="66"/>
      <c r="U9" s="66"/>
      <c r="V9" s="66"/>
      <c r="W9" s="66"/>
      <c r="X9" s="66"/>
    </row>
    <row r="10">
      <c r="A10" s="72" t="s">
        <v>5883</v>
      </c>
      <c r="B10" s="293" t="s">
        <v>5884</v>
      </c>
      <c r="C10" s="72" t="s">
        <v>5885</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142" t="s">
        <v>5886</v>
      </c>
      <c r="H10" s="293" t="s">
        <v>5887</v>
      </c>
      <c r="I10" s="188" t="s">
        <v>5888</v>
      </c>
      <c r="J10" s="294" t="s">
        <v>5889</v>
      </c>
      <c r="K10" s="110" t="s">
        <v>5890</v>
      </c>
      <c r="L10" s="66"/>
      <c r="M10" s="66"/>
      <c r="N10" s="66"/>
      <c r="O10" s="66"/>
      <c r="P10" s="66"/>
      <c r="Q10" s="66"/>
      <c r="R10" s="66"/>
      <c r="S10" s="66"/>
      <c r="T10" s="66"/>
      <c r="U10" s="66"/>
      <c r="V10" s="66"/>
      <c r="W10" s="66"/>
      <c r="X10" s="66"/>
    </row>
    <row r="11">
      <c r="A11" s="72" t="s">
        <v>5891</v>
      </c>
      <c r="B11" s="293" t="s">
        <v>5892</v>
      </c>
      <c r="C11" s="72" t="s">
        <v>5893</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5894</v>
      </c>
      <c r="H11" s="293" t="s">
        <v>5895</v>
      </c>
      <c r="I11" s="188" t="s">
        <v>5896</v>
      </c>
      <c r="J11" s="294" t="s">
        <v>5897</v>
      </c>
      <c r="K11" s="110" t="s">
        <v>5898</v>
      </c>
      <c r="L11" s="66"/>
      <c r="M11" s="66"/>
      <c r="N11" s="66"/>
      <c r="O11" s="66"/>
      <c r="P11" s="66"/>
      <c r="Q11" s="66"/>
      <c r="R11" s="66"/>
      <c r="S11" s="66"/>
      <c r="T11" s="66"/>
      <c r="U11" s="66"/>
      <c r="V11" s="66"/>
      <c r="W11" s="66"/>
      <c r="X11" s="66"/>
    </row>
    <row r="12">
      <c r="A12" s="72" t="s">
        <v>5899</v>
      </c>
      <c r="B12" s="293" t="s">
        <v>5900</v>
      </c>
      <c r="C12" s="72" t="s">
        <v>5901</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123" t="s">
        <v>5902</v>
      </c>
      <c r="H12" s="293" t="s">
        <v>5903</v>
      </c>
      <c r="I12" s="188" t="s">
        <v>5904</v>
      </c>
      <c r="J12" s="294" t="s">
        <v>5905</v>
      </c>
      <c r="K12" s="110" t="s">
        <v>5906</v>
      </c>
      <c r="L12" s="66"/>
      <c r="M12" s="66"/>
      <c r="N12" s="66"/>
      <c r="O12" s="66"/>
      <c r="P12" s="66"/>
      <c r="Q12" s="66"/>
      <c r="R12" s="66"/>
      <c r="S12" s="66"/>
      <c r="T12" s="66"/>
      <c r="U12" s="66"/>
      <c r="V12" s="66"/>
      <c r="W12" s="66"/>
      <c r="X12" s="66"/>
    </row>
    <row r="13">
      <c r="A13" s="72" t="s">
        <v>5907</v>
      </c>
      <c r="B13" s="293" t="s">
        <v>5908</v>
      </c>
      <c r="C13" s="72" t="s">
        <v>5909</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5910</v>
      </c>
      <c r="H13" s="293" t="s">
        <v>5911</v>
      </c>
      <c r="I13" s="134" t="s">
        <v>5912</v>
      </c>
      <c r="J13" s="294" t="s">
        <v>5913</v>
      </c>
      <c r="K13" s="110" t="s">
        <v>5914</v>
      </c>
      <c r="L13" s="66"/>
      <c r="M13" s="66"/>
      <c r="N13" s="66"/>
      <c r="O13" s="66"/>
      <c r="P13" s="66"/>
      <c r="Q13" s="66"/>
      <c r="R13" s="66"/>
      <c r="S13" s="66"/>
      <c r="T13" s="66"/>
      <c r="U13" s="66"/>
      <c r="V13" s="66"/>
      <c r="W13" s="66"/>
      <c r="X13" s="66"/>
    </row>
    <row r="14">
      <c r="A14" s="72" t="s">
        <v>5915</v>
      </c>
      <c r="B14" s="293" t="s">
        <v>5916</v>
      </c>
      <c r="C14" s="72" t="s">
        <v>5917</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123" t="s">
        <v>5918</v>
      </c>
      <c r="H14" s="293" t="s">
        <v>5919</v>
      </c>
      <c r="I14" s="188" t="s">
        <v>5920</v>
      </c>
      <c r="J14" s="294" t="s">
        <v>5921</v>
      </c>
      <c r="K14" s="110" t="s">
        <v>5922</v>
      </c>
      <c r="L14" s="66"/>
      <c r="M14" s="66"/>
      <c r="N14" s="66"/>
      <c r="O14" s="66"/>
      <c r="P14" s="66"/>
      <c r="Q14" s="66"/>
      <c r="R14" s="66"/>
      <c r="S14" s="66"/>
      <c r="T14" s="66"/>
      <c r="U14" s="66"/>
      <c r="V14" s="66"/>
      <c r="W14" s="66"/>
      <c r="X14" s="66"/>
    </row>
    <row r="15">
      <c r="A15" s="72" t="s">
        <v>5923</v>
      </c>
      <c r="B15" s="293" t="s">
        <v>5924</v>
      </c>
      <c r="C15" s="72" t="s">
        <v>5925</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123" t="s">
        <v>5926</v>
      </c>
      <c r="H15" s="293" t="s">
        <v>5927</v>
      </c>
      <c r="I15" s="188" t="s">
        <v>5928</v>
      </c>
      <c r="J15" s="294" t="s">
        <v>5929</v>
      </c>
      <c r="K15" s="110" t="s">
        <v>5930</v>
      </c>
      <c r="L15" s="66"/>
      <c r="M15" s="66"/>
      <c r="N15" s="66"/>
      <c r="O15" s="66"/>
      <c r="P15" s="66"/>
      <c r="Q15" s="66"/>
      <c r="R15" s="66"/>
      <c r="S15" s="66"/>
      <c r="T15" s="66"/>
      <c r="U15" s="66"/>
      <c r="V15" s="66"/>
      <c r="W15" s="66"/>
      <c r="X15" s="66"/>
    </row>
    <row r="16">
      <c r="A16" s="72" t="s">
        <v>5931</v>
      </c>
      <c r="B16" s="293" t="s">
        <v>5932</v>
      </c>
      <c r="C16" s="72" t="s">
        <v>5933</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123" t="s">
        <v>5934</v>
      </c>
      <c r="H16" s="293" t="s">
        <v>5935</v>
      </c>
      <c r="I16" s="188" t="s">
        <v>5936</v>
      </c>
      <c r="J16" s="294" t="s">
        <v>5937</v>
      </c>
      <c r="K16" s="110" t="s">
        <v>5938</v>
      </c>
      <c r="L16" s="66"/>
      <c r="M16" s="66"/>
      <c r="N16" s="66"/>
      <c r="O16" s="66"/>
      <c r="P16" s="66"/>
      <c r="Q16" s="66"/>
      <c r="R16" s="66"/>
      <c r="S16" s="66"/>
      <c r="T16" s="66"/>
      <c r="U16" s="66"/>
      <c r="V16" s="66"/>
      <c r="W16" s="66"/>
      <c r="X16" s="66"/>
    </row>
    <row r="17">
      <c r="A17" s="72" t="s">
        <v>5939</v>
      </c>
      <c r="B17" s="293" t="s">
        <v>5940</v>
      </c>
      <c r="C17" s="72" t="s">
        <v>5941</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123" t="s">
        <v>5942</v>
      </c>
      <c r="H17" s="293" t="s">
        <v>5943</v>
      </c>
      <c r="I17" s="188" t="s">
        <v>5944</v>
      </c>
      <c r="J17" s="294" t="s">
        <v>5945</v>
      </c>
      <c r="K17" s="72" t="s">
        <v>5946</v>
      </c>
      <c r="L17" s="66"/>
      <c r="M17" s="66"/>
      <c r="N17" s="66"/>
      <c r="O17" s="66"/>
      <c r="P17" s="66"/>
      <c r="Q17" s="66"/>
      <c r="R17" s="66"/>
      <c r="S17" s="66"/>
      <c r="T17" s="66"/>
      <c r="U17" s="66"/>
      <c r="V17" s="66"/>
      <c r="W17" s="66"/>
      <c r="X17" s="66"/>
    </row>
    <row r="18">
      <c r="A18" s="72" t="s">
        <v>5947</v>
      </c>
      <c r="B18" s="293" t="s">
        <v>5948</v>
      </c>
      <c r="C18" s="72" t="s">
        <v>5949</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5950</v>
      </c>
      <c r="H18" s="293" t="s">
        <v>5951</v>
      </c>
      <c r="I18" s="188" t="s">
        <v>5952</v>
      </c>
      <c r="J18" s="294" t="s">
        <v>5953</v>
      </c>
      <c r="K18" s="110" t="s">
        <v>5954</v>
      </c>
      <c r="L18" s="66"/>
      <c r="M18" s="66"/>
      <c r="N18" s="66"/>
      <c r="O18" s="66"/>
      <c r="P18" s="66"/>
      <c r="Q18" s="66"/>
      <c r="R18" s="66"/>
      <c r="S18" s="66"/>
      <c r="T18" s="66"/>
      <c r="U18" s="66"/>
      <c r="V18" s="66"/>
      <c r="W18" s="66"/>
      <c r="X18" s="66"/>
    </row>
    <row r="19">
      <c r="A19" s="72" t="s">
        <v>5955</v>
      </c>
      <c r="B19" s="293" t="s">
        <v>5956</v>
      </c>
      <c r="C19" s="72" t="s">
        <v>5957</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142" t="s">
        <v>5958</v>
      </c>
      <c r="H19" s="293" t="s">
        <v>5959</v>
      </c>
      <c r="I19" s="188" t="s">
        <v>5960</v>
      </c>
      <c r="J19" s="294" t="s">
        <v>5961</v>
      </c>
      <c r="K19" s="110" t="s">
        <v>5962</v>
      </c>
      <c r="L19" s="66"/>
      <c r="M19" s="66"/>
      <c r="N19" s="66"/>
      <c r="O19" s="66"/>
      <c r="P19" s="66"/>
      <c r="Q19" s="66"/>
      <c r="R19" s="66"/>
      <c r="S19" s="66"/>
      <c r="T19" s="66"/>
      <c r="U19" s="66"/>
      <c r="V19" s="66"/>
      <c r="W19" s="66"/>
      <c r="X19" s="66"/>
    </row>
    <row r="20">
      <c r="A20" s="72" t="s">
        <v>5963</v>
      </c>
      <c r="B20" s="293" t="s">
        <v>5964</v>
      </c>
      <c r="C20" s="72" t="s">
        <v>5965</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5966</v>
      </c>
      <c r="H20" s="293" t="s">
        <v>5967</v>
      </c>
      <c r="I20" s="134" t="s">
        <v>5968</v>
      </c>
      <c r="J20" s="294" t="s">
        <v>5969</v>
      </c>
      <c r="K20" s="72" t="s">
        <v>5970</v>
      </c>
      <c r="L20" s="66"/>
      <c r="M20" s="66"/>
      <c r="N20" s="66"/>
      <c r="O20" s="66"/>
      <c r="P20" s="66"/>
      <c r="Q20" s="66"/>
      <c r="R20" s="66"/>
      <c r="S20" s="66"/>
      <c r="T20" s="66"/>
      <c r="U20" s="66"/>
      <c r="V20" s="66"/>
      <c r="W20" s="66"/>
      <c r="X20" s="66"/>
    </row>
    <row r="21">
      <c r="A21" s="72" t="s">
        <v>5971</v>
      </c>
      <c r="B21" s="293" t="s">
        <v>5972</v>
      </c>
      <c r="C21" s="72" t="s">
        <v>5973</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142" t="s">
        <v>5974</v>
      </c>
      <c r="H21" s="293" t="s">
        <v>5975</v>
      </c>
      <c r="I21" s="134" t="s">
        <v>5976</v>
      </c>
      <c r="J21" s="294" t="s">
        <v>5977</v>
      </c>
      <c r="K21" s="72" t="s">
        <v>5978</v>
      </c>
      <c r="L21" s="66"/>
      <c r="M21" s="66"/>
      <c r="N21" s="66"/>
      <c r="O21" s="66"/>
      <c r="P21" s="66"/>
      <c r="Q21" s="66"/>
      <c r="R21" s="66"/>
      <c r="S21" s="66"/>
      <c r="T21" s="66"/>
      <c r="U21" s="66"/>
      <c r="V21" s="66"/>
      <c r="W21" s="66"/>
      <c r="X21" s="66"/>
    </row>
    <row r="22">
      <c r="A22" s="72" t="s">
        <v>5979</v>
      </c>
      <c r="B22" s="293" t="s">
        <v>5980</v>
      </c>
      <c r="C22" s="72" t="s">
        <v>5981</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142" t="s">
        <v>5982</v>
      </c>
      <c r="H22" s="293" t="s">
        <v>5983</v>
      </c>
      <c r="I22" s="188" t="s">
        <v>5984</v>
      </c>
      <c r="J22" s="296" t="s">
        <v>5985</v>
      </c>
      <c r="K22" s="110" t="s">
        <v>5986</v>
      </c>
      <c r="L22" s="66"/>
      <c r="M22" s="66"/>
      <c r="N22" s="66"/>
      <c r="O22" s="66"/>
      <c r="P22" s="66"/>
      <c r="Q22" s="66"/>
      <c r="R22" s="66"/>
      <c r="S22" s="66"/>
      <c r="T22" s="66"/>
      <c r="U22" s="66"/>
      <c r="V22" s="66"/>
      <c r="W22" s="66"/>
      <c r="X22" s="66"/>
    </row>
    <row r="23">
      <c r="A23" s="72" t="s">
        <v>5987</v>
      </c>
      <c r="B23" s="293" t="s">
        <v>5988</v>
      </c>
      <c r="C23" s="72" t="s">
        <v>5989</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5990</v>
      </c>
      <c r="H23" s="293" t="s">
        <v>5991</v>
      </c>
      <c r="I23" s="188" t="s">
        <v>5992</v>
      </c>
      <c r="J23" s="294" t="s">
        <v>5993</v>
      </c>
      <c r="K23" s="110" t="s">
        <v>5994</v>
      </c>
      <c r="L23" s="66"/>
      <c r="M23" s="66"/>
      <c r="N23" s="66"/>
      <c r="O23" s="66"/>
      <c r="P23" s="66"/>
      <c r="Q23" s="66"/>
      <c r="R23" s="66"/>
      <c r="S23" s="66"/>
      <c r="T23" s="66"/>
      <c r="U23" s="66"/>
      <c r="V23" s="66"/>
      <c r="W23" s="66"/>
      <c r="X23" s="66"/>
    </row>
    <row r="24">
      <c r="A24" s="72" t="s">
        <v>5995</v>
      </c>
      <c r="B24" s="293" t="s">
        <v>5996</v>
      </c>
      <c r="C24" s="72" t="s">
        <v>5997</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5998</v>
      </c>
      <c r="H24" s="293" t="s">
        <v>5999</v>
      </c>
      <c r="I24" s="188" t="s">
        <v>6000</v>
      </c>
      <c r="J24" s="294" t="s">
        <v>6001</v>
      </c>
      <c r="K24" s="72" t="s">
        <v>6002</v>
      </c>
      <c r="L24" s="66"/>
      <c r="M24" s="66"/>
      <c r="N24" s="66"/>
      <c r="O24" s="66"/>
      <c r="P24" s="66"/>
      <c r="Q24" s="66"/>
      <c r="R24" s="66"/>
      <c r="S24" s="66"/>
      <c r="T24" s="66"/>
      <c r="U24" s="66"/>
      <c r="V24" s="66"/>
      <c r="W24" s="66"/>
      <c r="X24" s="66"/>
    </row>
    <row r="25">
      <c r="A25" s="72" t="s">
        <v>6003</v>
      </c>
      <c r="B25" s="293" t="s">
        <v>6004</v>
      </c>
      <c r="C25" s="72" t="s">
        <v>6005</v>
      </c>
      <c r="D25" s="293" t="s">
        <v>6006</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42" t="s">
        <v>6007</v>
      </c>
      <c r="H25" s="293" t="s">
        <v>6008</v>
      </c>
      <c r="I25" s="188" t="s">
        <v>6009</v>
      </c>
      <c r="J25" s="294" t="s">
        <v>6010</v>
      </c>
      <c r="K25" s="110" t="s">
        <v>6011</v>
      </c>
      <c r="L25" s="66"/>
      <c r="M25" s="66"/>
      <c r="N25" s="66"/>
      <c r="O25" s="66"/>
      <c r="P25" s="66"/>
      <c r="Q25" s="66"/>
      <c r="R25" s="66"/>
      <c r="S25" s="66"/>
      <c r="T25" s="66"/>
      <c r="U25" s="66"/>
      <c r="V25" s="66"/>
      <c r="W25" s="66"/>
      <c r="X25" s="66"/>
    </row>
    <row r="26">
      <c r="A26" s="297" t="s">
        <v>6012</v>
      </c>
      <c r="B26" s="293" t="s">
        <v>6013</v>
      </c>
      <c r="C26" s="72" t="s">
        <v>6014</v>
      </c>
      <c r="D26" s="293" t="s">
        <v>6015</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142" t="s">
        <v>6016</v>
      </c>
      <c r="H26" s="293" t="s">
        <v>6017</v>
      </c>
      <c r="I26" s="188" t="s">
        <v>6018</v>
      </c>
      <c r="J26" s="294" t="s">
        <v>6019</v>
      </c>
      <c r="K26" s="72" t="s">
        <v>6020</v>
      </c>
      <c r="L26" s="66"/>
      <c r="M26" s="66"/>
      <c r="N26" s="66"/>
      <c r="O26" s="66"/>
      <c r="P26" s="66"/>
      <c r="Q26" s="66"/>
      <c r="R26" s="66"/>
      <c r="S26" s="66"/>
      <c r="T26" s="66"/>
      <c r="U26" s="66"/>
      <c r="V26" s="66"/>
      <c r="W26" s="66"/>
      <c r="X26" s="66"/>
    </row>
    <row r="27">
      <c r="A27" s="72" t="s">
        <v>6021</v>
      </c>
      <c r="B27" s="293" t="s">
        <v>6022</v>
      </c>
      <c r="C27" s="72" t="s">
        <v>6023</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142" t="s">
        <v>6024</v>
      </c>
      <c r="H27" s="293" t="s">
        <v>6025</v>
      </c>
      <c r="I27" s="188" t="s">
        <v>6026</v>
      </c>
      <c r="J27" s="294" t="s">
        <v>6027</v>
      </c>
      <c r="K27" s="110" t="s">
        <v>6028</v>
      </c>
      <c r="L27" s="66"/>
      <c r="M27" s="66"/>
      <c r="N27" s="66"/>
      <c r="O27" s="66"/>
      <c r="P27" s="66"/>
      <c r="Q27" s="66"/>
      <c r="R27" s="66"/>
      <c r="S27" s="66"/>
      <c r="T27" s="66"/>
      <c r="U27" s="66"/>
      <c r="V27" s="66"/>
      <c r="W27" s="66"/>
      <c r="X27" s="66"/>
    </row>
    <row r="28">
      <c r="A28" s="72" t="s">
        <v>6029</v>
      </c>
      <c r="B28" s="293" t="s">
        <v>6030</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142" t="s">
        <v>6031</v>
      </c>
      <c r="H28" s="293" t="s">
        <v>6032</v>
      </c>
      <c r="I28" s="188" t="s">
        <v>6033</v>
      </c>
      <c r="J28" s="294" t="s">
        <v>6034</v>
      </c>
      <c r="K28" s="110" t="s">
        <v>6035</v>
      </c>
      <c r="L28" s="66"/>
      <c r="M28" s="66"/>
      <c r="N28" s="66"/>
      <c r="O28" s="66"/>
      <c r="P28" s="66"/>
      <c r="Q28" s="66"/>
      <c r="R28" s="66"/>
      <c r="S28" s="66"/>
      <c r="T28" s="66"/>
      <c r="U28" s="66"/>
      <c r="V28" s="66"/>
      <c r="W28" s="66"/>
      <c r="X28" s="66"/>
    </row>
    <row r="29">
      <c r="A29" s="72" t="s">
        <v>6036</v>
      </c>
      <c r="B29" s="293" t="s">
        <v>6037</v>
      </c>
      <c r="C29" s="72" t="s">
        <v>6038</v>
      </c>
      <c r="D29" s="293" t="s">
        <v>6039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6040</v>
      </c>
      <c r="H29" s="293" t="s">
        <v>6041</v>
      </c>
      <c r="I29" s="188" t="s">
        <v>6042</v>
      </c>
      <c r="J29" s="294" t="s">
        <v>6043</v>
      </c>
      <c r="K29" s="110" t="s">
        <v>6044</v>
      </c>
      <c r="L29" s="66"/>
      <c r="M29" s="66"/>
      <c r="N29" s="66"/>
      <c r="O29" s="66"/>
      <c r="P29" s="66"/>
      <c r="Q29" s="66"/>
      <c r="R29" s="66"/>
      <c r="S29" s="66"/>
      <c r="T29" s="66"/>
      <c r="U29" s="66"/>
      <c r="V29" s="66"/>
      <c r="W29" s="66"/>
      <c r="X29" s="66"/>
    </row>
    <row r="30">
      <c r="A30" s="72" t="s">
        <v>6045</v>
      </c>
      <c r="B30" s="293" t="s">
        <v>6046</v>
      </c>
      <c r="C30" s="72" t="s">
        <v>6047</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6048</v>
      </c>
      <c r="H30" s="293" t="s">
        <v>6049</v>
      </c>
      <c r="I30" s="188" t="s">
        <v>6050</v>
      </c>
      <c r="J30" s="294" t="s">
        <v>6051</v>
      </c>
      <c r="K30" s="110" t="s">
        <v>6052</v>
      </c>
      <c r="L30" s="66"/>
      <c r="M30" s="66"/>
      <c r="N30" s="66"/>
      <c r="O30" s="66"/>
      <c r="P30" s="66"/>
      <c r="Q30" s="66"/>
      <c r="R30" s="66"/>
      <c r="S30" s="66"/>
      <c r="T30" s="66"/>
      <c r="U30" s="66"/>
      <c r="V30" s="66"/>
      <c r="W30" s="66"/>
      <c r="X30" s="66"/>
    </row>
    <row r="31">
      <c r="A31" s="72" t="s">
        <v>6053</v>
      </c>
      <c r="B31" s="293" t="s">
        <v>6054</v>
      </c>
      <c r="C31" s="72" t="s">
        <v>6055</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미스터리다.")</f>
        <v>누가 빗속에서 자판기를 고쳤을까? 그건 여전히 미스터리다.</v>
      </c>
      <c r="G31" s="142" t="s">
        <v>6056</v>
      </c>
      <c r="H31" s="293" t="s">
        <v>6057</v>
      </c>
      <c r="I31" s="188" t="s">
        <v>6058</v>
      </c>
      <c r="J31" s="294" t="s">
        <v>6059</v>
      </c>
      <c r="K31" s="110" t="s">
        <v>6060</v>
      </c>
      <c r="L31" s="66"/>
      <c r="M31" s="66"/>
      <c r="N31" s="66"/>
      <c r="O31" s="66"/>
      <c r="P31" s="66"/>
      <c r="Q31" s="66"/>
      <c r="R31" s="66"/>
      <c r="S31" s="66"/>
      <c r="T31" s="66"/>
      <c r="U31" s="66"/>
      <c r="V31" s="66"/>
      <c r="W31" s="66"/>
      <c r="X31" s="66"/>
    </row>
    <row r="32">
      <c r="A32" s="72" t="s">
        <v>6061</v>
      </c>
      <c r="B32" s="293" t="s">
        <v>6062</v>
      </c>
      <c r="C32" s="72" t="s">
        <v>6063</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142" t="s">
        <v>6064</v>
      </c>
      <c r="H32" s="293" t="s">
        <v>6065</v>
      </c>
      <c r="I32" s="188" t="s">
        <v>6066</v>
      </c>
      <c r="J32" s="294" t="s">
        <v>6067</v>
      </c>
      <c r="K32" s="110" t="s">
        <v>6068</v>
      </c>
      <c r="L32" s="66"/>
      <c r="M32" s="66"/>
      <c r="N32" s="66"/>
      <c r="O32" s="66"/>
      <c r="P32" s="66"/>
      <c r="Q32" s="66"/>
      <c r="R32" s="66"/>
      <c r="S32" s="66"/>
      <c r="T32" s="66"/>
      <c r="U32" s="66"/>
      <c r="V32" s="66"/>
      <c r="W32" s="66"/>
      <c r="X32" s="66"/>
    </row>
    <row r="33">
      <c r="A33" s="72" t="s">
        <v>6069</v>
      </c>
      <c r="B33" s="293" t="s">
        <v>6070</v>
      </c>
      <c r="C33" s="72" t="s">
        <v>6071</v>
      </c>
      <c r="D33" s="293" t="s">
        <v>6072</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142" t="s">
        <v>6073</v>
      </c>
      <c r="H33" s="293" t="s">
        <v>6074</v>
      </c>
      <c r="I33" s="188" t="s">
        <v>6075</v>
      </c>
      <c r="J33" s="294" t="s">
        <v>6076</v>
      </c>
      <c r="K33" s="110" t="s">
        <v>6077</v>
      </c>
      <c r="L33" s="66"/>
      <c r="M33" s="66"/>
      <c r="N33" s="66"/>
      <c r="O33" s="66"/>
      <c r="P33" s="66"/>
      <c r="Q33" s="66"/>
      <c r="R33" s="66"/>
      <c r="S33" s="66"/>
      <c r="T33" s="66"/>
      <c r="U33" s="66"/>
      <c r="V33" s="66"/>
      <c r="W33" s="66"/>
      <c r="X33" s="66"/>
    </row>
    <row r="34">
      <c r="A34" s="72" t="s">
        <v>6078</v>
      </c>
      <c r="B34" s="293" t="s">
        <v>6079</v>
      </c>
      <c r="C34" s="72" t="s">
        <v>6080</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6081</v>
      </c>
      <c r="H34" s="293" t="s">
        <v>6082</v>
      </c>
      <c r="I34" s="134" t="s">
        <v>6083</v>
      </c>
      <c r="J34" s="294" t="s">
        <v>6084</v>
      </c>
      <c r="K34" s="110" t="s">
        <v>6085</v>
      </c>
      <c r="L34" s="66"/>
      <c r="M34" s="66"/>
      <c r="N34" s="66"/>
      <c r="O34" s="66"/>
      <c r="P34" s="66"/>
      <c r="Q34" s="66"/>
      <c r="R34" s="66"/>
      <c r="S34" s="66"/>
      <c r="T34" s="66"/>
      <c r="U34" s="66"/>
      <c r="V34" s="66"/>
      <c r="W34" s="66"/>
      <c r="X34" s="66"/>
    </row>
    <row r="35">
      <c r="A35" s="72" t="s">
        <v>6086</v>
      </c>
      <c r="B35" s="293" t="s">
        <v>6087</v>
      </c>
      <c r="C35" s="72" t="s">
        <v>6088</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142" t="s">
        <v>6089</v>
      </c>
      <c r="H35" s="293" t="s">
        <v>6090</v>
      </c>
      <c r="I35" s="188" t="s">
        <v>6091</v>
      </c>
      <c r="J35" s="294" t="s">
        <v>6092</v>
      </c>
      <c r="K35" s="110" t="s">
        <v>6093</v>
      </c>
      <c r="L35" s="66"/>
      <c r="M35" s="66"/>
      <c r="N35" s="66"/>
      <c r="O35" s="66"/>
      <c r="P35" s="66"/>
      <c r="Q35" s="66"/>
      <c r="R35" s="66"/>
      <c r="S35" s="66"/>
      <c r="T35" s="66"/>
      <c r="U35" s="66"/>
      <c r="V35" s="66"/>
      <c r="W35" s="66"/>
      <c r="X35" s="66"/>
    </row>
    <row r="36">
      <c r="A36" s="72" t="s">
        <v>6094</v>
      </c>
      <c r="B36" s="293" t="s">
        <v>6095</v>
      </c>
      <c r="C36" s="72" t="s">
        <v>6096</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6097</v>
      </c>
      <c r="H36" s="293" t="s">
        <v>6098</v>
      </c>
      <c r="I36" s="188" t="s">
        <v>6099</v>
      </c>
      <c r="J36" s="294" t="s">
        <v>6100</v>
      </c>
      <c r="K36" s="110" t="s">
        <v>6101</v>
      </c>
      <c r="L36" s="66"/>
      <c r="M36" s="66"/>
      <c r="N36" s="66"/>
      <c r="O36" s="66"/>
      <c r="P36" s="66"/>
      <c r="Q36" s="66"/>
      <c r="R36" s="66"/>
      <c r="S36" s="66"/>
      <c r="T36" s="66"/>
      <c r="U36" s="66"/>
      <c r="V36" s="66"/>
      <c r="W36" s="66"/>
      <c r="X36" s="66"/>
    </row>
    <row r="37">
      <c r="A37" s="72" t="s">
        <v>6102</v>
      </c>
      <c r="B37" s="293" t="s">
        <v>6103</v>
      </c>
      <c r="C37" s="72" t="s">
        <v>6104</v>
      </c>
      <c r="D37" s="293" t="s">
        <v>6105</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6106</v>
      </c>
      <c r="H37" s="293" t="s">
        <v>6107</v>
      </c>
      <c r="I37" s="188" t="s">
        <v>6108</v>
      </c>
      <c r="J37" s="294" t="s">
        <v>6109</v>
      </c>
      <c r="K37" s="110" t="s">
        <v>6110</v>
      </c>
      <c r="L37" s="66"/>
      <c r="M37" s="66"/>
      <c r="N37" s="66"/>
      <c r="O37" s="66"/>
      <c r="P37" s="66"/>
      <c r="Q37" s="66"/>
      <c r="R37" s="66"/>
      <c r="S37" s="66"/>
      <c r="T37" s="66"/>
      <c r="U37" s="66"/>
      <c r="V37" s="66"/>
      <c r="W37" s="66"/>
      <c r="X37" s="66"/>
    </row>
    <row r="38">
      <c r="A38" s="72" t="s">
        <v>6111</v>
      </c>
      <c r="B38" s="293" t="s">
        <v>6112</v>
      </c>
      <c r="C38" s="72" t="s">
        <v>6113</v>
      </c>
      <c r="D38" s="293" t="s">
        <v>6114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142" t="s">
        <v>6115</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6116</v>
      </c>
      <c r="J38" s="294" t="s">
        <v>6117</v>
      </c>
      <c r="K38" s="110" t="s">
        <v>6118</v>
      </c>
      <c r="L38" s="66"/>
      <c r="M38" s="66"/>
      <c r="N38" s="66"/>
      <c r="O38" s="66"/>
      <c r="P38" s="66"/>
      <c r="Q38" s="66"/>
      <c r="R38" s="66"/>
      <c r="S38" s="66"/>
      <c r="T38" s="66"/>
      <c r="U38" s="66"/>
      <c r="V38" s="66"/>
      <c r="W38" s="66"/>
      <c r="X38" s="66"/>
    </row>
    <row r="39">
      <c r="A39" s="72" t="s">
        <v>6119</v>
      </c>
      <c r="B39" s="293" t="s">
        <v>6120</v>
      </c>
      <c r="C39" s="72" t="s">
        <v>6121</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6122</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6123</v>
      </c>
      <c r="J39" s="294" t="s">
        <v>6124</v>
      </c>
      <c r="K39" s="110" t="s">
        <v>6125</v>
      </c>
      <c r="L39" s="66"/>
      <c r="M39" s="66"/>
      <c r="N39" s="66"/>
      <c r="O39" s="66"/>
      <c r="P39" s="66"/>
      <c r="Q39" s="66"/>
      <c r="R39" s="66"/>
      <c r="S39" s="66"/>
      <c r="T39" s="66"/>
      <c r="U39" s="66"/>
      <c r="V39" s="66"/>
      <c r="W39" s="66"/>
      <c r="X39" s="66"/>
    </row>
    <row r="40">
      <c r="A40" s="72" t="s">
        <v>6126</v>
      </c>
      <c r="B40" s="293" t="s">
        <v>6127</v>
      </c>
      <c r="C40" s="72" t="s">
        <v>6128</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6129</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6130</v>
      </c>
      <c r="J40" s="294" t="s">
        <v>6131</v>
      </c>
      <c r="K40" s="110" t="s">
        <v>6132</v>
      </c>
      <c r="L40" s="66"/>
      <c r="M40" s="66"/>
      <c r="N40" s="66"/>
      <c r="O40" s="66"/>
      <c r="P40" s="66"/>
      <c r="Q40" s="66"/>
      <c r="R40" s="66"/>
      <c r="S40" s="66"/>
      <c r="T40" s="66"/>
      <c r="U40" s="66"/>
      <c r="V40" s="66"/>
      <c r="W40" s="66"/>
      <c r="X40" s="66"/>
    </row>
    <row r="41">
      <c r="A41" s="72" t="s">
        <v>6133</v>
      </c>
      <c r="B41" s="293" t="s">
        <v>6134</v>
      </c>
      <c r="C41" s="72" t="s">
        <v>6135</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142" t="s">
        <v>6136</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6137</v>
      </c>
      <c r="J41" s="294" t="s">
        <v>6138</v>
      </c>
      <c r="K41" s="110" t="s">
        <v>6139</v>
      </c>
      <c r="L41" s="66"/>
      <c r="M41" s="66"/>
      <c r="N41" s="66"/>
      <c r="O41" s="66"/>
      <c r="P41" s="66"/>
      <c r="Q41" s="66"/>
      <c r="R41" s="66"/>
      <c r="S41" s="66"/>
      <c r="T41" s="66"/>
      <c r="U41" s="66"/>
      <c r="V41" s="66"/>
      <c r="W41" s="66"/>
      <c r="X41" s="66"/>
    </row>
    <row r="42">
      <c r="A42" s="72" t="s">
        <v>6140</v>
      </c>
      <c r="B42" s="293" t="s">
        <v>6141</v>
      </c>
      <c r="C42" s="72" t="s">
        <v>6142</v>
      </c>
      <c r="D42" s="293" t="s">
        <v>6143</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142" t="s">
        <v>6144</v>
      </c>
      <c r="H42" s="294" t="str">
        <f>IFERROR(__xludf.DUMMYFUNCTION("GOOGLETRANSLATE(A42,""zh-tw"",""de"")"),"Auch Monster besitzen einen Geruchssinn, und manche Monster fliehen vor einem üblen Geruch.")</f>
        <v>Auch Monster besitzen einen Geruchssinn, und manche Monster fliehen vor einem üblen Geruch.</v>
      </c>
      <c r="I42" s="188" t="s">
        <v>6145</v>
      </c>
      <c r="J42" s="294" t="s">
        <v>6146</v>
      </c>
      <c r="K42" s="110" t="s">
        <v>6147</v>
      </c>
      <c r="L42" s="66"/>
      <c r="M42" s="66"/>
      <c r="N42" s="66"/>
      <c r="O42" s="66"/>
      <c r="P42" s="66"/>
      <c r="Q42" s="66"/>
      <c r="R42" s="66"/>
      <c r="S42" s="66"/>
      <c r="T42" s="66"/>
      <c r="U42" s="66"/>
      <c r="V42" s="66"/>
      <c r="W42" s="66"/>
      <c r="X42" s="66"/>
    </row>
    <row r="43">
      <c r="A43" s="72" t="s">
        <v>6148</v>
      </c>
      <c r="B43" s="293" t="s">
        <v>6149</v>
      </c>
      <c r="C43" s="72" t="s">
        <v>6150</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6151</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6152</v>
      </c>
      <c r="J43" s="294" t="s">
        <v>6153</v>
      </c>
      <c r="K43" s="110" t="s">
        <v>6154</v>
      </c>
      <c r="L43" s="66"/>
      <c r="M43" s="66"/>
      <c r="N43" s="66"/>
      <c r="O43" s="66"/>
      <c r="P43" s="66"/>
      <c r="Q43" s="66"/>
      <c r="R43" s="66"/>
      <c r="S43" s="66"/>
      <c r="T43" s="66"/>
      <c r="U43" s="66"/>
      <c r="V43" s="66"/>
      <c r="W43" s="66"/>
      <c r="X43" s="66"/>
    </row>
    <row r="44">
      <c r="A44" s="72" t="s">
        <v>6155</v>
      </c>
      <c r="B44" s="293" t="s">
        <v>6156</v>
      </c>
      <c r="C44" s="72" t="s">
        <v>6157</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6158</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6159</v>
      </c>
      <c r="J44" s="294" t="s">
        <v>6160</v>
      </c>
      <c r="K44" s="110" t="s">
        <v>6161</v>
      </c>
      <c r="L44" s="66"/>
      <c r="M44" s="66"/>
      <c r="N44" s="66"/>
      <c r="O44" s="66"/>
      <c r="P44" s="66"/>
      <c r="Q44" s="66"/>
      <c r="R44" s="66"/>
      <c r="S44" s="66"/>
      <c r="T44" s="66"/>
      <c r="U44" s="66"/>
      <c r="V44" s="66"/>
      <c r="W44" s="66"/>
      <c r="X44" s="66"/>
    </row>
    <row r="45">
      <c r="A45" s="72" t="s">
        <v>6162</v>
      </c>
      <c r="B45" s="293" t="s">
        <v>6163</v>
      </c>
      <c r="C45" s="72" t="s">
        <v>6164</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6165</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6166</v>
      </c>
      <c r="J45" s="294" t="s">
        <v>6167</v>
      </c>
      <c r="K45" s="72" t="s">
        <v>6168</v>
      </c>
      <c r="L45" s="66"/>
      <c r="M45" s="66"/>
      <c r="N45" s="66"/>
      <c r="O45" s="66"/>
      <c r="P45" s="66"/>
      <c r="Q45" s="66"/>
      <c r="R45" s="66"/>
      <c r="S45" s="66"/>
      <c r="T45" s="66"/>
      <c r="U45" s="66"/>
      <c r="V45" s="66"/>
      <c r="W45" s="66"/>
      <c r="X45" s="66"/>
    </row>
    <row r="46">
      <c r="A46" s="72" t="s">
        <v>6169</v>
      </c>
      <c r="B46" s="293" t="s">
        <v>6170</v>
      </c>
      <c r="C46" s="72" t="s">
        <v>6171</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142" t="s">
        <v>6172</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6173</v>
      </c>
      <c r="J46" s="294" t="s">
        <v>6174</v>
      </c>
      <c r="K46" s="72" t="s">
        <v>6175</v>
      </c>
      <c r="L46" s="66"/>
      <c r="M46" s="66"/>
      <c r="N46" s="66"/>
      <c r="O46" s="66"/>
      <c r="P46" s="66"/>
      <c r="Q46" s="66"/>
      <c r="R46" s="66"/>
      <c r="S46" s="66"/>
      <c r="T46" s="66"/>
      <c r="U46" s="66"/>
      <c r="V46" s="66"/>
      <c r="W46" s="66"/>
      <c r="X46" s="66"/>
    </row>
    <row r="47">
      <c r="A47" s="72" t="s">
        <v>6176</v>
      </c>
      <c r="B47" s="293" t="s">
        <v>6177</v>
      </c>
      <c r="C47" s="75" t="s">
        <v>6178</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142" t="s">
        <v>6179</v>
      </c>
      <c r="H47" s="294" t="str">
        <f>IFERROR(__xludf.DUMMYFUNCTION("GOOGLETRANSLATE(A47,""zh-tw"",""de"")"),"Die Ehwaz-Rune tauscht nach dem Werfen die Position mit jedem Gegner, den sie berührt.")</f>
        <v>Die Ehwaz-Rune tauscht nach dem Werfen die Position mit jedem Gegner, den sie berührt.</v>
      </c>
      <c r="I47" s="188" t="s">
        <v>6180</v>
      </c>
      <c r="J47" s="294" t="s">
        <v>6181</v>
      </c>
      <c r="K47" s="110" t="s">
        <v>6182</v>
      </c>
      <c r="L47" s="66"/>
      <c r="M47" s="66"/>
      <c r="N47" s="66"/>
      <c r="O47" s="66"/>
      <c r="P47" s="66"/>
      <c r="Q47" s="66"/>
      <c r="R47" s="66"/>
      <c r="S47" s="66"/>
      <c r="T47" s="66"/>
      <c r="U47" s="66"/>
      <c r="V47" s="66"/>
      <c r="W47" s="66"/>
      <c r="X47" s="66"/>
    </row>
    <row r="48">
      <c r="A48" s="72" t="s">
        <v>6183</v>
      </c>
      <c r="B48" s="293" t="s">
        <v>6184</v>
      </c>
      <c r="C48" s="72" t="s">
        <v>6185</v>
      </c>
      <c r="D48" s="293" t="s">
        <v>6186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6187</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6188</v>
      </c>
      <c r="J48" s="294" t="s">
        <v>6189</v>
      </c>
      <c r="K48" s="72" t="s">
        <v>6190</v>
      </c>
      <c r="L48" s="66"/>
      <c r="M48" s="66"/>
      <c r="N48" s="66"/>
      <c r="O48" s="66"/>
      <c r="P48" s="66"/>
      <c r="Q48" s="66"/>
      <c r="R48" s="66"/>
      <c r="S48" s="66"/>
      <c r="T48" s="66"/>
      <c r="U48" s="66"/>
      <c r="V48" s="66"/>
      <c r="W48" s="66"/>
      <c r="X48" s="66"/>
    </row>
    <row r="49">
      <c r="A49" s="72" t="s">
        <v>6191</v>
      </c>
      <c r="B49" s="293" t="s">
        <v>6192</v>
      </c>
      <c r="C49" s="72" t="s">
        <v>6193</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6194</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6195</v>
      </c>
      <c r="J49" s="294" t="s">
        <v>6196</v>
      </c>
      <c r="K49" s="110" t="s">
        <v>6197</v>
      </c>
      <c r="L49" s="66"/>
      <c r="M49" s="66"/>
      <c r="N49" s="66"/>
      <c r="O49" s="66"/>
      <c r="P49" s="66"/>
      <c r="Q49" s="66"/>
      <c r="R49" s="66"/>
      <c r="S49" s="66"/>
      <c r="T49" s="66"/>
      <c r="U49" s="66"/>
      <c r="V49" s="66"/>
      <c r="W49" s="66"/>
      <c r="X49" s="66"/>
    </row>
    <row r="50">
      <c r="A50" s="72" t="s">
        <v>6198</v>
      </c>
      <c r="B50" s="293" t="s">
        <v>6199</v>
      </c>
      <c r="C50" s="72" t="s">
        <v>6200</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6201</v>
      </c>
      <c r="H50" s="29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6202</v>
      </c>
      <c r="J50" s="294" t="s">
        <v>6203</v>
      </c>
      <c r="K50" s="110" t="s">
        <v>6204</v>
      </c>
      <c r="L50" s="66"/>
      <c r="M50" s="66"/>
      <c r="N50" s="66"/>
      <c r="O50" s="66"/>
      <c r="P50" s="66"/>
      <c r="Q50" s="66"/>
      <c r="R50" s="66"/>
      <c r="S50" s="66"/>
      <c r="T50" s="66"/>
      <c r="U50" s="66"/>
      <c r="V50" s="66"/>
      <c r="W50" s="66"/>
      <c r="X50" s="66"/>
    </row>
    <row r="51">
      <c r="A51" s="72" t="s">
        <v>6205</v>
      </c>
      <c r="B51" s="293" t="s">
        <v>6206</v>
      </c>
      <c r="C51" s="72" t="s">
        <v>6207</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6208</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6209</v>
      </c>
      <c r="J51" s="294" t="s">
        <v>6210</v>
      </c>
      <c r="K51" s="110" t="s">
        <v>6211</v>
      </c>
      <c r="L51" s="66"/>
      <c r="M51" s="66"/>
      <c r="N51" s="66"/>
      <c r="O51" s="66"/>
      <c r="P51" s="66"/>
      <c r="Q51" s="66"/>
      <c r="R51" s="66"/>
      <c r="S51" s="66"/>
      <c r="T51" s="66"/>
      <c r="U51" s="66"/>
      <c r="V51" s="66"/>
      <c r="W51" s="66"/>
      <c r="X51" s="66"/>
    </row>
    <row r="52">
      <c r="A52" s="72" t="s">
        <v>6212</v>
      </c>
      <c r="B52" s="293" t="s">
        <v>6213</v>
      </c>
      <c r="C52" s="72" t="s">
        <v>6214</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142" t="s">
        <v>6215</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6216</v>
      </c>
      <c r="J52" s="294" t="s">
        <v>6217</v>
      </c>
      <c r="K52" s="110" t="s">
        <v>6218</v>
      </c>
      <c r="L52" s="66"/>
      <c r="M52" s="66"/>
      <c r="N52" s="66"/>
      <c r="O52" s="66"/>
      <c r="P52" s="66"/>
      <c r="Q52" s="66"/>
      <c r="R52" s="66"/>
      <c r="S52" s="66"/>
      <c r="T52" s="66"/>
      <c r="U52" s="66"/>
      <c r="V52" s="66"/>
      <c r="W52" s="66"/>
      <c r="X52" s="66"/>
    </row>
    <row r="53">
      <c r="A53" s="72" t="s">
        <v>6219</v>
      </c>
      <c r="B53" s="293" t="s">
        <v>6220</v>
      </c>
      <c r="C53" s="72" t="s">
        <v>6221</v>
      </c>
      <c r="D53" s="293" t="s">
        <v>6222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6223</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6224</v>
      </c>
      <c r="J53" s="294" t="s">
        <v>6225</v>
      </c>
      <c r="K53" s="110" t="s">
        <v>6226</v>
      </c>
      <c r="L53" s="66"/>
      <c r="M53" s="66"/>
      <c r="N53" s="66"/>
      <c r="O53" s="66"/>
      <c r="P53" s="66"/>
      <c r="Q53" s="66"/>
      <c r="R53" s="66"/>
      <c r="S53" s="66"/>
      <c r="T53" s="66"/>
      <c r="U53" s="66"/>
      <c r="V53" s="66"/>
      <c r="W53" s="66"/>
      <c r="X53" s="66"/>
    </row>
    <row r="54">
      <c r="A54" s="72" t="s">
        <v>6227</v>
      </c>
      <c r="B54" s="293" t="s">
        <v>6228</v>
      </c>
      <c r="C54" s="72" t="s">
        <v>6229</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6230</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6231</v>
      </c>
      <c r="J54" s="294" t="s">
        <v>6232</v>
      </c>
      <c r="K54" s="110" t="s">
        <v>6233</v>
      </c>
      <c r="L54" s="66"/>
      <c r="M54" s="66"/>
      <c r="N54" s="66"/>
      <c r="O54" s="66"/>
      <c r="P54" s="66"/>
      <c r="Q54" s="66"/>
      <c r="R54" s="66"/>
      <c r="S54" s="66"/>
      <c r="T54" s="66"/>
      <c r="U54" s="66"/>
      <c r="V54" s="66"/>
      <c r="W54" s="66"/>
      <c r="X54" s="66"/>
    </row>
    <row r="55">
      <c r="A55" s="72" t="s">
        <v>6234</v>
      </c>
      <c r="B55" s="293" t="s">
        <v>6235</v>
      </c>
      <c r="C55" s="72" t="s">
        <v>6236</v>
      </c>
      <c r="D55" s="293" t="s">
        <v>6237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6238</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6239</v>
      </c>
      <c r="J55" s="294" t="s">
        <v>6240</v>
      </c>
      <c r="K55" s="72" t="s">
        <v>6241</v>
      </c>
      <c r="L55" s="66"/>
      <c r="M55" s="66"/>
      <c r="N55" s="66"/>
      <c r="O55" s="66"/>
      <c r="P55" s="66"/>
      <c r="Q55" s="66"/>
      <c r="R55" s="66"/>
      <c r="S55" s="66"/>
      <c r="T55" s="66"/>
      <c r="U55" s="66"/>
      <c r="V55" s="66"/>
      <c r="W55" s="66"/>
      <c r="X55" s="66"/>
    </row>
    <row r="56">
      <c r="A56" s="72" t="s">
        <v>6242</v>
      </c>
      <c r="B56" s="293" t="s">
        <v>6243</v>
      </c>
      <c r="C56" s="72" t="s">
        <v>6244</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6245</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6246</v>
      </c>
      <c r="J56" s="294" t="s">
        <v>6247</v>
      </c>
      <c r="K56" s="110" t="s">
        <v>6248</v>
      </c>
      <c r="L56" s="66"/>
      <c r="M56" s="66"/>
      <c r="N56" s="66"/>
      <c r="O56" s="66"/>
      <c r="P56" s="66"/>
      <c r="Q56" s="66"/>
      <c r="R56" s="66"/>
      <c r="S56" s="66"/>
      <c r="T56" s="66"/>
      <c r="U56" s="66"/>
      <c r="V56" s="66"/>
      <c r="W56" s="66"/>
      <c r="X56" s="66"/>
    </row>
    <row r="57">
      <c r="A57" s="72" t="s">
        <v>6249</v>
      </c>
      <c r="B57" s="293" t="s">
        <v>6250</v>
      </c>
      <c r="C57" s="72" t="s">
        <v>6251</v>
      </c>
      <c r="D57" s="293" t="s">
        <v>6252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6253</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6254</v>
      </c>
      <c r="J57" s="294" t="s">
        <v>6255</v>
      </c>
      <c r="K57" s="110" t="s">
        <v>6256</v>
      </c>
      <c r="L57" s="66"/>
      <c r="M57" s="66"/>
      <c r="N57" s="66"/>
      <c r="O57" s="66"/>
      <c r="P57" s="66"/>
      <c r="Q57" s="66"/>
      <c r="R57" s="66"/>
      <c r="S57" s="66"/>
      <c r="T57" s="66"/>
      <c r="U57" s="66"/>
      <c r="V57" s="66"/>
      <c r="W57" s="66"/>
      <c r="X57" s="66"/>
    </row>
    <row r="58">
      <c r="A58" s="72" t="s">
        <v>6257</v>
      </c>
      <c r="B58" s="293" t="s">
        <v>6258</v>
      </c>
      <c r="C58" s="72" t="s">
        <v>6259</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6260</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6261</v>
      </c>
      <c r="J58" s="294" t="s">
        <v>6262</v>
      </c>
      <c r="K58" s="110" t="s">
        <v>6263</v>
      </c>
      <c r="L58" s="66"/>
      <c r="M58" s="66"/>
      <c r="N58" s="66"/>
      <c r="O58" s="66"/>
      <c r="P58" s="66"/>
      <c r="Q58" s="66"/>
      <c r="R58" s="66"/>
      <c r="S58" s="66"/>
      <c r="T58" s="66"/>
      <c r="U58" s="66"/>
      <c r="V58" s="66"/>
      <c r="W58" s="66"/>
      <c r="X58" s="66"/>
    </row>
    <row r="59">
      <c r="A59" s="72" t="s">
        <v>6264</v>
      </c>
      <c r="B59" s="293" t="s">
        <v>6265</v>
      </c>
      <c r="C59" s="72" t="s">
        <v>6266</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142" t="s">
        <v>6267</v>
      </c>
      <c r="H59" s="294" t="str">
        <f>IFERROR(__xludf.DUMMYFUNCTION("GOOGLETRANSLATE(A59,""zh-tw"",""de"")"),"Meine Schwester lackiert ihre Nägel je nach Wetterlage in verschiedenen Farben.")</f>
        <v>Meine Schwester lackiert ihre Nägel je nach Wetterlage in verschiedenen Farben.</v>
      </c>
      <c r="I59" s="188" t="s">
        <v>6268</v>
      </c>
      <c r="J59" s="294" t="s">
        <v>6269</v>
      </c>
      <c r="K59" s="72" t="s">
        <v>6270</v>
      </c>
      <c r="L59" s="66"/>
      <c r="M59" s="66"/>
      <c r="N59" s="66"/>
      <c r="O59" s="66"/>
      <c r="P59" s="66"/>
      <c r="Q59" s="66"/>
      <c r="R59" s="66"/>
      <c r="S59" s="66"/>
      <c r="T59" s="66"/>
      <c r="U59" s="66"/>
      <c r="V59" s="66"/>
      <c r="W59" s="66"/>
      <c r="X59" s="66"/>
    </row>
    <row r="60">
      <c r="A60" s="72" t="s">
        <v>6271</v>
      </c>
      <c r="B60" s="293" t="s">
        <v>6272</v>
      </c>
      <c r="C60" s="72" t="s">
        <v>6273</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6274</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6275</v>
      </c>
      <c r="J60" s="294" t="s">
        <v>6276</v>
      </c>
      <c r="K60" s="110" t="s">
        <v>6277</v>
      </c>
      <c r="L60" s="66"/>
      <c r="M60" s="66"/>
      <c r="N60" s="66"/>
      <c r="O60" s="66"/>
      <c r="P60" s="66"/>
      <c r="Q60" s="66"/>
      <c r="R60" s="66"/>
      <c r="S60" s="66"/>
      <c r="T60" s="66"/>
      <c r="U60" s="66"/>
      <c r="V60" s="66"/>
      <c r="W60" s="66"/>
      <c r="X60" s="66"/>
    </row>
    <row r="61">
      <c r="A61" s="72" t="s">
        <v>6278</v>
      </c>
      <c r="B61" s="293" t="s">
        <v>6279</v>
      </c>
      <c r="C61" s="72" t="s">
        <v>6280</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142" t="s">
        <v>6281</v>
      </c>
      <c r="H61" s="294"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6282</v>
      </c>
      <c r="J61" s="294" t="s">
        <v>6283</v>
      </c>
      <c r="K61" s="110" t="s">
        <v>6284</v>
      </c>
      <c r="L61" s="66"/>
      <c r="M61" s="66"/>
      <c r="N61" s="66"/>
      <c r="O61" s="66"/>
      <c r="P61" s="66"/>
      <c r="Q61" s="66"/>
      <c r="R61" s="66"/>
      <c r="S61" s="66"/>
      <c r="T61" s="66"/>
      <c r="U61" s="66"/>
      <c r="V61" s="66"/>
      <c r="W61" s="66"/>
      <c r="X61" s="66"/>
    </row>
    <row r="62">
      <c r="A62" s="72" t="s">
        <v>6285</v>
      </c>
      <c r="B62" s="293" t="s">
        <v>6286</v>
      </c>
      <c r="C62" s="72" t="s">
        <v>6287</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6288</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6289</v>
      </c>
      <c r="J62" s="294" t="s">
        <v>6290</v>
      </c>
      <c r="K62" s="110" t="s">
        <v>6291</v>
      </c>
      <c r="L62" s="66"/>
      <c r="M62" s="66"/>
      <c r="N62" s="66"/>
      <c r="O62" s="66"/>
      <c r="P62" s="66"/>
      <c r="Q62" s="66"/>
      <c r="R62" s="66"/>
      <c r="S62" s="66"/>
      <c r="T62" s="66"/>
      <c r="U62" s="66"/>
      <c r="V62" s="66"/>
      <c r="W62" s="66"/>
      <c r="X62" s="66"/>
    </row>
    <row r="63">
      <c r="A63" s="72" t="s">
        <v>6292</v>
      </c>
      <c r="B63" s="293" t="s">
        <v>6293</v>
      </c>
      <c r="C63" s="72" t="s">
        <v>6294</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6295</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6296</v>
      </c>
      <c r="J63" s="294" t="s">
        <v>6297</v>
      </c>
      <c r="K63" s="110" t="s">
        <v>6298</v>
      </c>
      <c r="L63" s="66"/>
      <c r="M63" s="66"/>
      <c r="N63" s="66"/>
      <c r="O63" s="66"/>
      <c r="P63" s="66"/>
      <c r="Q63" s="66"/>
      <c r="R63" s="66"/>
      <c r="S63" s="66"/>
      <c r="T63" s="66"/>
      <c r="U63" s="66"/>
      <c r="V63" s="66"/>
      <c r="W63" s="66"/>
      <c r="X63" s="66"/>
    </row>
    <row r="64">
      <c r="A64" s="72" t="s">
        <v>6299</v>
      </c>
      <c r="B64" s="293" t="s">
        <v>6300</v>
      </c>
      <c r="C64" s="72" t="s">
        <v>6301</v>
      </c>
      <c r="D64" s="29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142" t="s">
        <v>6302</v>
      </c>
      <c r="H64" s="294" t="str">
        <f>IFERROR(__xludf.DUMMYFUNCTION("GOOGLETRANSLATE(A64,""zh-tw"",""de"")"),"Mit der Shift-Taste kann zwischen Geh- und Laufhaltung umgeschaltet werden.")</f>
        <v>Mit der Shift-Taste kann zwischen Geh- und Laufhaltung umgeschaltet werden.</v>
      </c>
      <c r="I64" s="188" t="s">
        <v>6303</v>
      </c>
      <c r="J64" s="294" t="s">
        <v>6304</v>
      </c>
      <c r="K64" s="110" t="s">
        <v>6305</v>
      </c>
      <c r="L64" s="66"/>
      <c r="M64" s="66"/>
      <c r="N64" s="66"/>
      <c r="O64" s="66"/>
      <c r="P64" s="66"/>
      <c r="Q64" s="66"/>
      <c r="R64" s="66"/>
      <c r="S64" s="66"/>
      <c r="T64" s="66"/>
      <c r="U64" s="66"/>
      <c r="V64" s="66"/>
      <c r="W64" s="66"/>
      <c r="X64" s="66"/>
    </row>
    <row r="65">
      <c r="A65" s="72" t="s">
        <v>6306</v>
      </c>
      <c r="B65" s="293" t="s">
        <v>6307</v>
      </c>
      <c r="C65" s="72" t="s">
        <v>6308</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6309</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6310</v>
      </c>
      <c r="J65" s="294" t="s">
        <v>6311</v>
      </c>
      <c r="K65" s="110" t="s">
        <v>6312</v>
      </c>
      <c r="L65" s="66"/>
      <c r="M65" s="66"/>
      <c r="N65" s="66"/>
      <c r="O65" s="66"/>
      <c r="P65" s="66"/>
      <c r="Q65" s="66"/>
      <c r="R65" s="66"/>
      <c r="S65" s="66"/>
      <c r="T65" s="66"/>
      <c r="U65" s="66"/>
      <c r="V65" s="66"/>
      <c r="W65" s="66"/>
      <c r="X65" s="66"/>
    </row>
    <row r="66">
      <c r="A66" s="72" t="s">
        <v>6313</v>
      </c>
      <c r="B66" s="293" t="s">
        <v>6314</v>
      </c>
      <c r="C66" s="72" t="s">
        <v>6315</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6316</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6317</v>
      </c>
      <c r="J66" s="294" t="s">
        <v>6318</v>
      </c>
      <c r="K66" s="72" t="s">
        <v>6319</v>
      </c>
      <c r="L66" s="66"/>
      <c r="M66" s="66"/>
      <c r="N66" s="66"/>
      <c r="O66" s="66"/>
      <c r="P66" s="66"/>
      <c r="Q66" s="66"/>
      <c r="R66" s="66"/>
      <c r="S66" s="66"/>
      <c r="T66" s="66"/>
      <c r="U66" s="66"/>
      <c r="V66" s="66"/>
      <c r="W66" s="66"/>
      <c r="X66" s="66"/>
    </row>
    <row r="67">
      <c r="A67" s="72" t="s">
        <v>6320</v>
      </c>
      <c r="B67" s="293" t="s">
        <v>6321</v>
      </c>
      <c r="C67" s="72" t="s">
        <v>6322</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6323</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6324</v>
      </c>
      <c r="J67" s="293" t="s">
        <v>6325</v>
      </c>
      <c r="K67" s="110" t="s">
        <v>6326</v>
      </c>
      <c r="L67" s="66"/>
      <c r="M67" s="66"/>
      <c r="N67" s="66"/>
      <c r="O67" s="66"/>
      <c r="P67" s="66"/>
      <c r="Q67" s="66"/>
      <c r="R67" s="66"/>
      <c r="S67" s="66"/>
      <c r="T67" s="66"/>
      <c r="U67" s="66"/>
      <c r="V67" s="66"/>
      <c r="W67" s="66"/>
      <c r="X67" s="66"/>
    </row>
    <row r="68">
      <c r="A68" s="72" t="s">
        <v>6327</v>
      </c>
      <c r="B68" s="293" t="s">
        <v>6328</v>
      </c>
      <c r="C68" s="72" t="s">
        <v>6329</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6330</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6331</v>
      </c>
      <c r="J68" s="294" t="s">
        <v>6332</v>
      </c>
      <c r="K68" s="110" t="s">
        <v>6333</v>
      </c>
      <c r="L68" s="66"/>
      <c r="M68" s="66"/>
      <c r="N68" s="66"/>
      <c r="O68" s="66"/>
      <c r="P68" s="66"/>
      <c r="Q68" s="66"/>
      <c r="R68" s="66"/>
      <c r="S68" s="66"/>
      <c r="T68" s="66"/>
      <c r="U68" s="66"/>
      <c r="V68" s="66"/>
      <c r="W68" s="66"/>
      <c r="X68" s="66"/>
    </row>
    <row r="69">
      <c r="A69" s="72" t="s">
        <v>6334</v>
      </c>
      <c r="B69" s="293" t="s">
        <v>6335</v>
      </c>
      <c r="C69" s="72" t="s">
        <v>6336</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6337</v>
      </c>
      <c r="H69" s="293" t="s">
        <v>6338</v>
      </c>
      <c r="I69" s="188" t="s">
        <v>6339</v>
      </c>
      <c r="J69" s="294" t="s">
        <v>6340</v>
      </c>
      <c r="K69" s="110" t="s">
        <v>6341</v>
      </c>
      <c r="L69" s="66"/>
      <c r="M69" s="66"/>
      <c r="N69" s="66"/>
      <c r="O69" s="66"/>
      <c r="P69" s="66"/>
      <c r="Q69" s="66"/>
      <c r="R69" s="66"/>
      <c r="S69" s="66"/>
      <c r="T69" s="66"/>
      <c r="U69" s="66"/>
      <c r="V69" s="66"/>
      <c r="W69" s="66"/>
      <c r="X69" s="66"/>
    </row>
    <row r="70">
      <c r="A70" s="72" t="s">
        <v>6342</v>
      </c>
      <c r="B70" s="293" t="s">
        <v>6343</v>
      </c>
      <c r="C70" s="72" t="s">
        <v>6344</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6345</v>
      </c>
      <c r="H70" s="293" t="s">
        <v>6346</v>
      </c>
      <c r="I70" s="188" t="s">
        <v>6347</v>
      </c>
      <c r="J70" s="294" t="s">
        <v>6348</v>
      </c>
      <c r="K70" s="110" t="s">
        <v>6349</v>
      </c>
      <c r="L70" s="66"/>
      <c r="M70" s="66"/>
      <c r="N70" s="66"/>
      <c r="O70" s="66"/>
      <c r="P70" s="66"/>
      <c r="Q70" s="66"/>
      <c r="R70" s="66"/>
      <c r="S70" s="66"/>
      <c r="T70" s="66"/>
      <c r="U70" s="66"/>
      <c r="V70" s="66"/>
      <c r="W70" s="66"/>
      <c r="X70" s="66"/>
    </row>
    <row r="71">
      <c r="A71" s="72" t="s">
        <v>6350</v>
      </c>
      <c r="B71" s="293" t="s">
        <v>6351</v>
      </c>
      <c r="C71" s="72" t="s">
        <v>6352</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142" t="s">
        <v>6353</v>
      </c>
      <c r="H71" s="293" t="s">
        <v>6354</v>
      </c>
      <c r="I71" s="188" t="s">
        <v>6355</v>
      </c>
      <c r="J71" s="294" t="s">
        <v>6356</v>
      </c>
      <c r="K71" s="110" t="s">
        <v>6357</v>
      </c>
      <c r="L71" s="66"/>
      <c r="M71" s="66"/>
      <c r="N71" s="66"/>
      <c r="O71" s="66"/>
      <c r="P71" s="66"/>
      <c r="Q71" s="66"/>
      <c r="R71" s="66"/>
      <c r="S71" s="66"/>
      <c r="T71" s="66"/>
      <c r="U71" s="66"/>
      <c r="V71" s="66"/>
      <c r="W71" s="66"/>
      <c r="X71" s="66"/>
    </row>
    <row r="72">
      <c r="A72" s="72" t="s">
        <v>6358</v>
      </c>
      <c r="B72" s="293" t="s">
        <v>6359</v>
      </c>
      <c r="C72" s="72" t="s">
        <v>6360</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6361</v>
      </c>
      <c r="H72" s="293" t="s">
        <v>6362</v>
      </c>
      <c r="I72" s="188" t="s">
        <v>6363</v>
      </c>
      <c r="J72" s="294" t="s">
        <v>6364</v>
      </c>
      <c r="K72" s="72" t="s">
        <v>6365</v>
      </c>
      <c r="L72" s="66"/>
      <c r="M72" s="66"/>
      <c r="N72" s="66"/>
      <c r="O72" s="66"/>
      <c r="P72" s="66"/>
      <c r="Q72" s="66"/>
      <c r="R72" s="66"/>
      <c r="S72" s="66"/>
      <c r="T72" s="66"/>
      <c r="U72" s="66"/>
      <c r="V72" s="66"/>
      <c r="W72" s="66"/>
      <c r="X72" s="66"/>
    </row>
    <row r="73">
      <c r="A73" s="72" t="s">
        <v>6366</v>
      </c>
      <c r="B73" s="293" t="s">
        <v>6367</v>
      </c>
      <c r="C73" s="72" t="s">
        <v>6368</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6369</v>
      </c>
      <c r="H73" s="293" t="s">
        <v>6370</v>
      </c>
      <c r="I73" s="188" t="s">
        <v>6371</v>
      </c>
      <c r="J73" s="294" t="s">
        <v>6372</v>
      </c>
      <c r="K73" s="110" t="s">
        <v>6373</v>
      </c>
      <c r="L73" s="66"/>
      <c r="M73" s="66"/>
      <c r="N73" s="66"/>
      <c r="O73" s="66"/>
      <c r="P73" s="66"/>
      <c r="Q73" s="66"/>
      <c r="R73" s="66"/>
      <c r="S73" s="66"/>
      <c r="T73" s="66"/>
      <c r="U73" s="66"/>
      <c r="V73" s="66"/>
      <c r="W73" s="66"/>
      <c r="X73" s="66"/>
    </row>
    <row r="74">
      <c r="A74" s="72" t="s">
        <v>6374</v>
      </c>
      <c r="B74" s="293" t="s">
        <v>6375</v>
      </c>
      <c r="C74" s="72" t="s">
        <v>6376</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6377</v>
      </c>
      <c r="H74" s="293" t="s">
        <v>6378</v>
      </c>
      <c r="I74" s="188" t="s">
        <v>6379</v>
      </c>
      <c r="J74" s="294" t="s">
        <v>6380</v>
      </c>
      <c r="K74" s="110" t="s">
        <v>6381</v>
      </c>
      <c r="L74" s="66"/>
      <c r="M74" s="66"/>
      <c r="N74" s="66"/>
      <c r="O74" s="66"/>
      <c r="P74" s="66"/>
      <c r="Q74" s="66"/>
      <c r="R74" s="66"/>
      <c r="S74" s="66"/>
      <c r="T74" s="66"/>
      <c r="U74" s="66"/>
      <c r="V74" s="66"/>
      <c r="W74" s="66"/>
      <c r="X74" s="66"/>
    </row>
    <row r="75">
      <c r="A75" s="72" t="s">
        <v>6382</v>
      </c>
      <c r="B75" s="293" t="s">
        <v>6383</v>
      </c>
      <c r="C75" s="72" t="s">
        <v>6384</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6385</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6386</v>
      </c>
      <c r="J75" s="294" t="s">
        <v>6387</v>
      </c>
      <c r="K75" s="110" t="s">
        <v>6388</v>
      </c>
      <c r="L75" s="66"/>
      <c r="M75" s="66"/>
      <c r="N75" s="66"/>
      <c r="O75" s="66"/>
      <c r="P75" s="66"/>
      <c r="Q75" s="66"/>
      <c r="R75" s="66"/>
      <c r="S75" s="66"/>
      <c r="T75" s="66"/>
      <c r="U75" s="66"/>
      <c r="V75" s="66"/>
      <c r="W75" s="66"/>
      <c r="X75" s="66"/>
    </row>
    <row r="76">
      <c r="A76" s="75" t="s">
        <v>6389</v>
      </c>
      <c r="B76" s="293" t="s">
        <v>6390</v>
      </c>
      <c r="C76" s="75" t="s">
        <v>6391</v>
      </c>
      <c r="D76" s="293" t="str">
        <f>IFERROR(__xludf.DUMMYFUNCTION("GOOGLETRANSLATE(A76,""zh-tw"",""zh"")"),"牛奶是最好的解辣饮品，能大幅缩短解除辣哭了的持续时间")</f>
        <v>牛奶是最好的解辣饮品，能大幅缩短解除辣哭了的持续时间</v>
      </c>
      <c r="E76" s="72" t="s">
        <v>6392</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6393</v>
      </c>
      <c r="H76" s="294" t="s">
        <v>6394</v>
      </c>
      <c r="I76" s="188" t="s">
        <v>6395</v>
      </c>
      <c r="J76" s="294" t="s">
        <v>6396</v>
      </c>
      <c r="K76" s="110" t="s">
        <v>6397</v>
      </c>
      <c r="L76" s="66"/>
      <c r="M76" s="66"/>
      <c r="N76" s="66"/>
      <c r="O76" s="66"/>
      <c r="P76" s="66"/>
      <c r="Q76" s="66"/>
      <c r="R76" s="66"/>
      <c r="S76" s="66"/>
      <c r="T76" s="66"/>
      <c r="U76" s="66"/>
      <c r="V76" s="66"/>
      <c r="W76" s="66"/>
      <c r="X76" s="66"/>
    </row>
    <row r="77">
      <c r="A77" s="75" t="s">
        <v>6398</v>
      </c>
      <c r="B77" s="294" t="s">
        <v>6399</v>
      </c>
      <c r="C77" s="75" t="s">
        <v>6400</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6401</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6402</v>
      </c>
      <c r="H77" s="294" t="s">
        <v>6403</v>
      </c>
      <c r="I77" s="188" t="s">
        <v>6404</v>
      </c>
      <c r="J77" s="294" t="s">
        <v>6405</v>
      </c>
      <c r="K77" s="110" t="s">
        <v>6406</v>
      </c>
      <c r="L77" s="66"/>
      <c r="M77" s="66"/>
      <c r="N77" s="66"/>
      <c r="O77" s="66"/>
      <c r="P77" s="66"/>
      <c r="Q77" s="66"/>
      <c r="R77" s="66"/>
      <c r="S77" s="66"/>
      <c r="T77" s="66"/>
      <c r="U77" s="66"/>
      <c r="V77" s="66"/>
      <c r="W77" s="66"/>
      <c r="X77" s="66"/>
    </row>
    <row r="78">
      <c r="A78" s="75" t="s">
        <v>6407</v>
      </c>
      <c r="B78" s="294" t="s">
        <v>6408</v>
      </c>
      <c r="C78" s="75" t="s">
        <v>6409</v>
      </c>
      <c r="D78" s="293" t="str">
        <f>IFERROR(__xludf.DUMMYFUNCTION("GOOGLETRANSLATE(A78,""zh-tw"",""zh"")"),"ASABA通常会出现在路边的草莓丛中")</f>
        <v>ASABA通常会出现在路边的草莓丛中</v>
      </c>
      <c r="E78" s="72" t="s">
        <v>6410</v>
      </c>
      <c r="F78" s="294" t="str">
        <f>IFERROR(__xludf.DUMMYFUNCTION("GOOGLETRANSLATE(A78,""zh-tw"",""KO"")"),"아사바는 보통 길가 딸기 덤불에서 발견됩니다.")</f>
        <v>아사바는 보통 길가 딸기 덤불에서 발견됩니다.</v>
      </c>
      <c r="G78" s="142" t="s">
        <v>6411</v>
      </c>
      <c r="H78" s="294" t="s">
        <v>6412</v>
      </c>
      <c r="I78" s="188" t="s">
        <v>6413</v>
      </c>
      <c r="J78" s="294" t="s">
        <v>6414</v>
      </c>
      <c r="K78" s="110" t="s">
        <v>6415</v>
      </c>
      <c r="L78" s="66"/>
      <c r="M78" s="66"/>
      <c r="N78" s="66"/>
      <c r="O78" s="66"/>
      <c r="P78" s="66"/>
      <c r="Q78" s="66"/>
      <c r="R78" s="66"/>
      <c r="S78" s="66"/>
      <c r="T78" s="66"/>
      <c r="U78" s="66"/>
      <c r="V78" s="66"/>
      <c r="W78" s="66"/>
      <c r="X78" s="66"/>
    </row>
    <row r="79">
      <c r="A79" s="75" t="s">
        <v>6416</v>
      </c>
      <c r="B79" s="294" t="s">
        <v>6417</v>
      </c>
      <c r="C79" s="75" t="s">
        <v>6418</v>
      </c>
      <c r="D79" s="293" t="str">
        <f>IFERROR(__xludf.DUMMYFUNCTION("GOOGLETRANSLATE(A79,""zh-tw"",""zh"")"),"""草莓""食材，目前无实际用途，等待未来更新")</f>
        <v>"草莓"食材，目前无实际用途，等待未来更新</v>
      </c>
      <c r="E79" s="72" t="s">
        <v>6419</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6420</v>
      </c>
      <c r="H79" s="294" t="s">
        <v>6421</v>
      </c>
      <c r="I79" s="188" t="s">
        <v>6422</v>
      </c>
      <c r="J79" s="294" t="s">
        <v>6423</v>
      </c>
      <c r="K79" s="110" t="s">
        <v>6424</v>
      </c>
      <c r="L79" s="66"/>
      <c r="M79" s="66"/>
      <c r="N79" s="66"/>
      <c r="O79" s="66"/>
      <c r="P79" s="66"/>
      <c r="Q79" s="66"/>
      <c r="R79" s="66"/>
      <c r="S79" s="66"/>
      <c r="T79" s="66"/>
      <c r="U79" s="66"/>
      <c r="V79" s="66"/>
      <c r="W79" s="66"/>
      <c r="X79" s="66"/>
    </row>
    <row r="80">
      <c r="A80" s="72" t="s">
        <v>6425</v>
      </c>
      <c r="B80" s="293" t="s">
        <v>6426</v>
      </c>
      <c r="C80" s="72" t="s">
        <v>6427</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6428</v>
      </c>
      <c r="F80" s="294"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142" t="s">
        <v>6429</v>
      </c>
      <c r="H80" s="294" t="s">
        <v>6430</v>
      </c>
      <c r="I80" s="134" t="s">
        <v>6431</v>
      </c>
      <c r="J80" s="294" t="s">
        <v>6432</v>
      </c>
      <c r="K80" s="110" t="s">
        <v>6433</v>
      </c>
      <c r="L80" s="66"/>
      <c r="M80" s="66"/>
      <c r="N80" s="66"/>
      <c r="O80" s="66"/>
      <c r="P80" s="66"/>
      <c r="Q80" s="66"/>
      <c r="R80" s="66"/>
      <c r="S80" s="66"/>
      <c r="T80" s="66"/>
      <c r="U80" s="66"/>
      <c r="V80" s="66"/>
      <c r="W80" s="66"/>
      <c r="X80" s="66"/>
    </row>
    <row r="81">
      <c r="A81" s="72" t="s">
        <v>6434</v>
      </c>
      <c r="B81" s="293" t="s">
        <v>6435</v>
      </c>
      <c r="C81" s="72" t="s">
        <v>6436</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6437</v>
      </c>
      <c r="H81" s="298" t="s">
        <v>6438</v>
      </c>
      <c r="I81" s="188" t="s">
        <v>6439</v>
      </c>
      <c r="J81" s="294" t="s">
        <v>6440</v>
      </c>
      <c r="K81" s="110" t="s">
        <v>6441</v>
      </c>
      <c r="L81" s="66"/>
      <c r="M81" s="66"/>
      <c r="N81" s="66"/>
      <c r="O81" s="66"/>
      <c r="P81" s="66"/>
      <c r="Q81" s="66"/>
      <c r="R81" s="66"/>
      <c r="S81" s="66"/>
      <c r="T81" s="66"/>
      <c r="U81" s="66"/>
      <c r="V81" s="66"/>
      <c r="W81" s="66"/>
      <c r="X81" s="66"/>
    </row>
    <row r="82">
      <c r="A82" s="72" t="s">
        <v>6442</v>
      </c>
      <c r="B82" s="293" t="s">
        <v>6443</v>
      </c>
      <c r="C82" s="72" t="s">
        <v>6444</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6445</v>
      </c>
      <c r="H82" s="293" t="s">
        <v>6446</v>
      </c>
      <c r="I82" s="134" t="s">
        <v>6447</v>
      </c>
      <c r="J82" s="294" t="s">
        <v>6448</v>
      </c>
      <c r="K82" s="110" t="s">
        <v>6449</v>
      </c>
      <c r="L82" s="66"/>
      <c r="M82" s="66"/>
      <c r="N82" s="66"/>
      <c r="O82" s="66"/>
      <c r="P82" s="66"/>
      <c r="Q82" s="66"/>
      <c r="R82" s="66"/>
      <c r="S82" s="66"/>
      <c r="T82" s="66"/>
      <c r="U82" s="66"/>
      <c r="V82" s="66"/>
      <c r="W82" s="66"/>
      <c r="X82" s="66"/>
    </row>
    <row r="83">
      <c r="A83" s="75" t="s">
        <v>6450</v>
      </c>
      <c r="B83" s="293" t="s">
        <v>6451</v>
      </c>
      <c r="C83" s="75" t="s">
        <v>6452</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6453</v>
      </c>
      <c r="H83" s="294" t="s">
        <v>6454</v>
      </c>
      <c r="I83" s="188" t="s">
        <v>6455</v>
      </c>
      <c r="J83" s="294" t="s">
        <v>6456</v>
      </c>
      <c r="K83" s="110" t="s">
        <v>6457</v>
      </c>
      <c r="L83" s="66"/>
      <c r="M83" s="66"/>
      <c r="N83" s="66"/>
      <c r="O83" s="66"/>
      <c r="P83" s="66"/>
      <c r="Q83" s="66"/>
      <c r="R83" s="66"/>
      <c r="S83" s="66"/>
      <c r="T83" s="66"/>
      <c r="U83" s="66"/>
      <c r="V83" s="66"/>
      <c r="W83" s="66"/>
      <c r="X83" s="66"/>
    </row>
    <row r="84" ht="53.25" customHeight="1">
      <c r="A84" s="75" t="s">
        <v>6458</v>
      </c>
      <c r="B84" s="293" t="s">
        <v>6459</v>
      </c>
      <c r="C84" s="75" t="s">
        <v>6460</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6461</v>
      </c>
      <c r="H84" s="294" t="s">
        <v>6462</v>
      </c>
      <c r="I84" s="188" t="s">
        <v>6463</v>
      </c>
      <c r="J84" s="294" t="s">
        <v>6464</v>
      </c>
      <c r="K84" s="110" t="s">
        <v>6465</v>
      </c>
      <c r="L84" s="66"/>
      <c r="M84" s="66"/>
      <c r="N84" s="66"/>
      <c r="O84" s="66"/>
      <c r="P84" s="66"/>
      <c r="Q84" s="66"/>
      <c r="R84" s="66"/>
      <c r="S84" s="66"/>
      <c r="T84" s="66"/>
      <c r="U84" s="66"/>
      <c r="V84" s="66"/>
      <c r="W84" s="66"/>
      <c r="X84" s="66"/>
    </row>
    <row r="85">
      <c r="A85" s="72" t="s">
        <v>6466</v>
      </c>
      <c r="B85" s="293" t="s">
        <v>6467</v>
      </c>
      <c r="C85" s="72" t="s">
        <v>6468</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6469</v>
      </c>
      <c r="F85" s="29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6470</v>
      </c>
      <c r="H85" s="293" t="s">
        <v>6471</v>
      </c>
      <c r="I85" s="134" t="s">
        <v>6472</v>
      </c>
      <c r="J85" s="294" t="s">
        <v>6473</v>
      </c>
      <c r="K85" s="72" t="s">
        <v>6474</v>
      </c>
      <c r="L85" s="66"/>
      <c r="M85" s="66"/>
      <c r="N85" s="66"/>
      <c r="O85" s="66"/>
      <c r="P85" s="66"/>
      <c r="Q85" s="66"/>
      <c r="R85" s="66"/>
      <c r="S85" s="66"/>
      <c r="T85" s="66"/>
      <c r="U85" s="66"/>
      <c r="V85" s="66"/>
      <c r="W85" s="66"/>
      <c r="X85" s="66"/>
    </row>
    <row r="86">
      <c r="A86" s="75" t="s">
        <v>6475</v>
      </c>
      <c r="B86" s="294" t="s">
        <v>6476</v>
      </c>
      <c r="C86" s="75" t="s">
        <v>6477</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6478</v>
      </c>
      <c r="F86" s="294"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142" t="s">
        <v>6479</v>
      </c>
      <c r="H86" s="294" t="s">
        <v>6480</v>
      </c>
      <c r="I86" s="134" t="s">
        <v>6481</v>
      </c>
      <c r="J86" s="294" t="s">
        <v>6482</v>
      </c>
      <c r="K86" s="72" t="s">
        <v>6483</v>
      </c>
      <c r="L86" s="66"/>
      <c r="M86" s="66"/>
      <c r="N86" s="66"/>
      <c r="O86" s="66"/>
      <c r="P86" s="66"/>
      <c r="Q86" s="66"/>
      <c r="R86" s="66"/>
      <c r="S86" s="66"/>
      <c r="T86" s="66"/>
      <c r="U86" s="66"/>
      <c r="V86" s="66"/>
      <c r="W86" s="66"/>
      <c r="X86" s="66"/>
    </row>
    <row r="87">
      <c r="A87" s="75" t="s">
        <v>6484</v>
      </c>
      <c r="B87" s="294" t="s">
        <v>6485</v>
      </c>
      <c r="C87" s="75" t="s">
        <v>6486</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6487</v>
      </c>
      <c r="H87" s="294" t="s">
        <v>6488</v>
      </c>
      <c r="I87" s="188" t="s">
        <v>6489</v>
      </c>
      <c r="J87" s="294" t="s">
        <v>6490</v>
      </c>
      <c r="K87" s="110" t="s">
        <v>6491</v>
      </c>
      <c r="L87" s="66"/>
      <c r="M87" s="66"/>
      <c r="N87" s="66"/>
      <c r="O87" s="66"/>
      <c r="P87" s="66"/>
      <c r="Q87" s="66"/>
      <c r="R87" s="66"/>
      <c r="S87" s="66"/>
      <c r="T87" s="66"/>
      <c r="U87" s="66"/>
      <c r="V87" s="66"/>
      <c r="W87" s="66"/>
      <c r="X87" s="66"/>
    </row>
    <row r="88">
      <c r="A88" s="75" t="s">
        <v>6492</v>
      </c>
      <c r="B88" s="294" t="s">
        <v>6493</v>
      </c>
      <c r="C88" s="75" t="s">
        <v>6494</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6495</v>
      </c>
      <c r="H88" s="294" t="s">
        <v>6496</v>
      </c>
      <c r="I88" s="188" t="s">
        <v>6497</v>
      </c>
      <c r="J88" s="294" t="s">
        <v>6498</v>
      </c>
      <c r="K88" s="110" t="s">
        <v>6499</v>
      </c>
      <c r="L88" s="66"/>
      <c r="M88" s="66"/>
      <c r="N88" s="66"/>
      <c r="O88" s="66"/>
      <c r="P88" s="66"/>
      <c r="Q88" s="66"/>
      <c r="R88" s="66"/>
      <c r="S88" s="66"/>
      <c r="T88" s="66"/>
      <c r="U88" s="66"/>
      <c r="V88" s="66"/>
      <c r="W88" s="66"/>
      <c r="X88" s="66"/>
    </row>
    <row r="89">
      <c r="A89" s="72" t="s">
        <v>6500</v>
      </c>
      <c r="B89" s="293" t="s">
        <v>6501</v>
      </c>
      <c r="C89" s="72" t="s">
        <v>6502</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6503</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6504</v>
      </c>
      <c r="J89" s="294" t="s">
        <v>6505</v>
      </c>
      <c r="K89" s="110" t="s">
        <v>6506</v>
      </c>
      <c r="L89" s="66"/>
      <c r="M89" s="66"/>
      <c r="N89" s="66"/>
      <c r="O89" s="66"/>
      <c r="P89" s="66"/>
      <c r="Q89" s="66"/>
      <c r="R89" s="66"/>
      <c r="S89" s="66"/>
      <c r="T89" s="66"/>
      <c r="U89" s="66"/>
      <c r="V89" s="66"/>
      <c r="W89" s="66"/>
      <c r="X89" s="66"/>
    </row>
    <row r="90">
      <c r="A90" s="75" t="s">
        <v>6507</v>
      </c>
      <c r="B90" s="294" t="s">
        <v>6508</v>
      </c>
      <c r="C90" s="75" t="s">
        <v>6509</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6510</v>
      </c>
      <c r="H90" s="294" t="s">
        <v>6511</v>
      </c>
      <c r="I90" s="188" t="s">
        <v>6512</v>
      </c>
      <c r="J90" s="294" t="s">
        <v>6513</v>
      </c>
      <c r="K90" s="110" t="s">
        <v>6514</v>
      </c>
      <c r="L90" s="66"/>
      <c r="M90" s="66"/>
      <c r="N90" s="66"/>
      <c r="O90" s="66"/>
      <c r="P90" s="66"/>
      <c r="Q90" s="66"/>
      <c r="R90" s="66"/>
      <c r="S90" s="66"/>
      <c r="T90" s="66"/>
      <c r="U90" s="66"/>
      <c r="V90" s="66"/>
      <c r="W90" s="66"/>
      <c r="X90" s="66"/>
    </row>
    <row r="91">
      <c r="A91" s="72" t="s">
        <v>6515</v>
      </c>
      <c r="B91" s="293" t="s">
        <v>6516</v>
      </c>
      <c r="C91" s="72" t="s">
        <v>6517</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6518</v>
      </c>
      <c r="H91" s="293" t="s">
        <v>6519</v>
      </c>
      <c r="I91" s="188" t="s">
        <v>6520</v>
      </c>
      <c r="J91" s="294" t="s">
        <v>6521</v>
      </c>
      <c r="K91" s="110" t="s">
        <v>6522</v>
      </c>
      <c r="L91" s="66"/>
      <c r="M91" s="66"/>
      <c r="N91" s="66"/>
      <c r="O91" s="66"/>
      <c r="P91" s="66"/>
      <c r="Q91" s="66"/>
      <c r="R91" s="66"/>
      <c r="S91" s="66"/>
      <c r="T91" s="66"/>
      <c r="U91" s="66"/>
      <c r="V91" s="66"/>
      <c r="W91" s="66"/>
      <c r="X91" s="66"/>
    </row>
    <row r="92">
      <c r="A92" s="75" t="s">
        <v>6523</v>
      </c>
      <c r="B92" s="293" t="s">
        <v>6524</v>
      </c>
      <c r="C92" s="75" t="s">
        <v>6525</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6526</v>
      </c>
      <c r="H92" s="294" t="s">
        <v>6527</v>
      </c>
      <c r="I92" s="188" t="s">
        <v>6528</v>
      </c>
      <c r="J92" s="294" t="s">
        <v>6529</v>
      </c>
      <c r="K92" s="110" t="s">
        <v>6530</v>
      </c>
      <c r="L92" s="66"/>
      <c r="M92" s="66"/>
      <c r="N92" s="66"/>
      <c r="O92" s="66"/>
      <c r="P92" s="66"/>
      <c r="Q92" s="66"/>
      <c r="R92" s="66"/>
      <c r="S92" s="66"/>
      <c r="T92" s="66"/>
      <c r="U92" s="66"/>
      <c r="V92" s="66"/>
      <c r="W92" s="66"/>
      <c r="X92" s="66"/>
    </row>
    <row r="93">
      <c r="A93" s="75" t="s">
        <v>6531</v>
      </c>
      <c r="B93" s="294" t="s">
        <v>6532</v>
      </c>
      <c r="C93" s="75" t="s">
        <v>6533</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6534</v>
      </c>
      <c r="H93" s="294" t="s">
        <v>6535</v>
      </c>
      <c r="I93" s="188" t="s">
        <v>6536</v>
      </c>
      <c r="J93" s="294" t="s">
        <v>6537</v>
      </c>
      <c r="K93" s="110" t="s">
        <v>6538</v>
      </c>
      <c r="L93" s="66"/>
      <c r="M93" s="66"/>
      <c r="N93" s="66"/>
      <c r="O93" s="66"/>
      <c r="P93" s="66"/>
      <c r="Q93" s="66"/>
      <c r="R93" s="66"/>
      <c r="S93" s="66"/>
      <c r="T93" s="66"/>
      <c r="U93" s="66"/>
      <c r="V93" s="66"/>
      <c r="W93" s="66"/>
      <c r="X93" s="66"/>
    </row>
    <row r="94">
      <c r="A94" s="75" t="s">
        <v>6539</v>
      </c>
      <c r="B94" s="294" t="s">
        <v>6540</v>
      </c>
      <c r="C94" s="75" t="s">
        <v>6541</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6542</v>
      </c>
      <c r="H94" s="294" t="s">
        <v>6543</v>
      </c>
      <c r="I94" s="188" t="s">
        <v>6544</v>
      </c>
      <c r="J94" s="294" t="s">
        <v>6545</v>
      </c>
      <c r="K94" s="110" t="s">
        <v>6546</v>
      </c>
      <c r="L94" s="66"/>
      <c r="M94" s="66"/>
      <c r="N94" s="66"/>
      <c r="O94" s="66"/>
      <c r="P94" s="66"/>
      <c r="Q94" s="66"/>
      <c r="R94" s="66"/>
      <c r="S94" s="66"/>
      <c r="T94" s="66"/>
      <c r="U94" s="66"/>
      <c r="V94" s="66"/>
      <c r="W94" s="66"/>
      <c r="X94" s="66"/>
    </row>
    <row r="95">
      <c r="A95" s="72" t="s">
        <v>6547</v>
      </c>
      <c r="B95" s="294" t="s">
        <v>6548</v>
      </c>
      <c r="C95" s="75" t="s">
        <v>6549</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6550</v>
      </c>
      <c r="H95" s="294" t="s">
        <v>6551</v>
      </c>
      <c r="I95" s="188" t="s">
        <v>6552</v>
      </c>
      <c r="J95" s="294" t="s">
        <v>6553</v>
      </c>
      <c r="K95" s="110" t="s">
        <v>6554</v>
      </c>
      <c r="L95" s="66"/>
      <c r="M95" s="66"/>
      <c r="N95" s="66"/>
      <c r="O95" s="66"/>
      <c r="P95" s="66"/>
      <c r="Q95" s="66"/>
      <c r="R95" s="66"/>
      <c r="S95" s="66"/>
      <c r="T95" s="66"/>
      <c r="U95" s="66"/>
      <c r="V95" s="66"/>
      <c r="W95" s="66"/>
      <c r="X95" s="66"/>
    </row>
    <row r="96">
      <c r="A96" s="72" t="s">
        <v>6555</v>
      </c>
      <c r="B96" s="294" t="s">
        <v>6556</v>
      </c>
      <c r="C96" s="75" t="s">
        <v>6557</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6558</v>
      </c>
      <c r="H96" s="294" t="s">
        <v>6559</v>
      </c>
      <c r="I96" s="188" t="s">
        <v>6560</v>
      </c>
      <c r="J96" s="294" t="s">
        <v>6561</v>
      </c>
      <c r="K96" s="110" t="s">
        <v>6562</v>
      </c>
      <c r="L96" s="66"/>
      <c r="M96" s="66"/>
      <c r="N96" s="66"/>
      <c r="O96" s="66"/>
      <c r="P96" s="66"/>
      <c r="Q96" s="66"/>
      <c r="R96" s="66"/>
      <c r="S96" s="66"/>
      <c r="T96" s="66"/>
      <c r="U96" s="66"/>
      <c r="V96" s="66"/>
      <c r="W96" s="66"/>
      <c r="X96" s="66"/>
    </row>
    <row r="97">
      <c r="A97" s="72" t="s">
        <v>6563</v>
      </c>
      <c r="B97" s="294" t="s">
        <v>6564</v>
      </c>
      <c r="C97" s="75" t="s">
        <v>6565</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6566</v>
      </c>
      <c r="H97" s="294" t="s">
        <v>6567</v>
      </c>
      <c r="I97" s="188" t="s">
        <v>6568</v>
      </c>
      <c r="J97" s="294" t="s">
        <v>6569</v>
      </c>
      <c r="K97" s="110" t="s">
        <v>6570</v>
      </c>
      <c r="L97" s="66"/>
      <c r="M97" s="66"/>
      <c r="N97" s="66"/>
      <c r="O97" s="66"/>
      <c r="P97" s="66"/>
      <c r="Q97" s="66"/>
      <c r="R97" s="66"/>
      <c r="S97" s="66"/>
      <c r="T97" s="66"/>
      <c r="U97" s="66"/>
      <c r="V97" s="66"/>
      <c r="W97" s="66"/>
      <c r="X97" s="66"/>
    </row>
    <row r="98">
      <c r="A98" s="72" t="s">
        <v>6571</v>
      </c>
      <c r="B98" s="293" t="s">
        <v>6572</v>
      </c>
      <c r="C98" s="72" t="s">
        <v>6573</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6574</v>
      </c>
      <c r="H98" s="293" t="s">
        <v>6575</v>
      </c>
      <c r="I98" s="134" t="s">
        <v>6576</v>
      </c>
      <c r="J98" s="294" t="s">
        <v>6577</v>
      </c>
      <c r="K98" s="110" t="s">
        <v>6578</v>
      </c>
      <c r="L98" s="66"/>
      <c r="M98" s="66"/>
      <c r="N98" s="66"/>
      <c r="O98" s="66"/>
      <c r="P98" s="66"/>
      <c r="Q98" s="66"/>
      <c r="R98" s="66"/>
      <c r="S98" s="66"/>
      <c r="T98" s="66"/>
      <c r="U98" s="66"/>
      <c r="V98" s="66"/>
      <c r="W98" s="66"/>
      <c r="X98" s="66"/>
    </row>
    <row r="99">
      <c r="A99" s="72" t="s">
        <v>6579</v>
      </c>
      <c r="B99" s="293" t="s">
        <v>6580</v>
      </c>
      <c r="C99" s="72" t="s">
        <v>6581</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6582</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6583</v>
      </c>
      <c r="J99" s="294" t="s">
        <v>6584</v>
      </c>
      <c r="K99" s="72" t="s">
        <v>6585</v>
      </c>
      <c r="L99" s="66"/>
      <c r="M99" s="66"/>
      <c r="N99" s="66"/>
      <c r="O99" s="66"/>
      <c r="P99" s="66"/>
      <c r="Q99" s="66"/>
      <c r="R99" s="66"/>
      <c r="S99" s="66"/>
      <c r="T99" s="66"/>
      <c r="U99" s="66"/>
      <c r="V99" s="66"/>
      <c r="W99" s="66"/>
      <c r="X99" s="66"/>
    </row>
    <row r="100">
      <c r="A100" s="72" t="s">
        <v>6586</v>
      </c>
      <c r="B100" s="293" t="s">
        <v>6587</v>
      </c>
      <c r="C100" s="72" t="s">
        <v>6588</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6589</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6590</v>
      </c>
      <c r="J100" s="294" t="s">
        <v>6591</v>
      </c>
      <c r="K100" s="110" t="s">
        <v>6592</v>
      </c>
      <c r="L100" s="66"/>
      <c r="M100" s="66"/>
      <c r="N100" s="66"/>
      <c r="O100" s="66"/>
      <c r="P100" s="66"/>
      <c r="Q100" s="66"/>
      <c r="R100" s="66"/>
      <c r="S100" s="66"/>
      <c r="T100" s="66"/>
      <c r="U100" s="66"/>
      <c r="V100" s="66"/>
      <c r="W100" s="66"/>
      <c r="X100" s="66"/>
    </row>
    <row r="101">
      <c r="A101" s="72" t="s">
        <v>6593</v>
      </c>
      <c r="B101" s="293" t="s">
        <v>6594</v>
      </c>
      <c r="C101" s="72" t="s">
        <v>6595</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6596</v>
      </c>
      <c r="H101" s="293" t="s">
        <v>6597</v>
      </c>
      <c r="I101" s="188" t="s">
        <v>6598</v>
      </c>
      <c r="J101" s="294" t="s">
        <v>6599</v>
      </c>
      <c r="K101" s="110" t="s">
        <v>6600</v>
      </c>
      <c r="L101" s="66"/>
      <c r="M101" s="66"/>
      <c r="N101" s="66"/>
      <c r="O101" s="66"/>
      <c r="P101" s="66"/>
      <c r="Q101" s="66"/>
      <c r="R101" s="66"/>
      <c r="S101" s="66"/>
      <c r="T101" s="66"/>
      <c r="U101" s="66"/>
      <c r="V101" s="66"/>
      <c r="W101" s="66"/>
      <c r="X101" s="66"/>
    </row>
    <row r="102">
      <c r="A102" s="72" t="s">
        <v>6601</v>
      </c>
      <c r="B102" s="293" t="s">
        <v>6602</v>
      </c>
      <c r="C102" s="72" t="s">
        <v>6603</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6604</v>
      </c>
      <c r="H102" s="293" t="s">
        <v>6605</v>
      </c>
      <c r="I102" s="188" t="s">
        <v>6606</v>
      </c>
      <c r="J102" s="294" t="s">
        <v>6607</v>
      </c>
      <c r="K102" s="110" t="s">
        <v>6608</v>
      </c>
      <c r="L102" s="66"/>
      <c r="M102" s="66"/>
      <c r="N102" s="66"/>
      <c r="O102" s="66"/>
      <c r="P102" s="66"/>
      <c r="Q102" s="66"/>
      <c r="R102" s="66"/>
      <c r="S102" s="66"/>
      <c r="T102" s="66"/>
      <c r="U102" s="66"/>
      <c r="V102" s="66"/>
      <c r="W102" s="66"/>
      <c r="X102" s="66"/>
    </row>
    <row r="103">
      <c r="A103" s="72" t="s">
        <v>6609</v>
      </c>
      <c r="B103" s="293" t="s">
        <v>6610</v>
      </c>
      <c r="C103" s="72" t="s">
        <v>6611</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6612</v>
      </c>
      <c r="H103" s="293" t="s">
        <v>6613</v>
      </c>
      <c r="I103" s="188" t="s">
        <v>6614</v>
      </c>
      <c r="J103" s="293" t="s">
        <v>6615</v>
      </c>
      <c r="K103" s="110" t="s">
        <v>6616</v>
      </c>
      <c r="L103" s="66"/>
      <c r="M103" s="66"/>
      <c r="N103" s="66"/>
      <c r="O103" s="66"/>
      <c r="P103" s="66"/>
      <c r="Q103" s="66"/>
      <c r="R103" s="66"/>
      <c r="S103" s="66"/>
      <c r="T103" s="66"/>
      <c r="U103" s="66"/>
      <c r="V103" s="66"/>
      <c r="W103" s="66"/>
      <c r="X103" s="66"/>
    </row>
    <row r="104">
      <c r="A104" s="72" t="s">
        <v>6617</v>
      </c>
      <c r="B104" s="293" t="s">
        <v>6618</v>
      </c>
      <c r="C104" s="72" t="s">
        <v>6619</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6620</v>
      </c>
      <c r="H104" s="293" t="s">
        <v>6621</v>
      </c>
      <c r="I104" s="134" t="s">
        <v>6622</v>
      </c>
      <c r="J104" s="294" t="s">
        <v>6623</v>
      </c>
      <c r="K104" s="110" t="s">
        <v>6624</v>
      </c>
      <c r="L104" s="66"/>
      <c r="M104" s="66"/>
      <c r="N104" s="66"/>
      <c r="O104" s="66"/>
      <c r="P104" s="66"/>
      <c r="Q104" s="66"/>
      <c r="R104" s="66"/>
      <c r="S104" s="66"/>
      <c r="T104" s="66"/>
      <c r="U104" s="66"/>
      <c r="V104" s="66"/>
      <c r="W104" s="66"/>
      <c r="X104" s="66"/>
    </row>
    <row r="105">
      <c r="A105" s="72" t="s">
        <v>6625</v>
      </c>
      <c r="B105" s="293" t="s">
        <v>6626</v>
      </c>
      <c r="C105" s="72" t="s">
        <v>6627</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6628</v>
      </c>
      <c r="H105" s="293" t="s">
        <v>6629</v>
      </c>
      <c r="I105" s="188" t="s">
        <v>6630</v>
      </c>
      <c r="J105" s="294" t="s">
        <v>6631</v>
      </c>
      <c r="K105" s="110" t="s">
        <v>6632</v>
      </c>
      <c r="L105" s="66"/>
      <c r="M105" s="66"/>
      <c r="N105" s="66"/>
      <c r="O105" s="66"/>
      <c r="P105" s="66"/>
      <c r="Q105" s="66"/>
      <c r="R105" s="66"/>
      <c r="S105" s="66"/>
      <c r="T105" s="66"/>
      <c r="U105" s="66"/>
      <c r="V105" s="66"/>
      <c r="W105" s="66"/>
      <c r="X105" s="66"/>
    </row>
    <row r="106">
      <c r="A106" s="72" t="s">
        <v>6633</v>
      </c>
      <c r="B106" s="293" t="s">
        <v>6634</v>
      </c>
      <c r="C106" s="72" t="s">
        <v>6635</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142" t="s">
        <v>6636</v>
      </c>
      <c r="H106" s="293" t="s">
        <v>6637</v>
      </c>
      <c r="I106" s="188" t="s">
        <v>6638</v>
      </c>
      <c r="J106" s="294" t="s">
        <v>6639</v>
      </c>
      <c r="K106" s="110" t="s">
        <v>6640</v>
      </c>
      <c r="L106" s="66"/>
      <c r="M106" s="66"/>
      <c r="N106" s="66"/>
      <c r="O106" s="66"/>
      <c r="P106" s="66"/>
      <c r="Q106" s="66"/>
      <c r="R106" s="66"/>
      <c r="S106" s="66"/>
      <c r="T106" s="66"/>
      <c r="U106" s="66"/>
      <c r="V106" s="66"/>
      <c r="W106" s="66"/>
      <c r="X106" s="66"/>
    </row>
    <row r="107">
      <c r="A107" s="72" t="s">
        <v>6641</v>
      </c>
      <c r="B107" s="293" t="s">
        <v>6642</v>
      </c>
      <c r="C107" s="72" t="s">
        <v>6643</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6644</v>
      </c>
      <c r="H107" s="293" t="s">
        <v>6645</v>
      </c>
      <c r="I107" s="188" t="s">
        <v>6646</v>
      </c>
      <c r="J107" s="294" t="s">
        <v>6647</v>
      </c>
      <c r="K107" s="110" t="s">
        <v>6648</v>
      </c>
      <c r="L107" s="66"/>
      <c r="M107" s="66"/>
      <c r="N107" s="66"/>
      <c r="O107" s="66"/>
      <c r="P107" s="66"/>
      <c r="Q107" s="66"/>
      <c r="R107" s="66"/>
      <c r="S107" s="66"/>
      <c r="T107" s="66"/>
      <c r="U107" s="66"/>
      <c r="V107" s="66"/>
      <c r="W107" s="66"/>
      <c r="X107" s="66"/>
    </row>
    <row r="108">
      <c r="A108" s="72" t="s">
        <v>6649</v>
      </c>
      <c r="B108" s="293" t="s">
        <v>6650</v>
      </c>
      <c r="C108" s="72" t="s">
        <v>6651</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6652</v>
      </c>
      <c r="H108" s="293" t="s">
        <v>6653</v>
      </c>
      <c r="I108" s="188" t="s">
        <v>6654</v>
      </c>
      <c r="J108" s="294" t="s">
        <v>6655</v>
      </c>
      <c r="K108" s="110" t="s">
        <v>6656</v>
      </c>
      <c r="L108" s="66"/>
      <c r="M108" s="66"/>
      <c r="N108" s="66"/>
      <c r="O108" s="66"/>
      <c r="P108" s="66"/>
      <c r="Q108" s="66"/>
      <c r="R108" s="66"/>
      <c r="S108" s="66"/>
      <c r="T108" s="66"/>
      <c r="U108" s="66"/>
      <c r="V108" s="66"/>
      <c r="W108" s="66"/>
      <c r="X108" s="66"/>
    </row>
    <row r="109">
      <c r="A109" s="72" t="s">
        <v>6657</v>
      </c>
      <c r="B109" s="293" t="s">
        <v>6658</v>
      </c>
      <c r="C109" s="72" t="s">
        <v>6659</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6660</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6661</v>
      </c>
      <c r="J109" s="294" t="s">
        <v>6662</v>
      </c>
      <c r="K109" s="110" t="s">
        <v>6663</v>
      </c>
      <c r="L109" s="66"/>
      <c r="M109" s="66"/>
      <c r="N109" s="66"/>
      <c r="O109" s="66"/>
      <c r="P109" s="66"/>
      <c r="Q109" s="66"/>
      <c r="R109" s="66"/>
      <c r="S109" s="66"/>
      <c r="T109" s="66"/>
      <c r="U109" s="66"/>
      <c r="V109" s="66"/>
      <c r="W109" s="66"/>
      <c r="X109" s="66"/>
    </row>
    <row r="110">
      <c r="A110" s="72" t="s">
        <v>6664</v>
      </c>
      <c r="B110" s="293" t="s">
        <v>6665</v>
      </c>
      <c r="C110" s="72" t="s">
        <v>6666</v>
      </c>
      <c r="D110" s="293" t="s">
        <v>6667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6668</v>
      </c>
      <c r="H110" s="295" t="s">
        <v>6669</v>
      </c>
      <c r="I110" s="245" t="s">
        <v>6670</v>
      </c>
      <c r="J110" s="294" t="s">
        <v>6671</v>
      </c>
      <c r="K110" s="110" t="s">
        <v>6672</v>
      </c>
      <c r="L110" s="66"/>
      <c r="M110" s="66"/>
      <c r="N110" s="66"/>
      <c r="O110" s="66"/>
      <c r="P110" s="66"/>
      <c r="Q110" s="66"/>
      <c r="R110" s="66"/>
      <c r="S110" s="66"/>
      <c r="T110" s="66"/>
      <c r="U110" s="66"/>
      <c r="V110" s="66"/>
      <c r="W110" s="66"/>
      <c r="X110" s="66"/>
    </row>
    <row r="111">
      <c r="A111" s="72" t="s">
        <v>6673</v>
      </c>
      <c r="B111" s="293" t="s">
        <v>6674</v>
      </c>
      <c r="C111" s="72" t="s">
        <v>6675</v>
      </c>
      <c r="D111" s="293" t="s">
        <v>6676</v>
      </c>
      <c r="E111" s="72" t="s">
        <v>6677</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6678</v>
      </c>
      <c r="H111" s="293" t="s">
        <v>6679</v>
      </c>
      <c r="I111" s="245" t="s">
        <v>6680</v>
      </c>
      <c r="J111" s="293" t="s">
        <v>6681</v>
      </c>
      <c r="K111" s="110" t="s">
        <v>6682</v>
      </c>
      <c r="L111" s="214"/>
      <c r="M111" s="66"/>
      <c r="N111" s="66"/>
      <c r="O111" s="66"/>
      <c r="P111" s="66"/>
      <c r="Q111" s="66"/>
      <c r="R111" s="66"/>
      <c r="S111" s="66"/>
      <c r="T111" s="66"/>
      <c r="U111" s="66"/>
      <c r="V111" s="66"/>
      <c r="W111" s="66"/>
      <c r="X111" s="66"/>
    </row>
    <row r="112">
      <c r="A112" s="75" t="s">
        <v>6683</v>
      </c>
      <c r="B112" s="294" t="s">
        <v>6684</v>
      </c>
      <c r="C112" s="72" t="s">
        <v>6685</v>
      </c>
      <c r="D112" s="294" t="s">
        <v>6686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6687</v>
      </c>
      <c r="H112" s="294" t="s">
        <v>6688</v>
      </c>
      <c r="I112" s="259" t="s">
        <v>6689</v>
      </c>
      <c r="J112" s="294" t="s">
        <v>6690</v>
      </c>
      <c r="K112" s="75" t="s">
        <v>6691</v>
      </c>
      <c r="L112" s="66"/>
      <c r="M112" s="66"/>
      <c r="N112" s="66"/>
      <c r="O112" s="66"/>
      <c r="P112" s="66"/>
      <c r="Q112" s="66"/>
      <c r="R112" s="66"/>
      <c r="S112" s="66"/>
      <c r="T112" s="66"/>
      <c r="U112" s="66"/>
      <c r="V112" s="66"/>
      <c r="W112" s="66"/>
      <c r="X112" s="66"/>
    </row>
    <row r="113">
      <c r="A113" s="75" t="s">
        <v>6692</v>
      </c>
      <c r="B113" s="294" t="s">
        <v>6693</v>
      </c>
      <c r="C113" s="75" t="s">
        <v>6694</v>
      </c>
      <c r="D113" s="294" t="s">
        <v>6695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6694</v>
      </c>
      <c r="H113" s="294" t="s">
        <v>6696</v>
      </c>
      <c r="I113" s="259" t="s">
        <v>6697</v>
      </c>
      <c r="J113" s="294" t="s">
        <v>6698</v>
      </c>
      <c r="K113" s="75" t="s">
        <v>6699</v>
      </c>
      <c r="L113" s="66"/>
      <c r="M113" s="66"/>
      <c r="N113" s="66"/>
      <c r="O113" s="66"/>
      <c r="P113" s="66"/>
      <c r="Q113" s="66"/>
      <c r="R113" s="66"/>
      <c r="S113" s="66"/>
      <c r="T113" s="66"/>
      <c r="U113" s="66"/>
      <c r="V113" s="66"/>
      <c r="W113" s="66"/>
      <c r="X113" s="66"/>
    </row>
    <row r="114">
      <c r="A114" s="75" t="s">
        <v>6700</v>
      </c>
      <c r="B114" s="294" t="s">
        <v>6701</v>
      </c>
      <c r="C114" s="75" t="s">
        <v>6702</v>
      </c>
      <c r="D114" s="294" t="s">
        <v>6703</v>
      </c>
      <c r="E114" s="75" t="s">
        <v>6704</v>
      </c>
      <c r="F114" s="294" t="s">
        <v>6705</v>
      </c>
      <c r="G114" s="142" t="s">
        <v>6706</v>
      </c>
      <c r="H114" s="294" t="s">
        <v>6707</v>
      </c>
      <c r="I114" s="259" t="s">
        <v>6708</v>
      </c>
      <c r="J114" s="294" t="s">
        <v>6709</v>
      </c>
      <c r="K114" s="75" t="s">
        <v>6710</v>
      </c>
      <c r="L114" s="66"/>
      <c r="M114" s="66"/>
      <c r="N114" s="66"/>
      <c r="O114" s="66"/>
      <c r="P114" s="66"/>
      <c r="Q114" s="66"/>
      <c r="R114" s="66"/>
      <c r="S114" s="66"/>
      <c r="T114" s="66"/>
      <c r="U114" s="66"/>
      <c r="V114" s="66"/>
      <c r="W114" s="66"/>
      <c r="X114" s="66"/>
    </row>
    <row r="115">
      <c r="A115" s="75" t="s">
        <v>6711</v>
      </c>
      <c r="B115" s="294" t="s">
        <v>6712</v>
      </c>
      <c r="C115" s="75" t="s">
        <v>6713</v>
      </c>
      <c r="D115" s="294" t="s">
        <v>6714</v>
      </c>
      <c r="E115" s="75" t="s">
        <v>6715</v>
      </c>
      <c r="F115" s="294" t="s">
        <v>6716</v>
      </c>
      <c r="G115" s="142" t="s">
        <v>6717</v>
      </c>
      <c r="H115" s="294" t="s">
        <v>6718</v>
      </c>
      <c r="I115" s="259" t="s">
        <v>6719</v>
      </c>
      <c r="J115" s="294" t="s">
        <v>6720</v>
      </c>
      <c r="K115" s="75" t="s">
        <v>6721</v>
      </c>
      <c r="L115" s="66"/>
      <c r="M115" s="66"/>
      <c r="N115" s="66"/>
      <c r="O115" s="66"/>
      <c r="P115" s="66"/>
      <c r="Q115" s="66"/>
      <c r="R115" s="66"/>
      <c r="S115" s="66"/>
      <c r="T115" s="66"/>
      <c r="U115" s="66"/>
      <c r="V115" s="66"/>
      <c r="W115" s="66"/>
      <c r="X115" s="66"/>
    </row>
    <row r="116">
      <c r="A116" s="75" t="s">
        <v>6722</v>
      </c>
      <c r="B116" s="294" t="s">
        <v>6723</v>
      </c>
      <c r="C116" s="75" t="s">
        <v>6724</v>
      </c>
      <c r="D116" s="294" t="s">
        <v>6725</v>
      </c>
      <c r="E116" s="75" t="s">
        <v>6726</v>
      </c>
      <c r="F116" s="294" t="s">
        <v>6727</v>
      </c>
      <c r="G116" s="142" t="s">
        <v>6728</v>
      </c>
      <c r="H116" s="294" t="s">
        <v>6729</v>
      </c>
      <c r="I116" s="259" t="s">
        <v>6730</v>
      </c>
      <c r="J116" s="294" t="s">
        <v>6731</v>
      </c>
      <c r="K116" s="75" t="s">
        <v>6724</v>
      </c>
      <c r="L116" s="66"/>
      <c r="M116" s="66"/>
      <c r="N116" s="66"/>
      <c r="O116" s="66"/>
      <c r="P116" s="66"/>
      <c r="Q116" s="66"/>
      <c r="R116" s="66"/>
      <c r="S116" s="66"/>
      <c r="T116" s="66"/>
      <c r="U116" s="66"/>
      <c r="V116" s="66"/>
      <c r="W116" s="66"/>
      <c r="X116" s="66"/>
    </row>
    <row r="117">
      <c r="A117" s="75" t="s">
        <v>6732</v>
      </c>
      <c r="B117" s="294" t="s">
        <v>6733</v>
      </c>
      <c r="C117" s="75" t="s">
        <v>6734</v>
      </c>
      <c r="D117" s="294" t="s">
        <v>6735</v>
      </c>
      <c r="E117" s="75" t="s">
        <v>6736</v>
      </c>
      <c r="F117" s="294" t="s">
        <v>6737</v>
      </c>
      <c r="G117" s="142" t="s">
        <v>6738</v>
      </c>
      <c r="H117" s="294" t="s">
        <v>6739</v>
      </c>
      <c r="I117" s="259" t="s">
        <v>6740</v>
      </c>
      <c r="J117" s="294" t="s">
        <v>6741</v>
      </c>
      <c r="K117" s="75" t="s">
        <v>6734</v>
      </c>
      <c r="L117" s="66"/>
      <c r="M117" s="66"/>
      <c r="N117" s="66"/>
      <c r="O117" s="66"/>
      <c r="P117" s="66"/>
      <c r="Q117" s="66"/>
      <c r="R117" s="66"/>
      <c r="S117" s="66"/>
      <c r="T117" s="66"/>
      <c r="U117" s="66"/>
      <c r="V117" s="66"/>
      <c r="W117" s="66"/>
      <c r="X117" s="66"/>
    </row>
    <row r="118">
      <c r="A118" s="75"/>
      <c r="B118" s="294"/>
      <c r="C118" s="75"/>
      <c r="D118" s="294"/>
      <c r="E118" s="75"/>
      <c r="F118" s="294"/>
      <c r="G118" s="210"/>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210"/>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210"/>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210"/>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210"/>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210"/>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210"/>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210"/>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210"/>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210"/>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210"/>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210"/>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210"/>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210"/>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210"/>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210"/>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210"/>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210"/>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210"/>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210"/>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210"/>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210"/>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210"/>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210"/>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210"/>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210"/>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210"/>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210"/>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210"/>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210"/>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210"/>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210"/>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210"/>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210"/>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210"/>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210"/>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210"/>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210"/>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210"/>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210"/>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210"/>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210"/>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210"/>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210"/>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210"/>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210"/>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210"/>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210"/>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210"/>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210"/>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210"/>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210"/>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210"/>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210"/>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210"/>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210"/>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210"/>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210"/>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210"/>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210"/>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210"/>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210"/>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210"/>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210"/>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210"/>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210"/>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210"/>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210"/>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210"/>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210"/>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210"/>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210"/>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210"/>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210"/>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210"/>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210"/>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210"/>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210"/>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210"/>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210"/>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210"/>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210"/>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210"/>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210"/>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210"/>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210"/>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210"/>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210"/>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210"/>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210"/>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210"/>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210"/>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210"/>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210"/>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210"/>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210"/>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210"/>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210"/>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210"/>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210"/>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210"/>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210"/>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210"/>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210"/>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210"/>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210"/>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210"/>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210"/>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210"/>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210"/>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210"/>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210"/>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210"/>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210"/>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210"/>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210"/>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210"/>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210"/>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210"/>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210"/>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210"/>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210"/>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210"/>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210"/>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210"/>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210"/>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210"/>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210"/>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210"/>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210"/>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210"/>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210"/>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210"/>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210"/>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210"/>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210"/>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210"/>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210"/>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210"/>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210"/>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210"/>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210"/>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210"/>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210"/>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210"/>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210"/>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210"/>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210"/>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210"/>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210"/>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210"/>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210"/>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210"/>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210"/>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210"/>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210"/>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210"/>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210"/>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210"/>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210"/>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210"/>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210"/>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210"/>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210"/>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210"/>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210"/>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210"/>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210"/>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210"/>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210"/>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210"/>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210"/>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210"/>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210"/>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210"/>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210"/>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210"/>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210"/>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210"/>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210"/>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210"/>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210"/>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210"/>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210"/>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210"/>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210"/>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210"/>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210"/>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210"/>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210"/>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210"/>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210"/>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210"/>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210"/>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210"/>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210"/>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210"/>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210"/>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210"/>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210"/>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210"/>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210"/>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210"/>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210"/>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210"/>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210"/>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210"/>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210"/>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210"/>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210"/>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210"/>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210"/>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210"/>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210"/>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210"/>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210"/>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210"/>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210"/>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210"/>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210"/>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210"/>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210"/>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210"/>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210"/>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210"/>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210"/>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210"/>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210"/>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210"/>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210"/>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210"/>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210"/>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210"/>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210"/>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210"/>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210"/>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210"/>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210"/>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210"/>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210"/>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210"/>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210"/>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210"/>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210"/>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210"/>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210"/>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210"/>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210"/>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210"/>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210"/>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210"/>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210"/>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210"/>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210"/>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210"/>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210"/>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210"/>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210"/>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210"/>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210"/>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210"/>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210"/>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210"/>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210"/>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210"/>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210"/>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210"/>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210"/>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210"/>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210"/>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210"/>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210"/>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210"/>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210"/>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210"/>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210"/>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210"/>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210"/>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210"/>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210"/>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210"/>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210"/>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210"/>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210"/>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210"/>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210"/>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210"/>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210"/>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210"/>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210"/>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210"/>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210"/>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210"/>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210"/>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210"/>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210"/>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210"/>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210"/>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210"/>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210"/>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210"/>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210"/>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210"/>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210"/>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210"/>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210"/>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210"/>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210"/>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210"/>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210"/>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210"/>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210"/>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210"/>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210"/>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210"/>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210"/>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210"/>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210"/>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210"/>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210"/>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210"/>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210"/>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210"/>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210"/>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210"/>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210"/>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210"/>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210"/>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210"/>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210"/>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210"/>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210"/>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210"/>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210"/>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210"/>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210"/>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210"/>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210"/>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210"/>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210"/>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210"/>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210"/>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210"/>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210"/>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210"/>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210"/>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210"/>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210"/>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210"/>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210"/>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210"/>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210"/>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210"/>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210"/>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210"/>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210"/>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210"/>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210"/>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210"/>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210"/>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210"/>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210"/>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210"/>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210"/>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210"/>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210"/>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210"/>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210"/>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210"/>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210"/>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210"/>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210"/>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210"/>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210"/>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210"/>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210"/>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210"/>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210"/>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210"/>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210"/>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210"/>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210"/>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210"/>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210"/>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210"/>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210"/>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210"/>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210"/>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210"/>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210"/>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210"/>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210"/>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210"/>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210"/>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210"/>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210"/>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210"/>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210"/>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210"/>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210"/>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210"/>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210"/>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210"/>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210"/>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210"/>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210"/>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210"/>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210"/>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210"/>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210"/>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210"/>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210"/>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210"/>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210"/>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210"/>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210"/>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210"/>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210"/>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210"/>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210"/>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210"/>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210"/>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210"/>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210"/>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210"/>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210"/>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210"/>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210"/>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210"/>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210"/>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210"/>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210"/>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210"/>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210"/>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210"/>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210"/>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210"/>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210"/>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210"/>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210"/>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210"/>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210"/>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210"/>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210"/>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210"/>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210"/>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210"/>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210"/>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210"/>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210"/>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210"/>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210"/>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210"/>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210"/>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210"/>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210"/>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210"/>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210"/>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210"/>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210"/>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210"/>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210"/>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210"/>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210"/>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210"/>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210"/>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210"/>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210"/>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210"/>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210"/>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210"/>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210"/>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210"/>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210"/>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210"/>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210"/>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210"/>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210"/>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210"/>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210"/>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210"/>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210"/>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210"/>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210"/>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210"/>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210"/>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210"/>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210"/>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210"/>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210"/>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210"/>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210"/>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210"/>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210"/>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210"/>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210"/>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210"/>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210"/>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210"/>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210"/>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210"/>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210"/>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210"/>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210"/>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210"/>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210"/>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210"/>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210"/>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210"/>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210"/>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210"/>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210"/>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210"/>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210"/>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210"/>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210"/>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210"/>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210"/>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210"/>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210"/>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210"/>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210"/>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210"/>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210"/>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210"/>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210"/>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210"/>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210"/>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210"/>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210"/>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210"/>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210"/>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210"/>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210"/>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210"/>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210"/>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210"/>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210"/>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210"/>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210"/>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210"/>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210"/>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210"/>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210"/>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210"/>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210"/>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210"/>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210"/>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210"/>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210"/>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210"/>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210"/>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210"/>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210"/>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210"/>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210"/>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210"/>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210"/>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210"/>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210"/>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210"/>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210"/>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210"/>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210"/>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210"/>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210"/>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210"/>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210"/>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210"/>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210"/>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210"/>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210"/>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210"/>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210"/>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210"/>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210"/>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210"/>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210"/>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210"/>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210"/>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210"/>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210"/>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210"/>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210"/>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210"/>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210"/>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210"/>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210"/>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210"/>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210"/>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210"/>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210"/>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210"/>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210"/>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210"/>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210"/>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210"/>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210"/>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210"/>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210"/>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210"/>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210"/>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210"/>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210"/>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210"/>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210"/>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210"/>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210"/>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210"/>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210"/>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210"/>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210"/>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210"/>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210"/>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210"/>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210"/>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210"/>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210"/>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210"/>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210"/>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210"/>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210"/>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210"/>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210"/>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210"/>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210"/>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210"/>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210"/>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210"/>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210"/>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210"/>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210"/>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210"/>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210"/>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210"/>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210"/>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210"/>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210"/>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210"/>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210"/>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210"/>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210"/>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210"/>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210"/>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210"/>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210"/>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210"/>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210"/>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210"/>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210"/>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210"/>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210"/>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210"/>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210"/>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210"/>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210"/>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210"/>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210"/>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210"/>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210"/>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210"/>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210"/>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210"/>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210"/>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210"/>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210"/>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210"/>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210"/>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210"/>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210"/>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210"/>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210"/>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210"/>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210"/>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210"/>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210"/>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210"/>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210"/>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210"/>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210"/>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210"/>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210"/>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210"/>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210"/>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210"/>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210"/>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210"/>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210"/>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210"/>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210"/>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210"/>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210"/>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210"/>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210"/>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210"/>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210"/>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210"/>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210"/>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210"/>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210"/>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210"/>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210"/>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210"/>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210"/>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210"/>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210"/>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210"/>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210"/>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210"/>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210"/>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210"/>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210"/>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210"/>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210"/>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210"/>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210"/>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210"/>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210"/>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210"/>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210"/>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210"/>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210"/>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210"/>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210"/>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210"/>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210"/>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210"/>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210"/>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210"/>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210"/>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210"/>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210"/>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210"/>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210"/>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210"/>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210"/>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210"/>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210"/>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210"/>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210"/>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210"/>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210"/>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210"/>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210"/>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210"/>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210"/>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210"/>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210"/>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210"/>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210"/>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210"/>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210"/>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210"/>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210"/>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210"/>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210"/>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210"/>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210"/>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210"/>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210"/>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210"/>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210"/>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210"/>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210"/>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210"/>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210"/>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210"/>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210"/>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210"/>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210"/>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210"/>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210"/>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210"/>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210"/>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210"/>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210"/>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210"/>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210"/>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210"/>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210"/>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210"/>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210"/>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210"/>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210"/>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210"/>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210"/>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210"/>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210"/>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210"/>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210"/>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210"/>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210"/>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210"/>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210"/>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210"/>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210"/>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210"/>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210"/>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210"/>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210"/>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210"/>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210"/>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210"/>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210"/>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210"/>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210"/>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210"/>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210"/>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210"/>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210"/>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210"/>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210"/>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210"/>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210"/>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210"/>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210"/>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210"/>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210"/>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210"/>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210"/>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210"/>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210"/>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210"/>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210"/>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210"/>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210"/>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210"/>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210"/>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210"/>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210"/>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210"/>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210"/>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210"/>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210"/>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210"/>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210"/>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210"/>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210"/>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210"/>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210"/>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210"/>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210"/>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210"/>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210"/>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210"/>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210"/>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210"/>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210"/>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210"/>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210"/>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210"/>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210"/>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210"/>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210"/>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210"/>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210"/>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210"/>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210"/>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210"/>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210"/>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210"/>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210"/>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210"/>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210"/>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210"/>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210"/>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210"/>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210"/>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210"/>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210"/>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210"/>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210"/>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210"/>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210"/>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210"/>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210"/>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210"/>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210"/>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210"/>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210"/>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210"/>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210"/>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210"/>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210"/>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210"/>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210"/>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210"/>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210"/>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210"/>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210"/>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210"/>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210"/>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210"/>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210"/>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210"/>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210"/>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210"/>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210"/>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210"/>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210"/>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210"/>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210"/>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210"/>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210"/>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210"/>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210"/>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210"/>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210"/>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210"/>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210"/>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184"/>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184"/>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184"/>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184"/>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6742</v>
      </c>
      <c r="I1" s="301"/>
      <c r="J1" s="300" t="s">
        <v>6743</v>
      </c>
      <c r="M1" s="301"/>
      <c r="N1" s="300" t="s">
        <v>6744</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6745</v>
      </c>
      <c r="B3" s="303"/>
      <c r="C3" s="303"/>
      <c r="D3" s="303"/>
      <c r="E3" s="304"/>
      <c r="F3" s="308"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303"/>
      <c r="H3" s="303"/>
      <c r="I3" s="304"/>
      <c r="J3" s="308" t="s">
        <v>6746</v>
      </c>
      <c r="K3" s="303"/>
      <c r="L3" s="303"/>
      <c r="M3" s="304"/>
      <c r="N3" s="308" t="s">
        <v>6747</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6748</v>
      </c>
      <c r="B5" s="312"/>
      <c r="C5" s="312"/>
      <c r="D5" s="312"/>
      <c r="E5" s="313"/>
      <c r="F5" s="311" t="str">
        <f>IFERROR(__xludf.DUMMYFUNCTION("GOOGLETRANSLATE(A5,""zh-tw"",""ja"")"),"荒野地域")</f>
        <v>荒野地域</v>
      </c>
      <c r="G5" s="312"/>
      <c r="H5" s="312"/>
      <c r="I5" s="313"/>
      <c r="J5" s="311" t="s">
        <v>6749</v>
      </c>
      <c r="K5" s="312"/>
      <c r="L5" s="312"/>
      <c r="M5" s="313"/>
      <c r="N5" s="314" t="s">
        <v>6750</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6751</v>
      </c>
      <c r="F6" s="318" t="s">
        <v>1231</v>
      </c>
      <c r="G6" s="318" t="s">
        <v>1231</v>
      </c>
      <c r="H6" s="318" t="s">
        <v>6752</v>
      </c>
      <c r="I6" s="318" t="s">
        <v>1231</v>
      </c>
      <c r="J6" s="319" t="s">
        <v>1231</v>
      </c>
      <c r="K6" s="319" t="s">
        <v>1231</v>
      </c>
      <c r="L6" s="319" t="s">
        <v>1231</v>
      </c>
      <c r="M6" s="319" t="s">
        <v>6753</v>
      </c>
      <c r="N6" s="320" t="s">
        <v>1231</v>
      </c>
      <c r="O6" s="320" t="s">
        <v>1231</v>
      </c>
      <c r="P6" s="320" t="s">
        <v>1231</v>
      </c>
      <c r="Q6" s="320" t="s">
        <v>1231</v>
      </c>
      <c r="R6" s="320" t="s">
        <v>6754</v>
      </c>
      <c r="S6" s="321"/>
      <c r="T6" s="322"/>
      <c r="U6" s="322"/>
      <c r="V6" s="323"/>
      <c r="W6" s="324"/>
      <c r="X6" s="324"/>
      <c r="Y6" s="324"/>
      <c r="Z6" s="324"/>
      <c r="AA6" s="324"/>
      <c r="AB6" s="325"/>
    </row>
    <row r="7" ht="75.0" customHeight="1">
      <c r="A7" s="317" t="s">
        <v>1231</v>
      </c>
      <c r="B7" s="317" t="s">
        <v>1231</v>
      </c>
      <c r="C7" s="317" t="s">
        <v>6755</v>
      </c>
      <c r="D7" s="317" t="s">
        <v>6756</v>
      </c>
      <c r="E7" s="326" t="s">
        <v>6757</v>
      </c>
      <c r="F7" s="318" t="str">
        <f>IFERROR(__xludf.DUMMYFUNCTION("GOOGLETRANSLATE(B7,""zh-tw"",""ja"")"),"-")</f>
        <v>-</v>
      </c>
      <c r="G7" s="318" t="s">
        <v>6758</v>
      </c>
      <c r="H7" s="327" t="s">
        <v>6759</v>
      </c>
      <c r="I7" s="318" t="str">
        <f>IFERROR(__xludf.DUMMYFUNCTION("GOOGLETRANSLATE(#REF!,""zh-tw"",""ja"")"),"#REF!")</f>
        <v>#REF!</v>
      </c>
      <c r="J7" s="319" t="str">
        <f>IFERROR(__xludf.DUMMYFUNCTION("GOOGLETRANSLATE(B7,""zh-tw"",""en"")"),"-")</f>
        <v>-</v>
      </c>
      <c r="K7" s="319" t="s">
        <v>6760</v>
      </c>
      <c r="L7" s="319" t="s">
        <v>6761</v>
      </c>
      <c r="M7" s="328" t="s">
        <v>6762</v>
      </c>
      <c r="N7" s="320" t="s">
        <v>1231</v>
      </c>
      <c r="O7" s="320" t="str">
        <f>IFERROR(__xludf.DUMMYFUNCTION("GOOGLETRANSLATE(B7,""zh-tw"",""zh"")"),"-")</f>
        <v>-</v>
      </c>
      <c r="P7" s="320" t="s">
        <v>6763</v>
      </c>
      <c r="Q7" s="329" t="s">
        <v>1231</v>
      </c>
      <c r="R7" s="329" t="s">
        <v>6764</v>
      </c>
      <c r="S7" s="321"/>
      <c r="T7" s="322"/>
      <c r="U7" s="322"/>
      <c r="V7" s="330"/>
      <c r="W7" s="324"/>
      <c r="X7" s="324"/>
      <c r="Y7" s="324"/>
      <c r="Z7" s="324"/>
      <c r="AA7" s="324"/>
      <c r="AB7" s="325"/>
    </row>
    <row r="8">
      <c r="A8" s="317" t="s">
        <v>1231</v>
      </c>
      <c r="B8" s="317" t="s">
        <v>6765</v>
      </c>
      <c r="C8" s="317" t="s">
        <v>6766</v>
      </c>
      <c r="D8" s="317" t="s">
        <v>6767</v>
      </c>
      <c r="E8" s="317" t="s">
        <v>6768</v>
      </c>
      <c r="F8" s="318" t="s">
        <v>6769</v>
      </c>
      <c r="G8" s="318" t="s">
        <v>6770</v>
      </c>
      <c r="H8" s="318" t="s">
        <v>6771</v>
      </c>
      <c r="I8" s="318" t="str">
        <f>IFERROR(__xludf.DUMMYFUNCTION("GOOGLETRANSLATE(#REF!,""zh-tw"",""ja"")"),"#REF!")</f>
        <v>#REF!</v>
      </c>
      <c r="J8" s="319" t="s">
        <v>6772</v>
      </c>
      <c r="K8" s="319" t="s">
        <v>6773</v>
      </c>
      <c r="L8" s="319" t="s">
        <v>6774</v>
      </c>
      <c r="M8" s="319" t="s">
        <v>6774</v>
      </c>
      <c r="N8" s="320" t="s">
        <v>1231</v>
      </c>
      <c r="O8" s="320" t="s">
        <v>6775</v>
      </c>
      <c r="P8" s="320" t="s">
        <v>6776</v>
      </c>
      <c r="Q8" s="320" t="s">
        <v>6777</v>
      </c>
      <c r="R8" s="320" t="s">
        <v>6778</v>
      </c>
      <c r="S8" s="331"/>
      <c r="T8" s="322"/>
      <c r="U8" s="322"/>
      <c r="V8" s="322"/>
      <c r="W8" s="324"/>
      <c r="X8" s="324"/>
      <c r="Y8" s="324"/>
      <c r="Z8" s="324"/>
      <c r="AA8" s="324"/>
      <c r="AB8" s="325"/>
    </row>
    <row r="9">
      <c r="A9" s="317" t="s">
        <v>1231</v>
      </c>
      <c r="B9" s="317" t="s">
        <v>6779</v>
      </c>
      <c r="C9" s="317" t="s">
        <v>6780</v>
      </c>
      <c r="D9" s="317" t="s">
        <v>1231</v>
      </c>
      <c r="E9" s="332" t="s">
        <v>6781</v>
      </c>
      <c r="F9" s="318" t="s">
        <v>6782</v>
      </c>
      <c r="G9" s="318" t="s">
        <v>6783</v>
      </c>
      <c r="H9" s="318" t="s">
        <v>6784</v>
      </c>
      <c r="I9" s="318" t="s">
        <v>1231</v>
      </c>
      <c r="J9" s="319" t="s">
        <v>6785</v>
      </c>
      <c r="K9" s="319" t="s">
        <v>6786</v>
      </c>
      <c r="L9" s="319" t="s">
        <v>1231</v>
      </c>
      <c r="M9" s="319" t="s">
        <v>6787</v>
      </c>
      <c r="N9" s="320" t="s">
        <v>1231</v>
      </c>
      <c r="O9" s="320" t="s">
        <v>6788</v>
      </c>
      <c r="P9" s="320" t="s">
        <v>6789</v>
      </c>
      <c r="Q9" s="320" t="s">
        <v>1231</v>
      </c>
      <c r="R9" s="320" t="s">
        <v>6790</v>
      </c>
      <c r="S9" s="321"/>
      <c r="T9" s="322"/>
      <c r="U9" s="322"/>
      <c r="V9" s="322"/>
      <c r="W9" s="324"/>
      <c r="X9" s="324"/>
      <c r="Y9" s="324"/>
      <c r="Z9" s="324"/>
      <c r="AA9" s="324"/>
      <c r="AB9" s="325"/>
    </row>
    <row r="10" ht="60.0" customHeight="1">
      <c r="A10" s="317" t="s">
        <v>1231</v>
      </c>
      <c r="B10" s="317" t="s">
        <v>6791</v>
      </c>
      <c r="C10" s="333" t="s">
        <v>6792</v>
      </c>
      <c r="D10" s="317" t="s">
        <v>6793</v>
      </c>
      <c r="E10" s="317" t="s">
        <v>6794</v>
      </c>
      <c r="F10" s="318" t="s">
        <v>6795</v>
      </c>
      <c r="G10" s="334" t="s">
        <v>6796</v>
      </c>
      <c r="H10" s="318" t="s">
        <v>6797</v>
      </c>
      <c r="I10" s="318" t="s">
        <v>1231</v>
      </c>
      <c r="J10" s="319" t="s">
        <v>6798</v>
      </c>
      <c r="K10" s="335" t="s">
        <v>6799</v>
      </c>
      <c r="L10" s="319" t="s">
        <v>6800</v>
      </c>
      <c r="M10" s="319" t="s">
        <v>6801</v>
      </c>
      <c r="N10" s="320" t="s">
        <v>1231</v>
      </c>
      <c r="O10" s="320" t="s">
        <v>6802</v>
      </c>
      <c r="P10" s="336" t="s">
        <v>6803</v>
      </c>
      <c r="Q10" s="320" t="s">
        <v>6804</v>
      </c>
      <c r="R10" s="337" t="s">
        <v>6805</v>
      </c>
      <c r="S10" s="321"/>
      <c r="T10" s="322"/>
      <c r="U10" s="322"/>
      <c r="V10" s="322"/>
      <c r="W10" s="338"/>
      <c r="X10" s="338"/>
      <c r="Y10" s="338"/>
      <c r="Z10" s="338"/>
      <c r="AA10" s="338"/>
      <c r="AB10" s="325"/>
    </row>
    <row r="11" ht="65.25" customHeight="1">
      <c r="A11" s="317" t="s">
        <v>1231</v>
      </c>
      <c r="B11" s="317" t="s">
        <v>6806</v>
      </c>
      <c r="C11" s="339"/>
      <c r="D11" s="326" t="s">
        <v>6807</v>
      </c>
      <c r="E11" s="326" t="s">
        <v>6808</v>
      </c>
      <c r="F11" s="318" t="s">
        <v>6809</v>
      </c>
      <c r="G11" s="339"/>
      <c r="H11" s="318" t="s">
        <v>6810</v>
      </c>
      <c r="I11" s="318" t="s">
        <v>6811</v>
      </c>
      <c r="J11" s="319" t="s">
        <v>6812</v>
      </c>
      <c r="K11" s="339"/>
      <c r="L11" s="319" t="s">
        <v>6813</v>
      </c>
      <c r="M11" s="319" t="s">
        <v>6814</v>
      </c>
      <c r="N11" s="320" t="s">
        <v>1231</v>
      </c>
      <c r="O11" s="320" t="s">
        <v>6815</v>
      </c>
      <c r="P11" s="339"/>
      <c r="Q11" s="320" t="s">
        <v>6816</v>
      </c>
      <c r="R11" s="320" t="s">
        <v>6817</v>
      </c>
      <c r="S11" s="321"/>
      <c r="T11" s="322"/>
      <c r="U11" s="322"/>
      <c r="V11" s="322"/>
      <c r="W11" s="340"/>
      <c r="X11" s="340"/>
      <c r="Y11" s="340"/>
      <c r="Z11" s="340"/>
      <c r="AA11" s="340"/>
      <c r="AB11" s="325"/>
    </row>
    <row r="12">
      <c r="A12" s="317" t="s">
        <v>1231</v>
      </c>
      <c r="B12" s="317" t="s">
        <v>6818</v>
      </c>
      <c r="C12" s="317" t="s">
        <v>6819</v>
      </c>
      <c r="D12" s="317" t="s">
        <v>6820</v>
      </c>
      <c r="E12" s="326" t="s">
        <v>6821</v>
      </c>
      <c r="F12" s="318" t="s">
        <v>6822</v>
      </c>
      <c r="G12" s="318" t="s">
        <v>6823</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6824</v>
      </c>
      <c r="K12" s="319" t="s">
        <v>6825</v>
      </c>
      <c r="L12" s="319" t="s">
        <v>6826</v>
      </c>
      <c r="M12" s="319" t="s">
        <v>6827</v>
      </c>
      <c r="N12" s="320" t="s">
        <v>1231</v>
      </c>
      <c r="O12" s="320" t="s">
        <v>6828</v>
      </c>
      <c r="P12" s="320" t="str">
        <f>IFERROR(__xludf.DUMMYFUNCTION("GOOGLETRANSLATE(C12,""zh-tw"",""zh"")"),"提前回家
R1")</f>
        <v>提前回家
R1</v>
      </c>
      <c r="Q12" s="320" t="s">
        <v>6829</v>
      </c>
      <c r="R12" s="320" t="s">
        <v>6830</v>
      </c>
      <c r="S12" s="321"/>
      <c r="T12" s="322"/>
      <c r="U12" s="322"/>
      <c r="V12" s="322"/>
      <c r="W12" s="324"/>
      <c r="X12" s="324"/>
      <c r="Y12" s="324"/>
      <c r="Z12" s="324"/>
      <c r="AA12" s="324"/>
      <c r="AB12" s="325"/>
    </row>
    <row r="13">
      <c r="A13" s="317" t="s">
        <v>1231</v>
      </c>
      <c r="B13" s="317" t="s">
        <v>6831</v>
      </c>
      <c r="C13" s="317" t="s">
        <v>6832</v>
      </c>
      <c r="D13" s="317" t="s">
        <v>6833</v>
      </c>
      <c r="E13" s="317" t="s">
        <v>1231</v>
      </c>
      <c r="F13" s="318"/>
      <c r="G13" s="318"/>
      <c r="H13" s="318"/>
      <c r="I13" s="318"/>
      <c r="J13" s="319" t="s">
        <v>6834</v>
      </c>
      <c r="K13" s="319" t="s">
        <v>6835</v>
      </c>
      <c r="L13" s="319" t="s">
        <v>6836</v>
      </c>
      <c r="M13" s="319"/>
      <c r="N13" s="320" t="s">
        <v>1231</v>
      </c>
      <c r="O13" s="320" t="s">
        <v>6837</v>
      </c>
      <c r="P13" s="320" t="s">
        <v>3909</v>
      </c>
      <c r="Q13" s="320" t="s">
        <v>6838</v>
      </c>
      <c r="R13" s="320" t="s">
        <v>1231</v>
      </c>
      <c r="S13" s="321"/>
      <c r="T13" s="322"/>
      <c r="U13" s="322"/>
      <c r="V13" s="341"/>
      <c r="W13" s="324"/>
      <c r="X13" s="324"/>
      <c r="Y13" s="324"/>
      <c r="Z13" s="324"/>
      <c r="AA13" s="324"/>
      <c r="AB13" s="325"/>
    </row>
    <row r="14">
      <c r="A14" s="317" t="s">
        <v>1231</v>
      </c>
      <c r="B14" s="317" t="s">
        <v>6839</v>
      </c>
      <c r="C14" s="317" t="s">
        <v>4797</v>
      </c>
      <c r="D14" s="317" t="s">
        <v>1231</v>
      </c>
      <c r="E14" s="317" t="s">
        <v>1231</v>
      </c>
      <c r="F14" s="318"/>
      <c r="G14" s="318"/>
      <c r="H14" s="318"/>
      <c r="I14" s="318"/>
      <c r="J14" s="319" t="s">
        <v>6840</v>
      </c>
      <c r="K14" s="319" t="s">
        <v>4803</v>
      </c>
      <c r="L14" s="319"/>
      <c r="M14" s="319"/>
      <c r="N14" s="320" t="s">
        <v>1231</v>
      </c>
      <c r="O14" s="320" t="s">
        <v>6841</v>
      </c>
      <c r="P14" s="320" t="s">
        <v>6842</v>
      </c>
      <c r="Q14" s="320" t="s">
        <v>1231</v>
      </c>
      <c r="R14" s="320" t="s">
        <v>1231</v>
      </c>
      <c r="S14" s="342"/>
      <c r="T14" s="322"/>
      <c r="U14" s="341"/>
      <c r="V14" s="341"/>
      <c r="W14" s="324"/>
      <c r="X14" s="324"/>
      <c r="Y14" s="324"/>
      <c r="Z14" s="324"/>
      <c r="AA14" s="324"/>
      <c r="AB14" s="325"/>
    </row>
    <row r="15">
      <c r="A15" s="317" t="s">
        <v>6843</v>
      </c>
      <c r="B15" s="317" t="s">
        <v>6844</v>
      </c>
      <c r="C15" s="317" t="s">
        <v>6845</v>
      </c>
      <c r="D15" s="317" t="s">
        <v>1231</v>
      </c>
      <c r="E15" s="317" t="s">
        <v>1231</v>
      </c>
      <c r="F15" s="318"/>
      <c r="G15" s="318"/>
      <c r="H15" s="318"/>
      <c r="I15" s="318"/>
      <c r="J15" s="319" t="s">
        <v>6846</v>
      </c>
      <c r="K15" s="319" t="s">
        <v>6847</v>
      </c>
      <c r="L15" s="319"/>
      <c r="M15" s="319"/>
      <c r="N15" s="320" t="s">
        <v>6848</v>
      </c>
      <c r="O15" s="320" t="s">
        <v>6849</v>
      </c>
      <c r="P15" s="320" t="s">
        <v>6848</v>
      </c>
      <c r="Q15" s="320" t="s">
        <v>1231</v>
      </c>
      <c r="R15" s="320" t="s">
        <v>1231</v>
      </c>
      <c r="S15" s="321"/>
      <c r="T15" s="322"/>
      <c r="U15" s="341"/>
      <c r="V15" s="341"/>
      <c r="W15" s="324"/>
      <c r="X15" s="324"/>
      <c r="Y15" s="324"/>
      <c r="Z15" s="324"/>
      <c r="AA15" s="324"/>
      <c r="AB15" s="325"/>
    </row>
    <row r="16">
      <c r="A16" s="343" t="s">
        <v>6755</v>
      </c>
      <c r="B16" s="312"/>
      <c r="C16" s="312"/>
      <c r="D16" s="312"/>
      <c r="E16" s="313"/>
      <c r="F16" s="343" t="str">
        <f>IFERROR(__xludf.DUMMYFUNCTION("GOOGLETRANSLATE(A16,""zh-tw"",""ja"")"),"遺跡エリア")</f>
        <v>遺跡エリア</v>
      </c>
      <c r="G16" s="312"/>
      <c r="H16" s="312"/>
      <c r="I16" s="313"/>
      <c r="J16" s="343" t="s">
        <v>6850</v>
      </c>
      <c r="K16" s="312"/>
      <c r="L16" s="312"/>
      <c r="M16" s="313"/>
      <c r="N16" s="343" t="s">
        <v>6763</v>
      </c>
      <c r="O16" s="312"/>
      <c r="P16" s="312"/>
      <c r="Q16" s="312"/>
      <c r="R16" s="313"/>
      <c r="S16" s="344"/>
      <c r="T16" s="305"/>
      <c r="U16" s="305"/>
      <c r="V16" s="306"/>
      <c r="W16" s="345"/>
      <c r="X16" s="345"/>
      <c r="Y16" s="345"/>
      <c r="Z16" s="345"/>
      <c r="AA16" s="345"/>
      <c r="AB16" s="345"/>
    </row>
    <row r="17">
      <c r="A17" s="317" t="s">
        <v>1231</v>
      </c>
      <c r="B17" s="317" t="s">
        <v>1231</v>
      </c>
      <c r="C17" s="317" t="s">
        <v>6851</v>
      </c>
      <c r="D17" s="317" t="s">
        <v>1231</v>
      </c>
      <c r="E17" s="317" t="s">
        <v>1231</v>
      </c>
      <c r="F17" s="318"/>
      <c r="G17" s="346" t="s">
        <v>6852</v>
      </c>
      <c r="H17" s="347"/>
      <c r="I17" s="347"/>
      <c r="J17" s="348"/>
      <c r="K17" s="349" t="s">
        <v>6853</v>
      </c>
      <c r="L17" s="348"/>
      <c r="M17" s="348"/>
      <c r="N17" s="350" t="s">
        <v>1231</v>
      </c>
      <c r="O17" s="350" t="s">
        <v>1231</v>
      </c>
      <c r="P17" s="351" t="s">
        <v>6854</v>
      </c>
      <c r="Q17" s="350" t="s">
        <v>1231</v>
      </c>
      <c r="R17" s="350" t="s">
        <v>1231</v>
      </c>
      <c r="S17" s="352"/>
      <c r="T17" s="353"/>
      <c r="U17" s="341"/>
      <c r="V17" s="341"/>
      <c r="W17" s="354"/>
      <c r="X17" s="354"/>
      <c r="Y17" s="354"/>
      <c r="Z17" s="354"/>
      <c r="AA17" s="354"/>
      <c r="AB17" s="354"/>
    </row>
    <row r="18">
      <c r="A18" s="317" t="s">
        <v>1231</v>
      </c>
      <c r="B18" s="317" t="s">
        <v>6855</v>
      </c>
      <c r="C18" s="317" t="s">
        <v>6856</v>
      </c>
      <c r="D18" s="317" t="s">
        <v>1231</v>
      </c>
      <c r="E18" s="317" t="s">
        <v>1231</v>
      </c>
      <c r="F18" s="318" t="s">
        <v>6857</v>
      </c>
      <c r="G18" s="318" t="s">
        <v>6858</v>
      </c>
      <c r="H18" s="347"/>
      <c r="I18" s="347"/>
      <c r="J18" s="348" t="s">
        <v>6859</v>
      </c>
      <c r="K18" s="355" t="s">
        <v>6860</v>
      </c>
      <c r="L18" s="348"/>
      <c r="M18" s="348"/>
      <c r="N18" s="350" t="s">
        <v>1231</v>
      </c>
      <c r="O18" s="350" t="s">
        <v>6861</v>
      </c>
      <c r="P18" s="350" t="s">
        <v>6862</v>
      </c>
      <c r="Q18" s="350" t="s">
        <v>1231</v>
      </c>
      <c r="R18" s="350" t="s">
        <v>1231</v>
      </c>
      <c r="S18" s="331"/>
      <c r="T18" s="322"/>
      <c r="U18" s="341"/>
      <c r="V18" s="341"/>
      <c r="W18" s="354"/>
      <c r="X18" s="354"/>
      <c r="Y18" s="354"/>
      <c r="Z18" s="354"/>
      <c r="AA18" s="354"/>
      <c r="AB18" s="354"/>
    </row>
    <row r="19">
      <c r="A19" s="317" t="s">
        <v>1231</v>
      </c>
      <c r="B19" s="317" t="s">
        <v>1231</v>
      </c>
      <c r="C19" s="317" t="s">
        <v>6863</v>
      </c>
      <c r="D19" s="317" t="s">
        <v>6864</v>
      </c>
      <c r="E19" s="317" t="s">
        <v>1231</v>
      </c>
      <c r="F19" s="318"/>
      <c r="G19" s="318" t="s">
        <v>6865</v>
      </c>
      <c r="H19" s="347"/>
      <c r="I19" s="347"/>
      <c r="J19" s="348"/>
      <c r="K19" s="356" t="s">
        <v>6866</v>
      </c>
      <c r="L19" s="348"/>
      <c r="M19" s="348"/>
      <c r="N19" s="350" t="s">
        <v>1231</v>
      </c>
      <c r="O19" s="350" t="s">
        <v>1231</v>
      </c>
      <c r="P19" s="357" t="s">
        <v>6867</v>
      </c>
      <c r="Q19" s="350" t="s">
        <v>4463</v>
      </c>
      <c r="R19" s="350" t="s">
        <v>1231</v>
      </c>
      <c r="S19" s="352"/>
      <c r="T19" s="330"/>
      <c r="U19" s="341"/>
      <c r="V19" s="341"/>
      <c r="W19" s="354"/>
      <c r="X19" s="354"/>
      <c r="Y19" s="354"/>
      <c r="Z19" s="354"/>
      <c r="AA19" s="354"/>
      <c r="AB19" s="354"/>
    </row>
    <row r="20">
      <c r="A20" s="317" t="s">
        <v>1231</v>
      </c>
      <c r="B20" s="317" t="s">
        <v>1231</v>
      </c>
      <c r="C20" s="317" t="s">
        <v>6868</v>
      </c>
      <c r="D20" s="317" t="s">
        <v>6869</v>
      </c>
      <c r="E20" s="317" t="s">
        <v>1231</v>
      </c>
      <c r="F20" s="318"/>
      <c r="G20" s="318" t="s">
        <v>6870</v>
      </c>
      <c r="H20" s="318" t="s">
        <v>6871</v>
      </c>
      <c r="I20" s="347"/>
      <c r="J20" s="348"/>
      <c r="K20" s="355" t="s">
        <v>6872</v>
      </c>
      <c r="L20" s="319" t="s">
        <v>6873</v>
      </c>
      <c r="M20" s="348"/>
      <c r="N20" s="350" t="s">
        <v>1231</v>
      </c>
      <c r="O20" s="350" t="s">
        <v>1231</v>
      </c>
      <c r="P20" s="350" t="s">
        <v>6874</v>
      </c>
      <c r="Q20" s="350" t="s">
        <v>6875</v>
      </c>
      <c r="R20" s="350" t="s">
        <v>1231</v>
      </c>
      <c r="S20" s="352"/>
      <c r="T20" s="322"/>
      <c r="U20" s="323"/>
      <c r="V20" s="341"/>
      <c r="W20" s="354"/>
      <c r="X20" s="354"/>
      <c r="Y20" s="354"/>
      <c r="Z20" s="354"/>
      <c r="AA20" s="354"/>
      <c r="AB20" s="354"/>
    </row>
    <row r="21">
      <c r="A21" s="358" t="s">
        <v>1231</v>
      </c>
      <c r="B21" s="358" t="s">
        <v>1231</v>
      </c>
      <c r="C21" s="317" t="s">
        <v>6876</v>
      </c>
      <c r="D21" s="317" t="s">
        <v>1231</v>
      </c>
      <c r="E21" s="317" t="s">
        <v>1231</v>
      </c>
      <c r="F21" s="318"/>
      <c r="G21" s="318" t="s">
        <v>6877</v>
      </c>
      <c r="H21" s="347"/>
      <c r="I21" s="347"/>
      <c r="J21" s="348"/>
      <c r="K21" s="355" t="s">
        <v>6878</v>
      </c>
      <c r="L21" s="348"/>
      <c r="M21" s="348"/>
      <c r="N21" s="350" t="s">
        <v>1231</v>
      </c>
      <c r="O21" s="350" t="s">
        <v>1231</v>
      </c>
      <c r="P21" s="350" t="s">
        <v>6879</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6880</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6881</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6882</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6883</v>
      </c>
      <c r="AK1" s="365" t="s">
        <v>6884</v>
      </c>
      <c r="AO1" s="365" t="s">
        <v>6885</v>
      </c>
      <c r="AS1" s="365"/>
      <c r="AT1" s="365"/>
    </row>
    <row r="2" ht="69.75" customHeight="1">
      <c r="A2" s="79" t="s">
        <v>6886</v>
      </c>
      <c r="B2" s="84" t="s">
        <v>6887</v>
      </c>
      <c r="C2" s="81" t="s">
        <v>6888</v>
      </c>
      <c r="D2" s="369" t="s">
        <v>6889</v>
      </c>
      <c r="E2" s="86" t="str">
        <f>IFERROR(__xludf.DUMMYFUNCTION("GOOGLETRANSLATE(A2,""zh-tw"",""ja"")"),"プロジェクト")</f>
        <v>プロジェクト</v>
      </c>
      <c r="F2" s="88" t="str">
        <f>IFERROR(__xludf.DUMMYFUNCTION("GOOGLETRANSLATE(B2,""zh-tw"",""ja"")"),"スペシャルドロップ")</f>
        <v>スペシャルドロップ</v>
      </c>
      <c r="G2" s="81" t="s">
        <v>6888</v>
      </c>
      <c r="H2" s="370" t="str">
        <f>IFERROR(__xludf.DUMMYFUNCTION("GOOGLETRANSLATE(D2,""zh-tw"",""ja"")"),"述べる")</f>
        <v>述べる</v>
      </c>
      <c r="I2" s="86" t="s">
        <v>6890</v>
      </c>
      <c r="J2" s="84" t="s">
        <v>6891</v>
      </c>
      <c r="K2" s="88" t="s">
        <v>6892</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6893</v>
      </c>
      <c r="R2" s="84" t="s">
        <v>6894</v>
      </c>
      <c r="S2" s="84" t="s">
        <v>6895</v>
      </c>
      <c r="T2" s="371" t="s">
        <v>6896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6897</v>
      </c>
      <c r="Z2" s="81" t="s">
        <v>6898</v>
      </c>
      <c r="AA2" s="81" t="s">
        <v>6899</v>
      </c>
      <c r="AB2" s="369" t="s">
        <v>6900</v>
      </c>
      <c r="AC2" s="372" t="s">
        <v>6901</v>
      </c>
      <c r="AD2" s="84" t="s">
        <v>6902</v>
      </c>
      <c r="AE2" s="373" t="str">
        <f>IFERROR(__xludf.DUMMYFUNCTION("GOOGLETRANSLATE(C2,""zh-tw"",""DE"")"),"Wahrscheinlichkeit (%)")</f>
        <v>Wahrscheinlichkeit (%)</v>
      </c>
      <c r="AF2" s="369" t="s">
        <v>6903</v>
      </c>
      <c r="AG2" s="374" t="s">
        <v>6904</v>
      </c>
      <c r="AH2" s="375" t="s">
        <v>6905</v>
      </c>
      <c r="AI2" s="376" t="s">
        <v>6906</v>
      </c>
      <c r="AJ2" s="369" t="s">
        <v>6907</v>
      </c>
      <c r="AK2" s="86" t="s">
        <v>6908</v>
      </c>
      <c r="AL2" s="84" t="s">
        <v>6909</v>
      </c>
      <c r="AM2" s="84" t="s">
        <v>6910</v>
      </c>
      <c r="AN2" s="369" t="s">
        <v>6911</v>
      </c>
      <c r="AO2" s="377" t="s">
        <v>6912</v>
      </c>
      <c r="AP2" s="378" t="s">
        <v>6913</v>
      </c>
      <c r="AQ2" s="378" t="s">
        <v>6914</v>
      </c>
      <c r="AR2" s="379" t="s">
        <v>6915</v>
      </c>
      <c r="AS2" s="379"/>
      <c r="AT2" s="379"/>
    </row>
    <row r="3">
      <c r="A3" s="380" t="s">
        <v>6916</v>
      </c>
      <c r="E3" s="381" t="str">
        <f>IFERROR(__xludf.DUMMYFUNCTION("GOOGLETRANSLATE(A3,""zh-tw"",""ja"")"),"小さなモンスター")</f>
        <v>小さなモンスター</v>
      </c>
      <c r="I3" s="381" t="s">
        <v>6917</v>
      </c>
      <c r="M3" s="381" t="str">
        <f>IFERROR(__xludf.DUMMYFUNCTION("GOOGLETRANSLATE(A3,""zh-tw"",""zh"")"),"一般小型怪物")</f>
        <v>一般小型怪物</v>
      </c>
      <c r="Q3" s="382" t="s">
        <v>6918</v>
      </c>
      <c r="U3" s="381" t="str">
        <f>IFERROR(__xludf.DUMMYFUNCTION("GOOGLETRANSLATE(A3,""zh-tw"",""KO"")"),"작은 괴물들")</f>
        <v>작은 괴물들</v>
      </c>
      <c r="Y3" s="380" t="s">
        <v>6919</v>
      </c>
      <c r="AC3" s="381" t="str">
        <f>IFERROR(__xludf.DUMMYFUNCTION("GOOGLETRANSLATE(A2,""zh-tw"",""DE"")"),"Projekt")</f>
        <v>Projekt</v>
      </c>
      <c r="AG3" s="383" t="s">
        <v>6920</v>
      </c>
      <c r="AK3" s="381" t="s">
        <v>6921</v>
      </c>
      <c r="AO3" s="381" t="s">
        <v>6922</v>
      </c>
      <c r="AS3" s="381"/>
      <c r="AT3" s="381"/>
    </row>
    <row r="4">
      <c r="A4" s="153" t="s">
        <v>6923</v>
      </c>
      <c r="B4" s="155" t="s">
        <v>6924</v>
      </c>
      <c r="C4" s="155" t="s">
        <v>6925</v>
      </c>
      <c r="D4" s="384" t="s">
        <v>1231</v>
      </c>
      <c r="E4" s="165" t="s">
        <v>6926</v>
      </c>
      <c r="F4" s="198" t="s">
        <v>6927</v>
      </c>
      <c r="G4" s="155" t="s">
        <v>6925</v>
      </c>
      <c r="H4" s="384" t="s">
        <v>1231</v>
      </c>
      <c r="I4" s="197" t="s">
        <v>6928</v>
      </c>
      <c r="J4" s="198" t="s">
        <v>6929</v>
      </c>
      <c r="K4" s="198" t="s">
        <v>6925</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6925</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6925</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6925</v>
      </c>
      <c r="X4" s="385" t="str">
        <f>IFERROR(__xludf.DUMMYFUNCTION("GOOGLETRANSLATE(D4,""zh-tw"",""KO"")"),"-")</f>
        <v>-</v>
      </c>
      <c r="Y4" s="153" t="s">
        <v>6930</v>
      </c>
      <c r="Z4" s="155" t="s">
        <v>6931</v>
      </c>
      <c r="AA4" s="155" t="s">
        <v>6925</v>
      </c>
      <c r="AB4" s="384" t="s">
        <v>1231</v>
      </c>
      <c r="AC4" s="197" t="s">
        <v>6932</v>
      </c>
      <c r="AD4" s="198" t="s">
        <v>6933</v>
      </c>
      <c r="AE4" s="198" t="s">
        <v>6925</v>
      </c>
      <c r="AF4" s="384" t="s">
        <v>1231</v>
      </c>
      <c r="AG4" s="187" t="s">
        <v>6934</v>
      </c>
      <c r="AH4" s="386" t="s">
        <v>6935</v>
      </c>
      <c r="AI4" s="386" t="s">
        <v>6925</v>
      </c>
      <c r="AJ4" s="384" t="s">
        <v>1231</v>
      </c>
      <c r="AK4" s="197" t="s">
        <v>6936</v>
      </c>
      <c r="AL4" s="198" t="s">
        <v>6937</v>
      </c>
      <c r="AM4" s="198" t="s">
        <v>6925</v>
      </c>
      <c r="AN4" s="384" t="s">
        <v>1231</v>
      </c>
      <c r="AO4" s="387" t="s">
        <v>6938</v>
      </c>
      <c r="AP4" s="202" t="s">
        <v>6939</v>
      </c>
      <c r="AQ4" s="202" t="s">
        <v>6925</v>
      </c>
      <c r="AR4" s="388" t="s">
        <v>1231</v>
      </c>
      <c r="AS4" s="388"/>
      <c r="AT4" s="388"/>
    </row>
    <row r="5">
      <c r="A5" s="153" t="s">
        <v>6940</v>
      </c>
      <c r="B5" s="155" t="s">
        <v>6941</v>
      </c>
      <c r="C5" s="155" t="s">
        <v>6942</v>
      </c>
      <c r="D5" s="384" t="s">
        <v>1231</v>
      </c>
      <c r="E5" s="165" t="s">
        <v>6943</v>
      </c>
      <c r="F5" s="167" t="s">
        <v>6944</v>
      </c>
      <c r="G5" s="155" t="s">
        <v>6942</v>
      </c>
      <c r="H5" s="385" t="s">
        <v>1231</v>
      </c>
      <c r="I5" s="197" t="s">
        <v>6945</v>
      </c>
      <c r="J5" s="198" t="s">
        <v>6946</v>
      </c>
      <c r="K5" s="198" t="s">
        <v>6942</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6942</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6942</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6942</v>
      </c>
      <c r="X5" s="385" t="str">
        <f>IFERROR(__xludf.DUMMYFUNCTION("GOOGLETRANSLATE(D5,""zh-tw"",""KO"")"),"-")</f>
        <v>-</v>
      </c>
      <c r="Y5" s="153" t="s">
        <v>6947</v>
      </c>
      <c r="Z5" s="155" t="s">
        <v>6948</v>
      </c>
      <c r="AA5" s="155" t="s">
        <v>6942</v>
      </c>
      <c r="AB5" s="384" t="s">
        <v>1231</v>
      </c>
      <c r="AC5" s="197" t="s">
        <v>6949</v>
      </c>
      <c r="AD5" s="198" t="s">
        <v>6950</v>
      </c>
      <c r="AE5" s="198" t="s">
        <v>6942</v>
      </c>
      <c r="AF5" s="384" t="s">
        <v>1231</v>
      </c>
      <c r="AG5" s="187" t="s">
        <v>6951</v>
      </c>
      <c r="AH5" s="386" t="s">
        <v>6952</v>
      </c>
      <c r="AI5" s="386" t="s">
        <v>6942</v>
      </c>
      <c r="AJ5" s="384" t="s">
        <v>1231</v>
      </c>
      <c r="AK5" s="197" t="s">
        <v>6953</v>
      </c>
      <c r="AL5" s="198" t="s">
        <v>6954</v>
      </c>
      <c r="AM5" s="198" t="s">
        <v>6942</v>
      </c>
      <c r="AN5" s="384" t="s">
        <v>1231</v>
      </c>
      <c r="AO5" s="387" t="s">
        <v>6955</v>
      </c>
      <c r="AP5" s="202" t="s">
        <v>6956</v>
      </c>
      <c r="AQ5" s="202" t="s">
        <v>6957</v>
      </c>
      <c r="AR5" s="388" t="s">
        <v>1231</v>
      </c>
      <c r="AS5" s="388"/>
      <c r="AT5" s="388"/>
    </row>
    <row r="6">
      <c r="A6" s="153" t="s">
        <v>6958</v>
      </c>
      <c r="B6" s="155" t="s">
        <v>6959</v>
      </c>
      <c r="C6" s="155" t="s">
        <v>6960</v>
      </c>
      <c r="D6" s="384" t="s">
        <v>1231</v>
      </c>
      <c r="E6" s="165" t="s">
        <v>6961</v>
      </c>
      <c r="F6" s="198" t="s">
        <v>6962</v>
      </c>
      <c r="G6" s="155" t="s">
        <v>6960</v>
      </c>
      <c r="H6" s="385" t="s">
        <v>1231</v>
      </c>
      <c r="I6" s="197" t="s">
        <v>6963</v>
      </c>
      <c r="J6" s="198" t="s">
        <v>6964</v>
      </c>
      <c r="K6" s="198" t="s">
        <v>6960</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6960</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6960</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6960</v>
      </c>
      <c r="X6" s="385" t="str">
        <f>IFERROR(__xludf.DUMMYFUNCTION("GOOGLETRANSLATE(D6,""zh-tw"",""KO"")"),"-")</f>
        <v>-</v>
      </c>
      <c r="Y6" s="153" t="s">
        <v>6965</v>
      </c>
      <c r="Z6" s="155" t="s">
        <v>6966</v>
      </c>
      <c r="AA6" s="155" t="s">
        <v>6960</v>
      </c>
      <c r="AB6" s="384" t="s">
        <v>1231</v>
      </c>
      <c r="AC6" s="197" t="s">
        <v>6967</v>
      </c>
      <c r="AD6" s="198" t="s">
        <v>6968</v>
      </c>
      <c r="AE6" s="198" t="s">
        <v>6960</v>
      </c>
      <c r="AF6" s="384" t="s">
        <v>1231</v>
      </c>
      <c r="AG6" s="187" t="s">
        <v>6969</v>
      </c>
      <c r="AH6" s="386" t="s">
        <v>6970</v>
      </c>
      <c r="AI6" s="386" t="s">
        <v>6960</v>
      </c>
      <c r="AJ6" s="384" t="s">
        <v>1231</v>
      </c>
      <c r="AK6" s="197" t="s">
        <v>6971</v>
      </c>
      <c r="AL6" s="198" t="s">
        <v>6972</v>
      </c>
      <c r="AM6" s="198" t="s">
        <v>6960</v>
      </c>
      <c r="AN6" s="384" t="s">
        <v>1231</v>
      </c>
      <c r="AO6" s="387" t="s">
        <v>6973</v>
      </c>
      <c r="AP6" s="202" t="s">
        <v>6974</v>
      </c>
      <c r="AQ6" s="202" t="s">
        <v>6960</v>
      </c>
      <c r="AR6" s="388" t="s">
        <v>1231</v>
      </c>
      <c r="AS6" s="388"/>
      <c r="AT6" s="388"/>
    </row>
    <row r="7">
      <c r="A7" s="153" t="s">
        <v>6975</v>
      </c>
      <c r="B7" s="155" t="s">
        <v>6976</v>
      </c>
      <c r="C7" s="155" t="s">
        <v>6977</v>
      </c>
      <c r="D7" s="385" t="s">
        <v>1231</v>
      </c>
      <c r="E7" s="165" t="s">
        <v>6978</v>
      </c>
      <c r="F7" s="198" t="s">
        <v>6979</v>
      </c>
      <c r="G7" s="155" t="s">
        <v>6977</v>
      </c>
      <c r="H7" s="385" t="s">
        <v>1231</v>
      </c>
      <c r="I7" s="197" t="s">
        <v>6980</v>
      </c>
      <c r="J7" s="198" t="s">
        <v>6981</v>
      </c>
      <c r="K7" s="198" t="s">
        <v>6982</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6977</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6977</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6977</v>
      </c>
      <c r="X7" s="385" t="str">
        <f>IFERROR(__xludf.DUMMYFUNCTION("GOOGLETRANSLATE(D7,""zh-tw"",""KO"")"),"-")</f>
        <v>-</v>
      </c>
      <c r="Y7" s="153" t="s">
        <v>6983</v>
      </c>
      <c r="Z7" s="155" t="s">
        <v>6984</v>
      </c>
      <c r="AA7" s="155" t="s">
        <v>6977</v>
      </c>
      <c r="AB7" s="384" t="s">
        <v>1231</v>
      </c>
      <c r="AC7" s="197" t="s">
        <v>6985</v>
      </c>
      <c r="AD7" s="198" t="s">
        <v>6986</v>
      </c>
      <c r="AE7" s="198" t="s">
        <v>6977</v>
      </c>
      <c r="AF7" s="384" t="s">
        <v>6987</v>
      </c>
      <c r="AG7" s="187" t="s">
        <v>6988</v>
      </c>
      <c r="AH7" s="386" t="s">
        <v>6989</v>
      </c>
      <c r="AI7" s="386" t="s">
        <v>6977</v>
      </c>
      <c r="AJ7" s="384" t="s">
        <v>1231</v>
      </c>
      <c r="AK7" s="197" t="s">
        <v>6990</v>
      </c>
      <c r="AL7" s="198" t="s">
        <v>6991</v>
      </c>
      <c r="AM7" s="198" t="s">
        <v>6977</v>
      </c>
      <c r="AN7" s="384" t="s">
        <v>1231</v>
      </c>
      <c r="AO7" s="387" t="s">
        <v>6992</v>
      </c>
      <c r="AP7" s="202" t="s">
        <v>6993</v>
      </c>
      <c r="AQ7" s="202" t="s">
        <v>6977</v>
      </c>
      <c r="AR7" s="388" t="s">
        <v>1231</v>
      </c>
      <c r="AS7" s="388"/>
      <c r="AT7" s="388"/>
    </row>
    <row r="8">
      <c r="A8" s="153" t="s">
        <v>6994</v>
      </c>
      <c r="B8" s="155" t="s">
        <v>6995</v>
      </c>
      <c r="C8" s="155" t="s">
        <v>6996</v>
      </c>
      <c r="D8" s="384" t="s">
        <v>1231</v>
      </c>
      <c r="E8" s="153" t="s">
        <v>6997</v>
      </c>
      <c r="F8" s="198" t="s">
        <v>6998</v>
      </c>
      <c r="G8" s="155" t="s">
        <v>6996</v>
      </c>
      <c r="H8" s="385" t="s">
        <v>1231</v>
      </c>
      <c r="I8" s="153" t="s">
        <v>6999</v>
      </c>
      <c r="J8" s="198" t="s">
        <v>7000</v>
      </c>
      <c r="K8" s="198" t="s">
        <v>6996</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6996</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6996</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6996</v>
      </c>
      <c r="X8" s="385" t="str">
        <f>IFERROR(__xludf.DUMMYFUNCTION("GOOGLETRANSLATE(D8,""zh-tw"",""KO"")"),"-")</f>
        <v>-</v>
      </c>
      <c r="Y8" s="153" t="s">
        <v>7001</v>
      </c>
      <c r="Z8" s="155" t="s">
        <v>7002</v>
      </c>
      <c r="AA8" s="155" t="s">
        <v>6996</v>
      </c>
      <c r="AB8" s="384" t="s">
        <v>1231</v>
      </c>
      <c r="AC8" s="197" t="s">
        <v>7003</v>
      </c>
      <c r="AD8" s="198" t="s">
        <v>7004</v>
      </c>
      <c r="AE8" s="198" t="s">
        <v>6996</v>
      </c>
      <c r="AF8" s="384" t="s">
        <v>7005</v>
      </c>
      <c r="AG8" s="187" t="s">
        <v>7006</v>
      </c>
      <c r="AH8" s="386" t="s">
        <v>7007</v>
      </c>
      <c r="AI8" s="386" t="s">
        <v>6996</v>
      </c>
      <c r="AJ8" s="384" t="s">
        <v>1231</v>
      </c>
      <c r="AK8" s="197" t="s">
        <v>7008</v>
      </c>
      <c r="AL8" s="167" t="s">
        <v>7009</v>
      </c>
      <c r="AM8" s="198" t="s">
        <v>6996</v>
      </c>
      <c r="AN8" s="384" t="s">
        <v>1231</v>
      </c>
      <c r="AO8" s="387" t="s">
        <v>7010</v>
      </c>
      <c r="AP8" s="202" t="s">
        <v>7011</v>
      </c>
      <c r="AQ8" s="202" t="s">
        <v>6996</v>
      </c>
      <c r="AR8" s="388" t="s">
        <v>1231</v>
      </c>
      <c r="AS8" s="388"/>
      <c r="AT8" s="388"/>
    </row>
    <row r="9" ht="41.25" customHeight="1">
      <c r="A9" s="153" t="s">
        <v>7012</v>
      </c>
      <c r="B9" s="155" t="s">
        <v>7013</v>
      </c>
      <c r="C9" s="155" t="s">
        <v>7014</v>
      </c>
      <c r="D9" s="385" t="s">
        <v>1231</v>
      </c>
      <c r="E9" s="165" t="s">
        <v>7015</v>
      </c>
      <c r="F9" s="198" t="s">
        <v>7016</v>
      </c>
      <c r="G9" s="155" t="s">
        <v>7014</v>
      </c>
      <c r="H9" s="385" t="s">
        <v>1231</v>
      </c>
      <c r="I9" s="153" t="s">
        <v>7017</v>
      </c>
      <c r="J9" s="198" t="s">
        <v>7018</v>
      </c>
      <c r="K9" s="198" t="s">
        <v>7014</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7014</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7014</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7014</v>
      </c>
      <c r="X9" s="385" t="str">
        <f>IFERROR(__xludf.DUMMYFUNCTION("GOOGLETRANSLATE(D9,""zh-tw"",""KO"")"),"-")</f>
        <v>-</v>
      </c>
      <c r="Y9" s="153" t="s">
        <v>7019</v>
      </c>
      <c r="Z9" s="155" t="s">
        <v>7020</v>
      </c>
      <c r="AA9" s="155" t="s">
        <v>7014</v>
      </c>
      <c r="AB9" s="384" t="s">
        <v>1231</v>
      </c>
      <c r="AC9" s="197" t="s">
        <v>7021</v>
      </c>
      <c r="AD9" s="198" t="s">
        <v>7022</v>
      </c>
      <c r="AE9" s="198" t="s">
        <v>7014</v>
      </c>
      <c r="AF9" s="384" t="s">
        <v>7023</v>
      </c>
      <c r="AG9" s="187" t="s">
        <v>7024</v>
      </c>
      <c r="AH9" s="386" t="s">
        <v>7025</v>
      </c>
      <c r="AI9" s="386" t="s">
        <v>7014</v>
      </c>
      <c r="AJ9" s="384" t="s">
        <v>1231</v>
      </c>
      <c r="AK9" s="197" t="s">
        <v>7026</v>
      </c>
      <c r="AL9" s="167" t="s">
        <v>7027</v>
      </c>
      <c r="AM9" s="198" t="s">
        <v>7014</v>
      </c>
      <c r="AN9" s="384" t="s">
        <v>1231</v>
      </c>
      <c r="AO9" s="387" t="s">
        <v>7028</v>
      </c>
      <c r="AP9" s="202" t="s">
        <v>7029</v>
      </c>
      <c r="AQ9" s="202" t="s">
        <v>7014</v>
      </c>
      <c r="AR9" s="388" t="s">
        <v>1231</v>
      </c>
      <c r="AS9" s="388"/>
      <c r="AT9" s="388"/>
    </row>
    <row r="10">
      <c r="A10" s="153" t="s">
        <v>7030</v>
      </c>
      <c r="B10" s="155" t="s">
        <v>7031</v>
      </c>
      <c r="C10" s="155" t="s">
        <v>7032</v>
      </c>
      <c r="D10" s="384" t="s">
        <v>1231</v>
      </c>
      <c r="E10" s="389" t="s">
        <v>7033</v>
      </c>
      <c r="F10" s="198" t="s">
        <v>7034</v>
      </c>
      <c r="G10" s="155" t="s">
        <v>7032</v>
      </c>
      <c r="H10" s="385" t="s">
        <v>1231</v>
      </c>
      <c r="I10" s="197" t="s">
        <v>7035</v>
      </c>
      <c r="J10" s="198" t="s">
        <v>7036</v>
      </c>
      <c r="K10" s="198" t="s">
        <v>7032</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7032</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7032</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7032</v>
      </c>
      <c r="X10" s="385" t="str">
        <f>IFERROR(__xludf.DUMMYFUNCTION("GOOGLETRANSLATE(D10,""zh-tw"",""KO"")"),"-")</f>
        <v>-</v>
      </c>
      <c r="Y10" s="153" t="s">
        <v>7037</v>
      </c>
      <c r="Z10" s="155" t="s">
        <v>7038</v>
      </c>
      <c r="AA10" s="155" t="s">
        <v>7032</v>
      </c>
      <c r="AB10" s="384" t="s">
        <v>1231</v>
      </c>
      <c r="AC10" s="197" t="s">
        <v>7039</v>
      </c>
      <c r="AD10" s="198" t="s">
        <v>7040</v>
      </c>
      <c r="AE10" s="198" t="s">
        <v>7032</v>
      </c>
      <c r="AF10" s="384" t="s">
        <v>1231</v>
      </c>
      <c r="AG10" s="187" t="s">
        <v>7041</v>
      </c>
      <c r="AH10" s="386" t="s">
        <v>7042</v>
      </c>
      <c r="AI10" s="386" t="s">
        <v>7032</v>
      </c>
      <c r="AJ10" s="384" t="s">
        <v>1231</v>
      </c>
      <c r="AK10" s="197" t="s">
        <v>7043</v>
      </c>
      <c r="AL10" s="198" t="s">
        <v>7044</v>
      </c>
      <c r="AM10" s="198" t="s">
        <v>7032</v>
      </c>
      <c r="AN10" s="384" t="s">
        <v>1231</v>
      </c>
      <c r="AO10" s="387" t="s">
        <v>7045</v>
      </c>
      <c r="AP10" s="202" t="s">
        <v>7046</v>
      </c>
      <c r="AQ10" s="202" t="s">
        <v>7032</v>
      </c>
      <c r="AR10" s="388" t="s">
        <v>1231</v>
      </c>
      <c r="AS10" s="388"/>
      <c r="AT10" s="388"/>
    </row>
    <row r="11">
      <c r="A11" s="153" t="s">
        <v>7047</v>
      </c>
      <c r="B11" s="155" t="s">
        <v>7048</v>
      </c>
      <c r="C11" s="167" t="s">
        <v>7049</v>
      </c>
      <c r="D11" s="385" t="s">
        <v>7050</v>
      </c>
      <c r="E11" s="153" t="s">
        <v>7051</v>
      </c>
      <c r="F11" s="198" t="s">
        <v>7052</v>
      </c>
      <c r="G11" s="167" t="s">
        <v>7049</v>
      </c>
      <c r="H11" s="390" t="s">
        <v>7053</v>
      </c>
      <c r="I11" s="197" t="s">
        <v>7054</v>
      </c>
      <c r="J11" s="198" t="s">
        <v>7055</v>
      </c>
      <c r="K11" s="167" t="s">
        <v>7049</v>
      </c>
      <c r="L11" s="384" t="s">
        <v>7056</v>
      </c>
      <c r="M11" s="197" t="str">
        <f>IFERROR(__xludf.DUMMYFUNCTION("GOOGLETRANSLATE(A11,""zh-tw"",""zh"")"),"鹿角兔")</f>
        <v>鹿角兔</v>
      </c>
      <c r="N11" s="198" t="str">
        <f>IFERROR(__xludf.DUMMYFUNCTION("GOOGLETRANSLATE(B11,""zh-tw"",""zh"")"),"小块兽肉
红色的角")</f>
        <v>小块兽肉
红色的角</v>
      </c>
      <c r="O11" s="167" t="s">
        <v>7049</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7049</v>
      </c>
      <c r="T11" s="38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7049</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7057</v>
      </c>
      <c r="Z11" s="155" t="s">
        <v>7058</v>
      </c>
      <c r="AA11" s="155" t="s">
        <v>7049</v>
      </c>
      <c r="AB11" s="384" t="s">
        <v>7059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7049</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7060</v>
      </c>
      <c r="AH11" s="386" t="s">
        <v>7061</v>
      </c>
      <c r="AI11" s="49" t="s">
        <v>7049</v>
      </c>
      <c r="AJ11" s="384" t="s">
        <v>1231</v>
      </c>
      <c r="AK11" s="197" t="s">
        <v>7060</v>
      </c>
      <c r="AL11" s="198" t="s">
        <v>7062</v>
      </c>
      <c r="AM11" s="167" t="s">
        <v>7049</v>
      </c>
      <c r="AN11" s="384" t="s">
        <v>7063</v>
      </c>
      <c r="AO11" s="387" t="s">
        <v>7064</v>
      </c>
      <c r="AP11" s="202" t="s">
        <v>7065</v>
      </c>
      <c r="AQ11" s="202" t="s">
        <v>7049</v>
      </c>
      <c r="AR11" s="388" t="s">
        <v>7066</v>
      </c>
      <c r="AS11" s="388"/>
      <c r="AT11" s="388"/>
    </row>
    <row r="12">
      <c r="A12" s="153" t="s">
        <v>7067</v>
      </c>
      <c r="B12" s="155" t="s">
        <v>7068</v>
      </c>
      <c r="C12" s="167" t="s">
        <v>7069</v>
      </c>
      <c r="D12" s="385" t="s">
        <v>1231</v>
      </c>
      <c r="E12" s="153" t="s">
        <v>7070</v>
      </c>
      <c r="F12" s="198" t="s">
        <v>7071</v>
      </c>
      <c r="G12" s="167" t="s">
        <v>7072</v>
      </c>
      <c r="H12" s="385" t="s">
        <v>1231</v>
      </c>
      <c r="I12" s="197" t="s">
        <v>7073</v>
      </c>
      <c r="J12" s="198" t="s">
        <v>7074</v>
      </c>
      <c r="K12" s="167" t="s">
        <v>7069</v>
      </c>
      <c r="L12" s="384"/>
      <c r="M12" s="197" t="str">
        <f>IFERROR(__xludf.DUMMYFUNCTION("GOOGLETRANSLATE(A12,""zh-tw"",""zh"")"),"""Z""
(蟑螂)")</f>
        <v>"Z"
(蟑螂)</v>
      </c>
      <c r="N12" s="198" t="str">
        <f>IFERROR(__xludf.DUMMYFUNCTION("GOOGLETRANSLATE(B12,""zh-tw"",""zh"")"),"垃圾
阴暗爬行者的馈赠")</f>
        <v>垃圾
阴暗爬行者的馈赠</v>
      </c>
      <c r="O12" s="167" t="s">
        <v>7069</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7069</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7069</v>
      </c>
      <c r="X12" s="385" t="str">
        <f>IFERROR(__xludf.DUMMYFUNCTION("GOOGLETRANSLATE(D12,""zh-tw"",""KO"")"),"-")</f>
        <v>-</v>
      </c>
      <c r="Y12" s="153" t="s">
        <v>7075</v>
      </c>
      <c r="Z12" s="155" t="s">
        <v>7076</v>
      </c>
      <c r="AA12" s="155" t="s">
        <v>7069</v>
      </c>
      <c r="AB12" s="384" t="s">
        <v>1231</v>
      </c>
      <c r="AC12" s="197" t="str">
        <f>IFERROR(__xludf.DUMMYFUNCTION("GOOGLETRANSLATE(A12,""zh-tw"",""DE"")"),"""Z"" (Kakerlake)")</f>
        <v>"Z" (Kakerlake)</v>
      </c>
      <c r="AD12" s="167" t="s">
        <v>7077</v>
      </c>
      <c r="AE12" s="167" t="s">
        <v>7069</v>
      </c>
      <c r="AF12" s="384" t="str">
        <f>IFERROR(__xludf.DUMMYFUNCTION("GOOGLETRANSLATE(D12,""zh-tw"",""DE"")"),"-")</f>
        <v>-</v>
      </c>
      <c r="AG12" s="187" t="s">
        <v>7078</v>
      </c>
      <c r="AH12" s="49" t="s">
        <v>7079</v>
      </c>
      <c r="AI12" s="49" t="s">
        <v>7069</v>
      </c>
      <c r="AJ12" s="384" t="s">
        <v>1231</v>
      </c>
      <c r="AK12" s="197" t="s">
        <v>7080</v>
      </c>
      <c r="AL12" s="198" t="s">
        <v>7081</v>
      </c>
      <c r="AM12" s="167" t="s">
        <v>7069</v>
      </c>
      <c r="AN12" s="384" t="s">
        <v>1231</v>
      </c>
      <c r="AO12" s="387" t="s">
        <v>7082</v>
      </c>
      <c r="AP12" s="202" t="s">
        <v>7083</v>
      </c>
      <c r="AQ12" s="202" t="s">
        <v>7069</v>
      </c>
      <c r="AR12" s="391" t="s">
        <v>1231</v>
      </c>
      <c r="AS12" s="391"/>
      <c r="AT12" s="391"/>
    </row>
    <row r="13">
      <c r="A13" s="380" t="s">
        <v>7084</v>
      </c>
      <c r="E13" s="380" t="str">
        <f>IFERROR(__xludf.DUMMYFUNCTION("GOOGLETRANSLATE(A13,""zh-tw"",""ja"")"),"水に関連する")</f>
        <v>水に関連する</v>
      </c>
      <c r="I13" s="381" t="s">
        <v>7085</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7086</v>
      </c>
      <c r="AC13" s="381" t="str">
        <f>IFERROR(__xludf.DUMMYFUNCTION("GOOGLETRANSLATE(A12,""zh-tw"",""DE"")"),"""Z"" (Kakerlake)")</f>
        <v>"Z" (Kakerlake)</v>
      </c>
      <c r="AG13" s="383" t="s">
        <v>7087</v>
      </c>
      <c r="AK13" s="381" t="s">
        <v>7088</v>
      </c>
      <c r="AO13" s="392" t="s">
        <v>7089</v>
      </c>
      <c r="AS13" s="392"/>
      <c r="AT13" s="392"/>
    </row>
    <row r="14">
      <c r="A14" s="144" t="s">
        <v>7090</v>
      </c>
      <c r="B14" s="167" t="s">
        <v>7091</v>
      </c>
      <c r="C14" s="167" t="s">
        <v>7092</v>
      </c>
      <c r="D14" s="385" t="s">
        <v>7093</v>
      </c>
      <c r="E14" s="153" t="s">
        <v>7094</v>
      </c>
      <c r="F14" s="167" t="s">
        <v>7095</v>
      </c>
      <c r="G14" s="167" t="s">
        <v>7092</v>
      </c>
      <c r="H14" s="385" t="s">
        <v>7096</v>
      </c>
      <c r="I14" s="393" t="s">
        <v>7097</v>
      </c>
      <c r="J14" s="167" t="s">
        <v>7098</v>
      </c>
      <c r="K14" s="198" t="s">
        <v>7099</v>
      </c>
      <c r="L14" s="384" t="s">
        <v>7100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7099</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7099</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7099</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7101</v>
      </c>
      <c r="Z14" s="155" t="s">
        <v>7102</v>
      </c>
      <c r="AA14" s="155" t="s">
        <v>7099</v>
      </c>
      <c r="AB14" s="384" t="s">
        <v>7103</v>
      </c>
      <c r="AC14" s="197" t="s">
        <v>7104</v>
      </c>
      <c r="AD14" s="167" t="s">
        <v>7105</v>
      </c>
      <c r="AE14" s="198" t="s">
        <v>7099</v>
      </c>
      <c r="AF14" s="384" t="s">
        <v>7106</v>
      </c>
      <c r="AG14" s="394" t="s">
        <v>7107</v>
      </c>
      <c r="AH14" s="49" t="s">
        <v>7108</v>
      </c>
      <c r="AI14" s="386" t="s">
        <v>7099</v>
      </c>
      <c r="AJ14" s="384" t="s">
        <v>7109</v>
      </c>
      <c r="AK14" s="207" t="s">
        <v>7110</v>
      </c>
      <c r="AL14" s="167" t="s">
        <v>7111</v>
      </c>
      <c r="AM14" s="198" t="s">
        <v>7099</v>
      </c>
      <c r="AN14" s="384" t="s">
        <v>7112</v>
      </c>
      <c r="AO14" s="387" t="s">
        <v>7113</v>
      </c>
      <c r="AP14" s="202" t="s">
        <v>7114</v>
      </c>
      <c r="AQ14" s="202" t="s">
        <v>7115</v>
      </c>
      <c r="AR14" s="388" t="s">
        <v>7116</v>
      </c>
      <c r="AS14" s="388"/>
      <c r="AT14" s="388"/>
    </row>
    <row r="15">
      <c r="A15" s="144" t="s">
        <v>7117</v>
      </c>
      <c r="B15" s="167" t="s">
        <v>7118</v>
      </c>
      <c r="C15" s="155" t="s">
        <v>7119</v>
      </c>
      <c r="D15" s="385" t="s">
        <v>7120</v>
      </c>
      <c r="E15" s="153" t="s">
        <v>7121</v>
      </c>
      <c r="F15" s="167" t="s">
        <v>7122</v>
      </c>
      <c r="G15" s="155" t="s">
        <v>7119</v>
      </c>
      <c r="H15" s="385" t="s">
        <v>7123</v>
      </c>
      <c r="I15" s="393" t="s">
        <v>7124</v>
      </c>
      <c r="J15" s="167" t="s">
        <v>7125</v>
      </c>
      <c r="K15" s="198" t="s">
        <v>7119</v>
      </c>
      <c r="L15" s="384" t="s">
        <v>7126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7119</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7119</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7119</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7127</v>
      </c>
      <c r="Z15" s="155" t="s">
        <v>7128</v>
      </c>
      <c r="AA15" s="155" t="s">
        <v>7119</v>
      </c>
      <c r="AB15" s="384" t="s">
        <v>7129</v>
      </c>
      <c r="AC15" s="197" t="s">
        <v>7130</v>
      </c>
      <c r="AD15" s="167" t="s">
        <v>7131</v>
      </c>
      <c r="AE15" s="198" t="s">
        <v>7119</v>
      </c>
      <c r="AF15" s="384" t="s">
        <v>7132</v>
      </c>
      <c r="AG15" s="394" t="s">
        <v>7133</v>
      </c>
      <c r="AH15" s="49" t="s">
        <v>7134</v>
      </c>
      <c r="AI15" s="386" t="s">
        <v>7119</v>
      </c>
      <c r="AJ15" s="384" t="s">
        <v>7135</v>
      </c>
      <c r="AK15" s="207" t="s">
        <v>7136</v>
      </c>
      <c r="AL15" s="167" t="s">
        <v>7137</v>
      </c>
      <c r="AM15" s="198" t="s">
        <v>7119</v>
      </c>
      <c r="AN15" s="384" t="s">
        <v>7138</v>
      </c>
      <c r="AO15" s="387" t="s">
        <v>7139</v>
      </c>
      <c r="AP15" s="202" t="s">
        <v>7140</v>
      </c>
      <c r="AQ15" s="202" t="s">
        <v>7119</v>
      </c>
      <c r="AR15" s="388" t="s">
        <v>7141</v>
      </c>
      <c r="AS15" s="388"/>
      <c r="AT15" s="388"/>
    </row>
    <row r="16">
      <c r="A16" s="153" t="s">
        <v>7142</v>
      </c>
      <c r="B16" s="155" t="s">
        <v>7143</v>
      </c>
      <c r="C16" s="155" t="s">
        <v>7144</v>
      </c>
      <c r="D16" s="385" t="s">
        <v>7145</v>
      </c>
      <c r="E16" s="197" t="s">
        <v>7142</v>
      </c>
      <c r="F16" s="198" t="s">
        <v>7146</v>
      </c>
      <c r="G16" s="155" t="s">
        <v>7144</v>
      </c>
      <c r="H16" s="385" t="s">
        <v>7147</v>
      </c>
      <c r="I16" s="197" t="s">
        <v>7148</v>
      </c>
      <c r="J16" s="198" t="s">
        <v>7149</v>
      </c>
      <c r="K16" s="198" t="s">
        <v>7144</v>
      </c>
      <c r="L16" s="384" t="s">
        <v>7150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7144</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7144</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7144</v>
      </c>
      <c r="X16" s="385" t="str">
        <f>IFERROR(__xludf.DUMMYFUNCTION("GOOGLETRANSLATE(D16,""zh-tw"",""KO"")"),"공격이나 접촉을 이용하여 재료를 포획하세요 (재료만 드롭됩니다).")</f>
        <v>공격이나 접촉을 이용하여 재료를 포획하세요 (재료만 드롭됩니다).</v>
      </c>
      <c r="Y16" s="153" t="s">
        <v>7151</v>
      </c>
      <c r="Z16" s="155" t="s">
        <v>7152</v>
      </c>
      <c r="AA16" s="155" t="s">
        <v>7144</v>
      </c>
      <c r="AB16" s="384" t="s">
        <v>7153</v>
      </c>
      <c r="AC16" s="197" t="s">
        <v>7154</v>
      </c>
      <c r="AD16" s="198" t="s">
        <v>7155</v>
      </c>
      <c r="AE16" s="198" t="s">
        <v>7144</v>
      </c>
      <c r="AF16" s="384" t="s">
        <v>7156</v>
      </c>
      <c r="AG16" s="187" t="s">
        <v>7157</v>
      </c>
      <c r="AH16" s="386" t="s">
        <v>7158</v>
      </c>
      <c r="AI16" s="386" t="s">
        <v>7144</v>
      </c>
      <c r="AJ16" s="384" t="s">
        <v>7159</v>
      </c>
      <c r="AK16" s="197" t="s">
        <v>7160</v>
      </c>
      <c r="AL16" s="198" t="s">
        <v>7161</v>
      </c>
      <c r="AM16" s="198" t="s">
        <v>7144</v>
      </c>
      <c r="AN16" s="384" t="s">
        <v>7162</v>
      </c>
      <c r="AO16" s="387" t="s">
        <v>7163</v>
      </c>
      <c r="AP16" s="202" t="s">
        <v>7164</v>
      </c>
      <c r="AQ16" s="202" t="s">
        <v>7144</v>
      </c>
      <c r="AR16" s="388" t="s">
        <v>7165</v>
      </c>
      <c r="AS16" s="388"/>
      <c r="AT16" s="388"/>
    </row>
    <row r="17">
      <c r="A17" s="153" t="s">
        <v>7166</v>
      </c>
      <c r="B17" s="155" t="s">
        <v>7167</v>
      </c>
      <c r="C17" s="155" t="s">
        <v>7168</v>
      </c>
      <c r="D17" s="384" t="s">
        <v>1231</v>
      </c>
      <c r="E17" s="197" t="s">
        <v>7166</v>
      </c>
      <c r="F17" s="155" t="str">
        <f>IFERROR(__xludf.DUMMYFUNCTION("GOOGLETRANSLATE(B17,""zh-tw"",""ja"")"),"ウォーターモンスタースライム
魔法の水晶クラスター
潮汐の詩")</f>
        <v>ウォーターモンスタースライム
魔法の水晶クラスター
潮汐の詩</v>
      </c>
      <c r="G17" s="155" t="s">
        <v>7168</v>
      </c>
      <c r="H17" s="385" t="str">
        <f>IFERROR(__xludf.DUMMYFUNCTION("GOOGLETRANSLATE(D17,""zh-tw"",""ja"")"),"-")</f>
        <v>-</v>
      </c>
      <c r="I17" s="153" t="s">
        <v>7169</v>
      </c>
      <c r="J17" s="167" t="s">
        <v>7170</v>
      </c>
      <c r="K17" s="198" t="s">
        <v>7168</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7168</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7168</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7168</v>
      </c>
      <c r="X17" s="385" t="str">
        <f>IFERROR(__xludf.DUMMYFUNCTION("GOOGLETRANSLATE(D17,""zh-tw"",""KO"")"),"-")</f>
        <v>-</v>
      </c>
      <c r="Y17" s="153" t="s">
        <v>7171</v>
      </c>
      <c r="Z17" s="155" t="s">
        <v>7172</v>
      </c>
      <c r="AA17" s="155" t="s">
        <v>7168</v>
      </c>
      <c r="AB17" s="384" t="s">
        <v>1231</v>
      </c>
      <c r="AC17" s="197" t="s">
        <v>7173</v>
      </c>
      <c r="AD17" s="198" t="s">
        <v>7174</v>
      </c>
      <c r="AE17" s="198" t="s">
        <v>7168</v>
      </c>
      <c r="AF17" s="390" t="s">
        <v>7175</v>
      </c>
      <c r="AG17" s="187" t="s">
        <v>7176</v>
      </c>
      <c r="AH17" s="386" t="s">
        <v>7177</v>
      </c>
      <c r="AI17" s="386" t="s">
        <v>7168</v>
      </c>
      <c r="AJ17" s="384" t="s">
        <v>1231</v>
      </c>
      <c r="AK17" s="197" t="s">
        <v>7169</v>
      </c>
      <c r="AL17" s="198" t="s">
        <v>7178</v>
      </c>
      <c r="AM17" s="198" t="s">
        <v>7168</v>
      </c>
      <c r="AN17" s="384" t="s">
        <v>1231</v>
      </c>
      <c r="AO17" s="387" t="s">
        <v>7169</v>
      </c>
      <c r="AP17" s="202" t="s">
        <v>7179</v>
      </c>
      <c r="AQ17" s="202" t="s">
        <v>7168</v>
      </c>
      <c r="AR17" s="388" t="s">
        <v>1231</v>
      </c>
      <c r="AS17" s="388"/>
      <c r="AT17" s="388"/>
    </row>
    <row r="18">
      <c r="A18" s="153" t="s">
        <v>7180</v>
      </c>
      <c r="B18" s="155" t="s">
        <v>7181</v>
      </c>
      <c r="C18" s="155">
        <v>100.0</v>
      </c>
      <c r="D18" s="385" t="s">
        <v>7182</v>
      </c>
      <c r="E18" s="197" t="s">
        <v>7183</v>
      </c>
      <c r="F18" s="155" t="s">
        <v>7184</v>
      </c>
      <c r="G18" s="155">
        <v>100.0</v>
      </c>
      <c r="H18" s="385" t="s">
        <v>7185</v>
      </c>
      <c r="I18" s="153" t="s">
        <v>7186</v>
      </c>
      <c r="J18" s="198" t="s">
        <v>7187</v>
      </c>
      <c r="K18" s="198">
        <v>100.0</v>
      </c>
      <c r="L18" s="384" t="s">
        <v>7188</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7189</v>
      </c>
      <c r="Z18" s="155" t="s">
        <v>7190</v>
      </c>
      <c r="AA18" s="155">
        <v>100.0</v>
      </c>
      <c r="AB18" s="384" t="s">
        <v>7191</v>
      </c>
      <c r="AC18" s="197" t="s">
        <v>7192</v>
      </c>
      <c r="AD18" s="198" t="s">
        <v>7193</v>
      </c>
      <c r="AE18" s="198">
        <v>100.0</v>
      </c>
      <c r="AF18" s="384" t="s">
        <v>7194</v>
      </c>
      <c r="AG18" s="187" t="s">
        <v>7195</v>
      </c>
      <c r="AH18" s="386" t="s">
        <v>7196</v>
      </c>
      <c r="AI18" s="386">
        <v>100.0</v>
      </c>
      <c r="AJ18" s="384" t="s">
        <v>7197</v>
      </c>
      <c r="AK18" s="197" t="s">
        <v>7198</v>
      </c>
      <c r="AL18" s="198" t="s">
        <v>7199</v>
      </c>
      <c r="AM18" s="198">
        <v>100.0</v>
      </c>
      <c r="AN18" s="384" t="s">
        <v>7200</v>
      </c>
      <c r="AO18" s="387" t="s">
        <v>7201</v>
      </c>
      <c r="AP18" s="202" t="s">
        <v>7202</v>
      </c>
      <c r="AQ18" s="202" t="s">
        <v>7203</v>
      </c>
      <c r="AR18" s="388" t="s">
        <v>7204</v>
      </c>
      <c r="AS18" s="388"/>
      <c r="AT18" s="388"/>
    </row>
    <row r="19">
      <c r="A19" s="153" t="s">
        <v>7205</v>
      </c>
      <c r="B19" s="155" t="s">
        <v>7206</v>
      </c>
      <c r="C19" s="155">
        <v>100.0</v>
      </c>
      <c r="D19" s="385" t="s">
        <v>7182</v>
      </c>
      <c r="E19" s="197" t="s">
        <v>7207</v>
      </c>
      <c r="F19" s="155" t="s">
        <v>7208</v>
      </c>
      <c r="G19" s="155">
        <v>100.0</v>
      </c>
      <c r="H19" s="385" t="s">
        <v>7185</v>
      </c>
      <c r="I19" s="153" t="s">
        <v>7209</v>
      </c>
      <c r="J19" s="198" t="s">
        <v>7210</v>
      </c>
      <c r="K19" s="198">
        <v>100.0</v>
      </c>
      <c r="L19" s="384" t="s">
        <v>7188</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7211</v>
      </c>
      <c r="Z19" s="155" t="s">
        <v>7212</v>
      </c>
      <c r="AA19" s="155">
        <v>100.0</v>
      </c>
      <c r="AB19" s="384" t="s">
        <v>7191</v>
      </c>
      <c r="AC19" s="197" t="s">
        <v>7213</v>
      </c>
      <c r="AD19" s="198" t="s">
        <v>7214</v>
      </c>
      <c r="AE19" s="198">
        <v>100.0</v>
      </c>
      <c r="AF19" s="384" t="s">
        <v>7194</v>
      </c>
      <c r="AG19" s="187" t="s">
        <v>7215</v>
      </c>
      <c r="AH19" s="386" t="s">
        <v>7216</v>
      </c>
      <c r="AI19" s="386">
        <v>100.0</v>
      </c>
      <c r="AJ19" s="384" t="s">
        <v>7197</v>
      </c>
      <c r="AK19" s="197" t="s">
        <v>7217</v>
      </c>
      <c r="AL19" s="198" t="s">
        <v>7218</v>
      </c>
      <c r="AM19" s="198">
        <v>100.0</v>
      </c>
      <c r="AN19" s="384" t="s">
        <v>7200</v>
      </c>
      <c r="AO19" s="387" t="s">
        <v>7219</v>
      </c>
      <c r="AP19" s="202" t="s">
        <v>7220</v>
      </c>
      <c r="AQ19" s="202" t="s">
        <v>7203</v>
      </c>
      <c r="AR19" s="388" t="s">
        <v>7204</v>
      </c>
      <c r="AS19" s="388"/>
      <c r="AT19" s="388"/>
    </row>
    <row r="20">
      <c r="A20" s="380" t="s">
        <v>7221</v>
      </c>
      <c r="E20" s="381" t="str">
        <f>IFERROR(__xludf.DUMMYFUNCTION("GOOGLETRANSLATE(A20,""zh-tw"",""ja"")"),"鉱山関連")</f>
        <v>鉱山関連</v>
      </c>
      <c r="I20" s="380" t="s">
        <v>7222</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7223</v>
      </c>
      <c r="AC20" s="381" t="str">
        <f>IFERROR(__xludf.DUMMYFUNCTION("GOOGLETRANSLATE(A19,""zh-tw"",""DE"")"),"Sakaban-Schildkröte (groß)")</f>
        <v>Sakaban-Schildkröte (groß)</v>
      </c>
      <c r="AG20" s="383" t="s">
        <v>7224</v>
      </c>
      <c r="AK20" s="381" t="s">
        <v>7222</v>
      </c>
      <c r="AO20" s="395" t="s">
        <v>7225</v>
      </c>
      <c r="AS20" s="395"/>
      <c r="AT20" s="395"/>
    </row>
    <row r="21">
      <c r="A21" s="153" t="s">
        <v>7226</v>
      </c>
      <c r="B21" s="155" t="s">
        <v>7227</v>
      </c>
      <c r="C21" s="155" t="s">
        <v>7228</v>
      </c>
      <c r="D21" s="385" t="s">
        <v>1231</v>
      </c>
      <c r="E21" s="197" t="s">
        <v>7229</v>
      </c>
      <c r="F21" s="198" t="s">
        <v>7230</v>
      </c>
      <c r="G21" s="155" t="s">
        <v>7228</v>
      </c>
      <c r="H21" s="390" t="s">
        <v>1231</v>
      </c>
      <c r="I21" s="153" t="s">
        <v>7231</v>
      </c>
      <c r="J21" s="198" t="s">
        <v>7232</v>
      </c>
      <c r="K21" s="198" t="s">
        <v>7228</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7228</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7228</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7228</v>
      </c>
      <c r="X21" s="385" t="str">
        <f>IFERROR(__xludf.DUMMYFUNCTION("GOOGLETRANSLATE(D21,""zh-tw"",""KO"")"),"-")</f>
        <v>-</v>
      </c>
      <c r="Y21" s="153" t="s">
        <v>7233</v>
      </c>
      <c r="Z21" s="155" t="s">
        <v>7234</v>
      </c>
      <c r="AA21" s="155" t="s">
        <v>7228</v>
      </c>
      <c r="AB21" s="384" t="s">
        <v>1231</v>
      </c>
      <c r="AC21" s="197" t="s">
        <v>7235</v>
      </c>
      <c r="AD21" s="198" t="s">
        <v>7236</v>
      </c>
      <c r="AE21" s="198" t="s">
        <v>7228</v>
      </c>
      <c r="AF21" s="390" t="s">
        <v>7175</v>
      </c>
      <c r="AG21" s="187" t="s">
        <v>7237</v>
      </c>
      <c r="AH21" s="386" t="s">
        <v>7238</v>
      </c>
      <c r="AI21" s="386" t="s">
        <v>7228</v>
      </c>
      <c r="AJ21" s="384" t="s">
        <v>1231</v>
      </c>
      <c r="AK21" s="197" t="s">
        <v>7239</v>
      </c>
      <c r="AL21" s="167" t="s">
        <v>7240</v>
      </c>
      <c r="AM21" s="198" t="s">
        <v>7228</v>
      </c>
      <c r="AN21" s="384" t="s">
        <v>1231</v>
      </c>
      <c r="AO21" s="387" t="s">
        <v>7241</v>
      </c>
      <c r="AP21" s="202" t="s">
        <v>7242</v>
      </c>
      <c r="AQ21" s="202" t="s">
        <v>7243</v>
      </c>
      <c r="AR21" s="388" t="s">
        <v>1231</v>
      </c>
      <c r="AS21" s="388"/>
      <c r="AT21" s="388"/>
    </row>
    <row r="22">
      <c r="A22" s="153" t="s">
        <v>7244</v>
      </c>
      <c r="B22" s="155" t="s">
        <v>7245</v>
      </c>
      <c r="C22" s="155" t="s">
        <v>7246</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7246</v>
      </c>
      <c r="H22" s="390" t="s">
        <v>1231</v>
      </c>
      <c r="I22" s="153" t="s">
        <v>7247</v>
      </c>
      <c r="J22" s="198" t="s">
        <v>7248</v>
      </c>
      <c r="K22" s="198" t="s">
        <v>7246</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7246</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7246</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7246</v>
      </c>
      <c r="X22" s="385" t="str">
        <f>IFERROR(__xludf.DUMMYFUNCTION("GOOGLETRANSLATE(D22,""zh-tw"",""KO"")"),"-")</f>
        <v>-</v>
      </c>
      <c r="Y22" s="153" t="s">
        <v>7249</v>
      </c>
      <c r="Z22" s="155" t="s">
        <v>7250</v>
      </c>
      <c r="AA22" s="155" t="s">
        <v>7246</v>
      </c>
      <c r="AB22" s="384" t="s">
        <v>1231</v>
      </c>
      <c r="AC22" s="197" t="s">
        <v>7251</v>
      </c>
      <c r="AD22" s="198" t="s">
        <v>7252</v>
      </c>
      <c r="AE22" s="198" t="s">
        <v>7246</v>
      </c>
      <c r="AF22" s="390" t="s">
        <v>7175</v>
      </c>
      <c r="AG22" s="187" t="s">
        <v>7253</v>
      </c>
      <c r="AH22" s="386" t="s">
        <v>7254</v>
      </c>
      <c r="AI22" s="386" t="s">
        <v>7246</v>
      </c>
      <c r="AJ22" s="384" t="s">
        <v>1231</v>
      </c>
      <c r="AK22" s="197" t="s">
        <v>7255</v>
      </c>
      <c r="AL22" s="198" t="s">
        <v>7256</v>
      </c>
      <c r="AM22" s="198" t="s">
        <v>7246</v>
      </c>
      <c r="AN22" s="384" t="s">
        <v>1231</v>
      </c>
      <c r="AO22" s="387" t="s">
        <v>7257</v>
      </c>
      <c r="AP22" s="202" t="s">
        <v>7258</v>
      </c>
      <c r="AQ22" s="202" t="s">
        <v>7246</v>
      </c>
      <c r="AR22" s="388" t="s">
        <v>1231</v>
      </c>
      <c r="AS22" s="388"/>
      <c r="AT22" s="388"/>
    </row>
    <row r="23">
      <c r="A23" s="153" t="s">
        <v>7259</v>
      </c>
      <c r="B23" s="155" t="s">
        <v>7260</v>
      </c>
      <c r="C23" s="155" t="s">
        <v>7261</v>
      </c>
      <c r="D23" s="385" t="s">
        <v>1231</v>
      </c>
      <c r="E23" s="153" t="s">
        <v>7262</v>
      </c>
      <c r="F23" s="155" t="str">
        <f>IFERROR(__xludf.DUMMYFUNCTION("GOOGLETRANSLATE(B23,""zh-tw"",""ja"")"),"500元
1000元
呪われた胎児
いたずらジャック
夜霧の幻影
地獄より")</f>
        <v>500元
1000元
呪われた胎児
いたずらジャック
夜霧の幻影
地獄より</v>
      </c>
      <c r="G23" s="155" t="s">
        <v>7261</v>
      </c>
      <c r="H23" s="390" t="s">
        <v>1231</v>
      </c>
      <c r="I23" s="153" t="s">
        <v>7263</v>
      </c>
      <c r="J23" s="198" t="s">
        <v>7264</v>
      </c>
      <c r="K23" s="198" t="s">
        <v>7261</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7261</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7261</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7261</v>
      </c>
      <c r="X23" s="385" t="str">
        <f>IFERROR(__xludf.DUMMYFUNCTION("GOOGLETRANSLATE(D23,""zh-tw"",""KO"")"),"-")</f>
        <v>-</v>
      </c>
      <c r="Y23" s="153" t="s">
        <v>7265</v>
      </c>
      <c r="Z23" s="155" t="s">
        <v>7266</v>
      </c>
      <c r="AA23" s="155" t="s">
        <v>7261</v>
      </c>
      <c r="AB23" s="384" t="s">
        <v>1231</v>
      </c>
      <c r="AC23" s="197" t="s">
        <v>7267</v>
      </c>
      <c r="AD23" s="198" t="s">
        <v>7268</v>
      </c>
      <c r="AE23" s="198" t="s">
        <v>7261</v>
      </c>
      <c r="AF23" s="384" t="s">
        <v>1231</v>
      </c>
      <c r="AG23" s="187" t="s">
        <v>7269</v>
      </c>
      <c r="AH23" s="386" t="s">
        <v>7270</v>
      </c>
      <c r="AI23" s="386" t="s">
        <v>7261</v>
      </c>
      <c r="AJ23" s="384" t="s">
        <v>1231</v>
      </c>
      <c r="AK23" s="197" t="s">
        <v>7263</v>
      </c>
      <c r="AL23" s="167" t="s">
        <v>7271</v>
      </c>
      <c r="AM23" s="198" t="s">
        <v>7261</v>
      </c>
      <c r="AN23" s="384" t="s">
        <v>1231</v>
      </c>
      <c r="AO23" s="387" t="s">
        <v>7272</v>
      </c>
      <c r="AP23" s="202" t="s">
        <v>7273</v>
      </c>
      <c r="AQ23" s="202" t="s">
        <v>7274</v>
      </c>
      <c r="AR23" s="388" t="s">
        <v>1231</v>
      </c>
      <c r="AS23" s="388"/>
      <c r="AT23" s="388"/>
    </row>
    <row r="24">
      <c r="A24" s="380" t="s">
        <v>7275</v>
      </c>
      <c r="E24" s="380" t="str">
        <f>IFERROR(__xludf.DUMMYFUNCTION("GOOGLETRANSLATE(A24,""zh-tw"",""ja"")"),"遺跡")</f>
        <v>遺跡</v>
      </c>
      <c r="I24" s="380" t="s">
        <v>7276</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7277</v>
      </c>
      <c r="AC24" s="381" t="str">
        <f>IFERROR(__xludf.DUMMYFUNCTION("GOOGLETRANSLATE(A23,""zh-tw"",""DE"")"),"Böser Umhang")</f>
        <v>Böser Umhang</v>
      </c>
      <c r="AG24" s="383" t="s">
        <v>7278</v>
      </c>
      <c r="AK24" s="381" t="s">
        <v>7276</v>
      </c>
      <c r="AO24" s="395" t="s">
        <v>7279</v>
      </c>
      <c r="AS24" s="395"/>
      <c r="AT24" s="395"/>
    </row>
    <row r="25">
      <c r="A25" s="153" t="s">
        <v>7280</v>
      </c>
      <c r="B25" s="155" t="s">
        <v>7281</v>
      </c>
      <c r="C25" s="155" t="s">
        <v>7282</v>
      </c>
      <c r="D25" s="385" t="s">
        <v>1231</v>
      </c>
      <c r="E25" s="197" t="s">
        <v>7283</v>
      </c>
      <c r="F25" s="198" t="s">
        <v>7284</v>
      </c>
      <c r="G25" s="155" t="s">
        <v>7282</v>
      </c>
      <c r="H25" s="385" t="str">
        <f>IFERROR(__xludf.DUMMYFUNCTION("GOOGLETRANSLATE(D25,""zh-tw"",""ja"")"),"-")</f>
        <v>-</v>
      </c>
      <c r="I25" s="197" t="s">
        <v>7285</v>
      </c>
      <c r="J25" s="198" t="s">
        <v>7286</v>
      </c>
      <c r="K25" s="198" t="s">
        <v>7282</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7282</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7282</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7282</v>
      </c>
      <c r="X25" s="385" t="str">
        <f>IFERROR(__xludf.DUMMYFUNCTION("GOOGLETRANSLATE(D25,""zh-tw"",""KO"")"),"-")</f>
        <v>-</v>
      </c>
      <c r="Y25" s="153" t="s">
        <v>7287</v>
      </c>
      <c r="Z25" s="155" t="s">
        <v>7288</v>
      </c>
      <c r="AA25" s="155" t="s">
        <v>7282</v>
      </c>
      <c r="AB25" s="384" t="s">
        <v>1231</v>
      </c>
      <c r="AC25" s="197" t="s">
        <v>7289</v>
      </c>
      <c r="AD25" s="198" t="s">
        <v>7290</v>
      </c>
      <c r="AE25" s="198" t="s">
        <v>7282</v>
      </c>
      <c r="AF25" s="390" t="s">
        <v>7175</v>
      </c>
      <c r="AG25" s="187" t="s">
        <v>7291</v>
      </c>
      <c r="AH25" s="386" t="s">
        <v>7292</v>
      </c>
      <c r="AI25" s="386" t="s">
        <v>7282</v>
      </c>
      <c r="AJ25" s="384" t="s">
        <v>1231</v>
      </c>
      <c r="AK25" s="197" t="s">
        <v>7293</v>
      </c>
      <c r="AL25" s="198" t="s">
        <v>7294</v>
      </c>
      <c r="AM25" s="198" t="s">
        <v>7282</v>
      </c>
      <c r="AN25" s="384" t="s">
        <v>1231</v>
      </c>
      <c r="AO25" s="387" t="s">
        <v>7295</v>
      </c>
      <c r="AP25" s="202" t="s">
        <v>7296</v>
      </c>
      <c r="AQ25" s="202" t="s">
        <v>7282</v>
      </c>
      <c r="AR25" s="388" t="s">
        <v>1231</v>
      </c>
      <c r="AS25" s="388"/>
      <c r="AT25" s="388"/>
    </row>
    <row r="26">
      <c r="A26" s="153" t="s">
        <v>7297</v>
      </c>
      <c r="B26" s="155" t="s">
        <v>7298</v>
      </c>
      <c r="C26" s="155" t="s">
        <v>7299</v>
      </c>
      <c r="D26" s="384" t="s">
        <v>1231</v>
      </c>
      <c r="E26" s="197" t="s">
        <v>7297</v>
      </c>
      <c r="F26" s="198" t="s">
        <v>7300</v>
      </c>
      <c r="G26" s="155" t="s">
        <v>7299</v>
      </c>
      <c r="H26" s="385" t="str">
        <f>IFERROR(__xludf.DUMMYFUNCTION("GOOGLETRANSLATE(D26,""zh-tw"",""ja"")"),"-")</f>
        <v>-</v>
      </c>
      <c r="I26" s="197" t="s">
        <v>7301</v>
      </c>
      <c r="J26" s="167" t="s">
        <v>7302</v>
      </c>
      <c r="K26" s="198" t="s">
        <v>7299</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7299</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7299</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7299</v>
      </c>
      <c r="X26" s="385" t="str">
        <f>IFERROR(__xludf.DUMMYFUNCTION("GOOGLETRANSLATE(D26,""zh-tw"",""KO"")"),"-")</f>
        <v>-</v>
      </c>
      <c r="Y26" s="153" t="s">
        <v>7303</v>
      </c>
      <c r="Z26" s="155" t="s">
        <v>7304</v>
      </c>
      <c r="AA26" s="155" t="s">
        <v>7299</v>
      </c>
      <c r="AB26" s="384" t="s">
        <v>1231</v>
      </c>
      <c r="AC26" s="197" t="s">
        <v>7305</v>
      </c>
      <c r="AD26" s="198" t="s">
        <v>7306</v>
      </c>
      <c r="AE26" s="198" t="s">
        <v>7299</v>
      </c>
      <c r="AF26" s="390" t="s">
        <v>7175</v>
      </c>
      <c r="AG26" s="187" t="s">
        <v>7307</v>
      </c>
      <c r="AH26" s="386" t="s">
        <v>7308</v>
      </c>
      <c r="AI26" s="386" t="s">
        <v>7299</v>
      </c>
      <c r="AJ26" s="384" t="s">
        <v>1231</v>
      </c>
      <c r="AK26" s="197" t="s">
        <v>7309</v>
      </c>
      <c r="AL26" s="167" t="s">
        <v>7310</v>
      </c>
      <c r="AM26" s="198" t="s">
        <v>7299</v>
      </c>
      <c r="AN26" s="384" t="s">
        <v>1231</v>
      </c>
      <c r="AO26" s="387" t="s">
        <v>7311</v>
      </c>
      <c r="AP26" s="202" t="s">
        <v>7312</v>
      </c>
      <c r="AQ26" s="202" t="s">
        <v>7313</v>
      </c>
      <c r="AR26" s="388" t="s">
        <v>1231</v>
      </c>
      <c r="AS26" s="388"/>
      <c r="AT26" s="388"/>
    </row>
    <row r="27">
      <c r="A27" s="153" t="s">
        <v>7314</v>
      </c>
      <c r="B27" s="155" t="s">
        <v>7315</v>
      </c>
      <c r="C27" s="155" t="s">
        <v>7316</v>
      </c>
      <c r="D27" s="384" t="s">
        <v>1231</v>
      </c>
      <c r="E27" s="197" t="s">
        <v>7317</v>
      </c>
      <c r="F27" s="198" t="s">
        <v>7318</v>
      </c>
      <c r="G27" s="155" t="s">
        <v>7316</v>
      </c>
      <c r="H27" s="385" t="str">
        <f>IFERROR(__xludf.DUMMYFUNCTION("GOOGLETRANSLATE(D27,""zh-tw"",""ja"")"),"-")</f>
        <v>-</v>
      </c>
      <c r="I27" s="197" t="s">
        <v>7319</v>
      </c>
      <c r="J27" s="198" t="s">
        <v>7320</v>
      </c>
      <c r="K27" s="198" t="s">
        <v>7316</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7316</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7316</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7316</v>
      </c>
      <c r="X27" s="385" t="str">
        <f>IFERROR(__xludf.DUMMYFUNCTION("GOOGLETRANSLATE(D27,""zh-tw"",""KO"")"),"-")</f>
        <v>-</v>
      </c>
      <c r="Y27" s="153" t="s">
        <v>7321</v>
      </c>
      <c r="Z27" s="155" t="s">
        <v>7322</v>
      </c>
      <c r="AA27" s="155" t="s">
        <v>7316</v>
      </c>
      <c r="AB27" s="384" t="s">
        <v>1231</v>
      </c>
      <c r="AC27" s="197" t="s">
        <v>7323</v>
      </c>
      <c r="AD27" s="198" t="s">
        <v>7324</v>
      </c>
      <c r="AE27" s="198" t="s">
        <v>7316</v>
      </c>
      <c r="AF27" s="390" t="s">
        <v>7175</v>
      </c>
      <c r="AG27" s="187" t="s">
        <v>7325</v>
      </c>
      <c r="AH27" s="386" t="s">
        <v>7326</v>
      </c>
      <c r="AI27" s="386" t="s">
        <v>7316</v>
      </c>
      <c r="AJ27" s="384" t="s">
        <v>1231</v>
      </c>
      <c r="AK27" s="197" t="s">
        <v>7319</v>
      </c>
      <c r="AL27" s="167" t="s">
        <v>7327</v>
      </c>
      <c r="AM27" s="198" t="s">
        <v>7316</v>
      </c>
      <c r="AN27" s="384" t="s">
        <v>1231</v>
      </c>
      <c r="AO27" s="387" t="s">
        <v>7328</v>
      </c>
      <c r="AP27" s="202" t="s">
        <v>7329</v>
      </c>
      <c r="AQ27" s="202" t="s">
        <v>7330</v>
      </c>
      <c r="AR27" s="388" t="s">
        <v>1231</v>
      </c>
      <c r="AS27" s="388"/>
      <c r="AT27" s="388"/>
    </row>
    <row r="28">
      <c r="A28" s="153" t="s">
        <v>7331</v>
      </c>
      <c r="B28" s="155" t="s">
        <v>7332</v>
      </c>
      <c r="C28" s="155" t="s">
        <v>7333</v>
      </c>
      <c r="D28" s="385" t="s">
        <v>1231</v>
      </c>
      <c r="E28" s="153" t="str">
        <f>IFERROR(__xludf.DUMMYFUNCTION("GOOGLETRANSLATE(A28,""zh-tw"",""ja"")"),"ジャックスライム")</f>
        <v>ジャックスライム</v>
      </c>
      <c r="F28" s="198" t="s">
        <v>7334</v>
      </c>
      <c r="G28" s="198" t="s">
        <v>7333</v>
      </c>
      <c r="H28" s="385" t="str">
        <f>IFERROR(__xludf.DUMMYFUNCTION("GOOGLETRANSLATE(D28,""zh-tw"",""ja"")"),"-")</f>
        <v>-</v>
      </c>
      <c r="I28" s="197" t="s">
        <v>7335</v>
      </c>
      <c r="J28" s="198" t="s">
        <v>7336</v>
      </c>
      <c r="K28" s="198" t="s">
        <v>7333</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7333</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7333</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7333</v>
      </c>
      <c r="X28" s="385" t="str">
        <f>IFERROR(__xludf.DUMMYFUNCTION("GOOGLETRANSLATE(D28,""zh-tw"",""KO"")"),"-")</f>
        <v>-</v>
      </c>
      <c r="Y28" s="153" t="s">
        <v>7337</v>
      </c>
      <c r="Z28" s="155" t="s">
        <v>7338</v>
      </c>
      <c r="AA28" s="155" t="s">
        <v>7333</v>
      </c>
      <c r="AB28" s="384" t="s">
        <v>1231</v>
      </c>
      <c r="AC28" s="197" t="s">
        <v>7339</v>
      </c>
      <c r="AD28" s="198" t="s">
        <v>7340</v>
      </c>
      <c r="AE28" s="198" t="s">
        <v>7333</v>
      </c>
      <c r="AF28" s="390" t="s">
        <v>7175</v>
      </c>
      <c r="AG28" s="187" t="s">
        <v>7341</v>
      </c>
      <c r="AH28" s="386" t="s">
        <v>7342</v>
      </c>
      <c r="AI28" s="386" t="s">
        <v>7333</v>
      </c>
      <c r="AJ28" s="384" t="s">
        <v>1231</v>
      </c>
      <c r="AK28" s="197" t="s">
        <v>7343</v>
      </c>
      <c r="AL28" s="198" t="s">
        <v>7344</v>
      </c>
      <c r="AM28" s="198" t="s">
        <v>7333</v>
      </c>
      <c r="AN28" s="384" t="s">
        <v>1231</v>
      </c>
      <c r="AO28" s="387" t="s">
        <v>7335</v>
      </c>
      <c r="AP28" s="202" t="s">
        <v>7345</v>
      </c>
      <c r="AQ28" s="202" t="s">
        <v>7333</v>
      </c>
      <c r="AR28" s="388" t="s">
        <v>1231</v>
      </c>
      <c r="AS28" s="388"/>
      <c r="AT28" s="388"/>
    </row>
    <row r="29">
      <c r="A29" s="153" t="s">
        <v>7346</v>
      </c>
      <c r="B29" s="155" t="s">
        <v>7347</v>
      </c>
      <c r="C29" s="155" t="s">
        <v>7348</v>
      </c>
      <c r="D29" s="384" t="s">
        <v>1231</v>
      </c>
      <c r="E29" s="197" t="s">
        <v>7349</v>
      </c>
      <c r="F29" s="198" t="s">
        <v>7350</v>
      </c>
      <c r="G29" s="155" t="s">
        <v>7348</v>
      </c>
      <c r="H29" s="385" t="str">
        <f>IFERROR(__xludf.DUMMYFUNCTION("GOOGLETRANSLATE(D29,""zh-tw"",""ja"")"),"-")</f>
        <v>-</v>
      </c>
      <c r="I29" s="197" t="str">
        <f>IFERROR(__xludf.DUMMYFUNCTION("GOOGLETRANSLATE(A29,""zh-tw"",""en"")"),"Maid Bunny")</f>
        <v>Maid Bunny</v>
      </c>
      <c r="J29" s="198" t="s">
        <v>7351</v>
      </c>
      <c r="K29" s="198" t="s">
        <v>7348</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7348</v>
      </c>
      <c r="P29" s="385"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7348</v>
      </c>
      <c r="T29" s="384"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7348</v>
      </c>
      <c r="X29" s="385" t="str">
        <f>IFERROR(__xludf.DUMMYFUNCTION("GOOGLETRANSLATE(D29,""zh-tw"",""KO"")"),"-")</f>
        <v>-</v>
      </c>
      <c r="Y29" s="153" t="s">
        <v>7352</v>
      </c>
      <c r="Z29" s="155" t="s">
        <v>7353</v>
      </c>
      <c r="AA29" s="155" t="s">
        <v>7348</v>
      </c>
      <c r="AB29" s="384" t="s">
        <v>1231</v>
      </c>
      <c r="AC29" s="197" t="s">
        <v>7354</v>
      </c>
      <c r="AD29" s="198" t="s">
        <v>7355</v>
      </c>
      <c r="AE29" s="198" t="s">
        <v>7348</v>
      </c>
      <c r="AF29" s="390" t="s">
        <v>7175</v>
      </c>
      <c r="AG29" s="187" t="s">
        <v>7356</v>
      </c>
      <c r="AH29" s="386" t="s">
        <v>7357</v>
      </c>
      <c r="AI29" s="386" t="s">
        <v>7348</v>
      </c>
      <c r="AJ29" s="384" t="s">
        <v>1231</v>
      </c>
      <c r="AK29" s="197" t="s">
        <v>7358</v>
      </c>
      <c r="AL29" s="198" t="s">
        <v>7359</v>
      </c>
      <c r="AM29" s="198" t="s">
        <v>7348</v>
      </c>
      <c r="AN29" s="384" t="s">
        <v>1231</v>
      </c>
      <c r="AO29" s="387" t="s">
        <v>7360</v>
      </c>
      <c r="AP29" s="202" t="s">
        <v>7361</v>
      </c>
      <c r="AQ29" s="202" t="s">
        <v>7348</v>
      </c>
      <c r="AR29" s="388" t="s">
        <v>1231</v>
      </c>
      <c r="AS29" s="388"/>
      <c r="AT29" s="388"/>
    </row>
    <row r="30">
      <c r="A30" s="153" t="s">
        <v>7362</v>
      </c>
      <c r="B30" s="155" t="s">
        <v>7363</v>
      </c>
      <c r="C30" s="155" t="s">
        <v>7364</v>
      </c>
      <c r="D30" s="384" t="s">
        <v>1231</v>
      </c>
      <c r="E30" s="197" t="s">
        <v>7365</v>
      </c>
      <c r="F30" s="198" t="s">
        <v>7366</v>
      </c>
      <c r="G30" s="155" t="s">
        <v>7364</v>
      </c>
      <c r="H30" s="385" t="str">
        <f>IFERROR(__xludf.DUMMYFUNCTION("GOOGLETRANSLATE(D30,""zh-tw"",""ja"")"),"-")</f>
        <v>-</v>
      </c>
      <c r="I30" s="197" t="s">
        <v>7367</v>
      </c>
      <c r="J30" s="198" t="s">
        <v>7368</v>
      </c>
      <c r="K30" s="198" t="s">
        <v>7364</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7364</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7364</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7364</v>
      </c>
      <c r="X30" s="385" t="str">
        <f>IFERROR(__xludf.DUMMYFUNCTION("GOOGLETRANSLATE(D30,""zh-tw"",""KO"")"),"-")</f>
        <v>-</v>
      </c>
      <c r="Y30" s="153" t="s">
        <v>7369</v>
      </c>
      <c r="Z30" s="155" t="s">
        <v>7370</v>
      </c>
      <c r="AA30" s="155" t="s">
        <v>7364</v>
      </c>
      <c r="AB30" s="384" t="s">
        <v>1231</v>
      </c>
      <c r="AC30" s="197" t="s">
        <v>7371</v>
      </c>
      <c r="AD30" s="198" t="s">
        <v>7372</v>
      </c>
      <c r="AE30" s="198" t="s">
        <v>7364</v>
      </c>
      <c r="AF30" s="390" t="s">
        <v>7175</v>
      </c>
      <c r="AG30" s="187" t="s">
        <v>7373</v>
      </c>
      <c r="AH30" s="386" t="s">
        <v>7374</v>
      </c>
      <c r="AI30" s="386" t="s">
        <v>7364</v>
      </c>
      <c r="AJ30" s="384" t="s">
        <v>1231</v>
      </c>
      <c r="AK30" s="197" t="s">
        <v>7375</v>
      </c>
      <c r="AL30" s="167" t="s">
        <v>7376</v>
      </c>
      <c r="AM30" s="198" t="s">
        <v>7364</v>
      </c>
      <c r="AN30" s="384" t="s">
        <v>1231</v>
      </c>
      <c r="AO30" s="387" t="s">
        <v>7377</v>
      </c>
      <c r="AP30" s="202" t="s">
        <v>7378</v>
      </c>
      <c r="AQ30" s="202" t="s">
        <v>7364</v>
      </c>
      <c r="AR30" s="388" t="s">
        <v>1231</v>
      </c>
      <c r="AS30" s="388"/>
      <c r="AT30" s="388"/>
    </row>
    <row r="31">
      <c r="A31" s="153" t="s">
        <v>7379</v>
      </c>
      <c r="B31" s="155" t="s">
        <v>7380</v>
      </c>
      <c r="C31" s="155" t="s">
        <v>7381</v>
      </c>
      <c r="D31" s="384" t="s">
        <v>1231</v>
      </c>
      <c r="E31" s="197" t="s">
        <v>7382</v>
      </c>
      <c r="F31" s="198" t="s">
        <v>7383</v>
      </c>
      <c r="G31" s="155" t="s">
        <v>7381</v>
      </c>
      <c r="H31" s="385" t="str">
        <f>IFERROR(__xludf.DUMMYFUNCTION("GOOGLETRANSLATE(D31,""zh-tw"",""ja"")"),"-")</f>
        <v>-</v>
      </c>
      <c r="I31" s="197" t="s">
        <v>7384</v>
      </c>
      <c r="J31" s="198" t="s">
        <v>7385</v>
      </c>
      <c r="K31" s="198" t="s">
        <v>7381</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7381</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7381</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7381</v>
      </c>
      <c r="X31" s="385" t="str">
        <f>IFERROR(__xludf.DUMMYFUNCTION("GOOGLETRANSLATE(D31,""zh-tw"",""KO"")"),"-")</f>
        <v>-</v>
      </c>
      <c r="Y31" s="153" t="s">
        <v>7386</v>
      </c>
      <c r="Z31" s="155" t="s">
        <v>7387</v>
      </c>
      <c r="AA31" s="155" t="s">
        <v>7381</v>
      </c>
      <c r="AB31" s="384" t="s">
        <v>1231</v>
      </c>
      <c r="AC31" s="197" t="s">
        <v>7388</v>
      </c>
      <c r="AD31" s="198" t="s">
        <v>7389</v>
      </c>
      <c r="AE31" s="198" t="s">
        <v>7381</v>
      </c>
      <c r="AF31" s="390" t="s">
        <v>7175</v>
      </c>
      <c r="AG31" s="187" t="s">
        <v>7390</v>
      </c>
      <c r="AH31" s="386" t="s">
        <v>7391</v>
      </c>
      <c r="AI31" s="386" t="s">
        <v>7381</v>
      </c>
      <c r="AJ31" s="384" t="s">
        <v>1231</v>
      </c>
      <c r="AK31" s="197" t="s">
        <v>7392</v>
      </c>
      <c r="AL31" s="167" t="s">
        <v>7393</v>
      </c>
      <c r="AM31" s="198" t="s">
        <v>7381</v>
      </c>
      <c r="AN31" s="384" t="s">
        <v>1231</v>
      </c>
      <c r="AO31" s="387" t="s">
        <v>7394</v>
      </c>
      <c r="AP31" s="202" t="s">
        <v>7395</v>
      </c>
      <c r="AQ31" s="202" t="s">
        <v>7381</v>
      </c>
      <c r="AR31" s="388" t="s">
        <v>1231</v>
      </c>
      <c r="AS31" s="388"/>
      <c r="AT31" s="388"/>
    </row>
    <row r="32">
      <c r="A32" s="153" t="s">
        <v>7396</v>
      </c>
      <c r="B32" s="155" t="s">
        <v>7397</v>
      </c>
      <c r="C32" s="155" t="s">
        <v>7398</v>
      </c>
      <c r="D32" s="384" t="s">
        <v>1231</v>
      </c>
      <c r="E32" s="153" t="str">
        <f>IFERROR(__xludf.DUMMYFUNCTION("GOOGLETRANSLATE(A32,""zh-tw"",""ja"")"),"怨霊")</f>
        <v>怨霊</v>
      </c>
      <c r="F32" s="155" t="s">
        <v>7399</v>
      </c>
      <c r="G32" s="155" t="s">
        <v>7398</v>
      </c>
      <c r="H32" s="385" t="str">
        <f>IFERROR(__xludf.DUMMYFUNCTION("GOOGLETRANSLATE(D32,""zh-tw"",""ja"")"),"-")</f>
        <v>-</v>
      </c>
      <c r="I32" s="165" t="s">
        <v>7400</v>
      </c>
      <c r="J32" s="198" t="s">
        <v>7401</v>
      </c>
      <c r="K32" s="198" t="s">
        <v>7398</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7398</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7398</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7398</v>
      </c>
      <c r="X32" s="385" t="str">
        <f>IFERROR(__xludf.DUMMYFUNCTION("GOOGLETRANSLATE(D32,""zh-tw"",""KO"")"),"-")</f>
        <v>-</v>
      </c>
      <c r="Y32" s="153" t="s">
        <v>7402</v>
      </c>
      <c r="Z32" s="155" t="s">
        <v>7403</v>
      </c>
      <c r="AA32" s="155" t="s">
        <v>7398</v>
      </c>
      <c r="AB32" s="384" t="s">
        <v>1231</v>
      </c>
      <c r="AC32" s="197" t="s">
        <v>7404</v>
      </c>
      <c r="AD32" s="198" t="s">
        <v>7405</v>
      </c>
      <c r="AE32" s="198" t="s">
        <v>7398</v>
      </c>
      <c r="AF32" s="390" t="s">
        <v>7175</v>
      </c>
      <c r="AG32" s="187" t="s">
        <v>7406</v>
      </c>
      <c r="AH32" s="386" t="s">
        <v>7407</v>
      </c>
      <c r="AI32" s="386" t="s">
        <v>7398</v>
      </c>
      <c r="AJ32" s="384" t="s">
        <v>1231</v>
      </c>
      <c r="AK32" s="197" t="s">
        <v>7408</v>
      </c>
      <c r="AL32" s="167" t="s">
        <v>7409</v>
      </c>
      <c r="AM32" s="198" t="s">
        <v>7398</v>
      </c>
      <c r="AN32" s="384" t="s">
        <v>1231</v>
      </c>
      <c r="AO32" s="387" t="s">
        <v>7410</v>
      </c>
      <c r="AP32" s="202" t="s">
        <v>7411</v>
      </c>
      <c r="AQ32" s="202" t="s">
        <v>7398</v>
      </c>
      <c r="AR32" s="388" t="s">
        <v>1231</v>
      </c>
      <c r="AS32" s="388"/>
      <c r="AT32" s="388"/>
    </row>
    <row r="33">
      <c r="A33" s="153" t="s">
        <v>7412</v>
      </c>
      <c r="B33" s="155" t="s">
        <v>7413</v>
      </c>
      <c r="C33" s="155" t="s">
        <v>7414</v>
      </c>
      <c r="D33" s="384" t="s">
        <v>1231</v>
      </c>
      <c r="E33" s="197" t="str">
        <f>IFERROR(__xludf.DUMMYFUNCTION("GOOGLETRANSLATE(A33,""zh-tw"",""ja"")"),"ゾンビ")</f>
        <v>ゾンビ</v>
      </c>
      <c r="F33" s="198" t="s">
        <v>7415</v>
      </c>
      <c r="G33" s="155" t="s">
        <v>7414</v>
      </c>
      <c r="H33" s="385" t="str">
        <f>IFERROR(__xludf.DUMMYFUNCTION("GOOGLETRANSLATE(D33,""zh-tw"",""ja"")"),"-")</f>
        <v>-</v>
      </c>
      <c r="I33" s="197" t="s">
        <v>7416</v>
      </c>
      <c r="J33" s="198" t="s">
        <v>7417</v>
      </c>
      <c r="K33" s="198" t="s">
        <v>7414</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7414</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7414</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7414</v>
      </c>
      <c r="X33" s="385" t="str">
        <f>IFERROR(__xludf.DUMMYFUNCTION("GOOGLETRANSLATE(D33,""zh-tw"",""KO"")"),"-")</f>
        <v>-</v>
      </c>
      <c r="Y33" s="153" t="s">
        <v>7418</v>
      </c>
      <c r="Z33" s="155" t="s">
        <v>7419</v>
      </c>
      <c r="AA33" s="155" t="s">
        <v>7414</v>
      </c>
      <c r="AB33" s="384" t="s">
        <v>1231</v>
      </c>
      <c r="AC33" s="197" t="s">
        <v>7420</v>
      </c>
      <c r="AD33" s="198" t="s">
        <v>7421</v>
      </c>
      <c r="AE33" s="198" t="s">
        <v>7414</v>
      </c>
      <c r="AF33" s="390" t="s">
        <v>7175</v>
      </c>
      <c r="AG33" s="187" t="s">
        <v>7416</v>
      </c>
      <c r="AH33" s="386" t="s">
        <v>7422</v>
      </c>
      <c r="AI33" s="386" t="s">
        <v>7414</v>
      </c>
      <c r="AJ33" s="384" t="s">
        <v>1231</v>
      </c>
      <c r="AK33" s="197" t="s">
        <v>7423</v>
      </c>
      <c r="AL33" s="167" t="s">
        <v>7424</v>
      </c>
      <c r="AM33" s="198" t="s">
        <v>7414</v>
      </c>
      <c r="AN33" s="384" t="s">
        <v>1231</v>
      </c>
      <c r="AO33" s="387" t="s">
        <v>7416</v>
      </c>
      <c r="AP33" s="202" t="s">
        <v>7425</v>
      </c>
      <c r="AQ33" s="202" t="s">
        <v>7414</v>
      </c>
      <c r="AR33" s="388" t="s">
        <v>1231</v>
      </c>
      <c r="AS33" s="388"/>
      <c r="AT33" s="388"/>
    </row>
    <row r="34">
      <c r="A34" s="153" t="s">
        <v>7426</v>
      </c>
      <c r="B34" s="155" t="s">
        <v>7427</v>
      </c>
      <c r="C34" s="155" t="s">
        <v>7428</v>
      </c>
      <c r="D34" s="384" t="s">
        <v>7429</v>
      </c>
      <c r="E34" s="197" t="s">
        <v>7430</v>
      </c>
      <c r="F34" s="198" t="str">
        <f>IFERROR(__xludf.DUMMYFUNCTION("GOOGLETRANSLATE(B34,""zh-tw"",""ja"")"),"怒りの拳
シェリスの呪われた手
カーネリアンのペンダント *")</f>
        <v>怒りの拳
シェリスの呪われた手
カーネリアンのペンダント *</v>
      </c>
      <c r="G34" s="155" t="s">
        <v>7428</v>
      </c>
      <c r="H34" s="385"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7431</v>
      </c>
      <c r="J34" s="198" t="s">
        <v>7432</v>
      </c>
      <c r="K34" s="198" t="s">
        <v>7428</v>
      </c>
      <c r="L34" s="384" t="s">
        <v>7433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7428</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7428</v>
      </c>
      <c r="T34" s="384"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7428</v>
      </c>
      <c r="X34" s="385"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7434</v>
      </c>
      <c r="Z34" s="155" t="s">
        <v>7435</v>
      </c>
      <c r="AA34" s="155" t="s">
        <v>7428</v>
      </c>
      <c r="AB34" s="384" t="s">
        <v>7436</v>
      </c>
      <c r="AC34" s="197" t="s">
        <v>7437</v>
      </c>
      <c r="AD34" s="198" t="s">
        <v>7438</v>
      </c>
      <c r="AE34" s="198" t="s">
        <v>7428</v>
      </c>
      <c r="AF34" s="384" t="s">
        <v>1231</v>
      </c>
      <c r="AG34" s="187" t="s">
        <v>7439</v>
      </c>
      <c r="AH34" s="386" t="s">
        <v>7440</v>
      </c>
      <c r="AI34" s="386" t="s">
        <v>7428</v>
      </c>
      <c r="AJ34" s="384" t="s">
        <v>7441</v>
      </c>
      <c r="AK34" s="197" t="s">
        <v>7442</v>
      </c>
      <c r="AL34" s="198" t="s">
        <v>7443</v>
      </c>
      <c r="AM34" s="198" t="s">
        <v>7428</v>
      </c>
      <c r="AN34" s="384" t="s">
        <v>7444</v>
      </c>
      <c r="AO34" s="387" t="s">
        <v>7445</v>
      </c>
      <c r="AP34" s="202" t="s">
        <v>7446</v>
      </c>
      <c r="AQ34" s="202" t="s">
        <v>7428</v>
      </c>
      <c r="AR34" s="388" t="s">
        <v>7447</v>
      </c>
      <c r="AS34" s="388"/>
      <c r="AT34" s="388"/>
    </row>
    <row r="35">
      <c r="A35" s="380" t="s">
        <v>7448</v>
      </c>
      <c r="E35" s="381" t="str">
        <f>IFERROR(__xludf.DUMMYFUNCTION("GOOGLETRANSLATE(A35,""zh-tw"",""ja"")"),"ボス/特殊クリーチャー")</f>
        <v>ボス/特殊クリーチャー</v>
      </c>
      <c r="I35" s="381" t="s">
        <v>7449</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7450</v>
      </c>
      <c r="AC35" s="381" t="str">
        <f>IFERROR(__xludf.DUMMYFUNCTION("GOOGLETRANSLATE(A34,""zh-tw"",""DE"")"),"Die abgetrennte Hand des gefallenen Magiers")</f>
        <v>Die abgetrennte Hand des gefallenen Magiers</v>
      </c>
      <c r="AG35" s="383" t="s">
        <v>7451</v>
      </c>
      <c r="AK35" s="381" t="s">
        <v>7449</v>
      </c>
      <c r="AO35" s="392" t="s">
        <v>7452</v>
      </c>
      <c r="AS35" s="392"/>
      <c r="AT35" s="392"/>
    </row>
    <row r="36">
      <c r="A36" s="153" t="s">
        <v>7453</v>
      </c>
      <c r="B36" s="155" t="s">
        <v>7454</v>
      </c>
      <c r="C36" s="155" t="s">
        <v>7455</v>
      </c>
      <c r="D36" s="384" t="s">
        <v>7456</v>
      </c>
      <c r="E36" s="165" t="s">
        <v>7457</v>
      </c>
      <c r="F36" s="198" t="s">
        <v>7458</v>
      </c>
      <c r="G36" s="155" t="s">
        <v>7455</v>
      </c>
      <c r="H36" s="385" t="s">
        <v>7459</v>
      </c>
      <c r="I36" s="197" t="s">
        <v>7460</v>
      </c>
      <c r="J36" s="198" t="s">
        <v>7461</v>
      </c>
      <c r="K36" s="198" t="s">
        <v>7455</v>
      </c>
      <c r="L36" s="384" t="s">
        <v>7462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7455</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7455</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7463</v>
      </c>
      <c r="W36" s="155" t="s">
        <v>7455</v>
      </c>
      <c r="X36" s="385" t="s">
        <v>7464</v>
      </c>
      <c r="Y36" s="153" t="s">
        <v>7465</v>
      </c>
      <c r="Z36" s="155" t="s">
        <v>7466</v>
      </c>
      <c r="AA36" s="155" t="s">
        <v>7455</v>
      </c>
      <c r="AB36" s="384" t="s">
        <v>7467</v>
      </c>
      <c r="AC36" s="197" t="s">
        <v>7468</v>
      </c>
      <c r="AD36" s="198" t="s">
        <v>7469</v>
      </c>
      <c r="AE36" s="198" t="s">
        <v>7455</v>
      </c>
      <c r="AF36" s="384" t="s">
        <v>7470</v>
      </c>
      <c r="AG36" s="187" t="s">
        <v>7471</v>
      </c>
      <c r="AH36" s="386" t="s">
        <v>7472</v>
      </c>
      <c r="AI36" s="386" t="s">
        <v>7455</v>
      </c>
      <c r="AJ36" s="384" t="s">
        <v>7473</v>
      </c>
      <c r="AK36" s="197" t="s">
        <v>7474</v>
      </c>
      <c r="AL36" s="167" t="s">
        <v>7475</v>
      </c>
      <c r="AM36" s="198" t="s">
        <v>7455</v>
      </c>
      <c r="AN36" s="384" t="s">
        <v>7476</v>
      </c>
      <c r="AO36" s="387" t="s">
        <v>7477</v>
      </c>
      <c r="AP36" s="202" t="s">
        <v>7478</v>
      </c>
      <c r="AQ36" s="202" t="s">
        <v>7455</v>
      </c>
      <c r="AR36" s="388" t="s">
        <v>7479</v>
      </c>
      <c r="AS36" s="388"/>
      <c r="AT36" s="388"/>
    </row>
    <row r="37">
      <c r="A37" s="153" t="s">
        <v>7480</v>
      </c>
      <c r="B37" s="155" t="s">
        <v>7481</v>
      </c>
      <c r="C37" s="155" t="s">
        <v>7482</v>
      </c>
      <c r="D37" s="385" t="s">
        <v>7483</v>
      </c>
      <c r="E37" s="153" t="s">
        <v>7484</v>
      </c>
      <c r="F37" s="198"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5" t="s">
        <v>7482</v>
      </c>
      <c r="H37" s="385" t="s">
        <v>7483</v>
      </c>
      <c r="I37" s="197" t="s">
        <v>7485</v>
      </c>
      <c r="J37" s="198" t="s">
        <v>7486</v>
      </c>
      <c r="K37" s="198" t="s">
        <v>7482</v>
      </c>
      <c r="L37" s="384" t="s">
        <v>7483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7482</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7482</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7482</v>
      </c>
      <c r="X37" s="385" t="s">
        <v>7483</v>
      </c>
      <c r="Y37" s="153" t="s">
        <v>7487</v>
      </c>
      <c r="Z37" s="155" t="s">
        <v>7488</v>
      </c>
      <c r="AA37" s="155" t="s">
        <v>7482</v>
      </c>
      <c r="AB37" s="384" t="s">
        <v>7489</v>
      </c>
      <c r="AC37" s="197" t="s">
        <v>7490</v>
      </c>
      <c r="AD37" s="198" t="s">
        <v>7491</v>
      </c>
      <c r="AE37" s="198" t="s">
        <v>7482</v>
      </c>
      <c r="AF37" s="384" t="s">
        <v>7492</v>
      </c>
      <c r="AG37" s="187" t="s">
        <v>7493</v>
      </c>
      <c r="AH37" s="386" t="s">
        <v>7494</v>
      </c>
      <c r="AI37" s="386" t="s">
        <v>7482</v>
      </c>
      <c r="AJ37" s="384" t="s">
        <v>7483</v>
      </c>
      <c r="AK37" s="197" t="s">
        <v>7495</v>
      </c>
      <c r="AL37" s="198" t="s">
        <v>7496</v>
      </c>
      <c r="AM37" s="198" t="s">
        <v>7482</v>
      </c>
      <c r="AN37" s="384" t="s">
        <v>7497</v>
      </c>
      <c r="AO37" s="387" t="s">
        <v>7498</v>
      </c>
      <c r="AP37" s="202" t="s">
        <v>7499</v>
      </c>
      <c r="AQ37" s="202" t="s">
        <v>7482</v>
      </c>
      <c r="AR37" s="388" t="s">
        <v>7500</v>
      </c>
      <c r="AS37" s="388"/>
      <c r="AT37" s="388"/>
    </row>
    <row r="38">
      <c r="A38" s="153" t="s">
        <v>3419</v>
      </c>
      <c r="B38" s="155" t="s">
        <v>7501</v>
      </c>
      <c r="C38" s="155">
        <v>100.0</v>
      </c>
      <c r="D38" s="384" t="s">
        <v>7502</v>
      </c>
      <c r="E38" s="153" t="str">
        <f>IFERROR(__xludf.DUMMYFUNCTION("GOOGLETRANSLATE(A38,""zh-tw"",""ja"")"),"かかし")</f>
        <v>かかし</v>
      </c>
      <c r="F38" s="155" t="s">
        <v>7503</v>
      </c>
      <c r="G38" s="155">
        <v>100.0</v>
      </c>
      <c r="H38" s="385" t="s">
        <v>7504</v>
      </c>
      <c r="I38" s="153" t="s">
        <v>3425</v>
      </c>
      <c r="J38" s="198" t="s">
        <v>7505</v>
      </c>
      <c r="K38" s="198">
        <v>100.0</v>
      </c>
      <c r="L38" s="384" t="s">
        <v>7506</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7507</v>
      </c>
      <c r="W38" s="155">
        <v>100.0</v>
      </c>
      <c r="X38" s="385" t="s">
        <v>7508</v>
      </c>
      <c r="Y38" s="153" t="s">
        <v>3431</v>
      </c>
      <c r="Z38" s="155" t="s">
        <v>7509</v>
      </c>
      <c r="AA38" s="155">
        <v>100.0</v>
      </c>
      <c r="AB38" s="384" t="s">
        <v>7510</v>
      </c>
      <c r="AC38" s="197" t="s">
        <v>3434</v>
      </c>
      <c r="AD38" s="198" t="s">
        <v>7511</v>
      </c>
      <c r="AE38" s="198">
        <v>100.0</v>
      </c>
      <c r="AF38" s="384" t="s">
        <v>7512</v>
      </c>
      <c r="AG38" s="187" t="s">
        <v>3437</v>
      </c>
      <c r="AH38" s="386" t="s">
        <v>7513</v>
      </c>
      <c r="AI38" s="386">
        <v>100.0</v>
      </c>
      <c r="AJ38" s="384" t="s">
        <v>7514</v>
      </c>
      <c r="AK38" s="197" t="s">
        <v>3440</v>
      </c>
      <c r="AL38" s="198" t="s">
        <v>7515</v>
      </c>
      <c r="AM38" s="198">
        <v>100.0</v>
      </c>
      <c r="AN38" s="384" t="s">
        <v>7516</v>
      </c>
      <c r="AO38" s="387" t="s">
        <v>3443</v>
      </c>
      <c r="AP38" s="202" t="s">
        <v>7517</v>
      </c>
      <c r="AQ38" s="202" t="s">
        <v>7203</v>
      </c>
      <c r="AR38" s="388" t="s">
        <v>7518</v>
      </c>
      <c r="AS38" s="388"/>
      <c r="AT38" s="388"/>
    </row>
    <row r="39">
      <c r="A39" s="153" t="s">
        <v>7519</v>
      </c>
      <c r="B39" s="155" t="s">
        <v>7520</v>
      </c>
      <c r="C39" s="155">
        <v>100.0</v>
      </c>
      <c r="D39" s="384" t="s">
        <v>7521</v>
      </c>
      <c r="E39" s="153" t="s">
        <v>7519</v>
      </c>
      <c r="F39" s="155" t="s">
        <v>7522</v>
      </c>
      <c r="G39" s="155">
        <v>100.0</v>
      </c>
      <c r="H39" s="385" t="s">
        <v>7523</v>
      </c>
      <c r="I39" s="153" t="s">
        <v>7519</v>
      </c>
      <c r="J39" s="198" t="s">
        <v>7524</v>
      </c>
      <c r="K39" s="198">
        <v>100.0</v>
      </c>
      <c r="L39" s="384" t="s">
        <v>7525</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IFERROR(__xludf.DUMMYFUNCTION("GOOGLETRANSLATE(D39,""zh-tw"",""KO"")"),"도로 아사바는 길가에 있는 딸기를 먹을 것이다.")</f>
        <v>도로 아사바는 길가에 있는 딸기를 먹을 것이다.</v>
      </c>
      <c r="Y39" s="153" t="s">
        <v>7526</v>
      </c>
      <c r="Z39" s="155" t="s">
        <v>7527</v>
      </c>
      <c r="AA39" s="155">
        <v>100.0</v>
      </c>
      <c r="AB39" s="384" t="s">
        <v>7528</v>
      </c>
      <c r="AC39" s="197" t="s">
        <v>7519</v>
      </c>
      <c r="AD39" s="198" t="s">
        <v>7529</v>
      </c>
      <c r="AE39" s="198">
        <v>100.0</v>
      </c>
      <c r="AF39" s="384" t="s">
        <v>7530</v>
      </c>
      <c r="AG39" s="187" t="s">
        <v>7531</v>
      </c>
      <c r="AH39" s="386" t="s">
        <v>7532</v>
      </c>
      <c r="AI39" s="386">
        <v>100.0</v>
      </c>
      <c r="AJ39" s="384" t="s">
        <v>7533</v>
      </c>
      <c r="AK39" s="197" t="s">
        <v>7519</v>
      </c>
      <c r="AL39" s="198" t="s">
        <v>7534</v>
      </c>
      <c r="AM39" s="198">
        <v>100.0</v>
      </c>
      <c r="AN39" s="384" t="s">
        <v>7535</v>
      </c>
      <c r="AO39" s="387" t="s">
        <v>7519</v>
      </c>
      <c r="AP39" s="202" t="s">
        <v>7536</v>
      </c>
      <c r="AQ39" s="202" t="s">
        <v>7203</v>
      </c>
      <c r="AR39" s="388" t="s">
        <v>7537</v>
      </c>
      <c r="AS39" s="388"/>
      <c r="AT39" s="388"/>
    </row>
    <row r="40">
      <c r="A40" s="153" t="s">
        <v>7538</v>
      </c>
      <c r="B40" s="155" t="s">
        <v>7539</v>
      </c>
      <c r="C40" s="155" t="s">
        <v>7540</v>
      </c>
      <c r="D40" s="385" t="s">
        <v>7541</v>
      </c>
      <c r="E40" s="153" t="s">
        <v>7542</v>
      </c>
      <c r="F40" s="198" t="s">
        <v>7543</v>
      </c>
      <c r="G40" s="155" t="s">
        <v>7540</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7544</v>
      </c>
      <c r="J40" s="198" t="s">
        <v>7545</v>
      </c>
      <c r="K40" s="198" t="s">
        <v>7540</v>
      </c>
      <c r="L40" s="384" t="s">
        <v>7546</v>
      </c>
      <c r="M40" s="197" t="str">
        <f>IFERROR(__xludf.DUMMYFUNCTION("GOOGLETRANSLATE(A40,""zh-tw"",""zh"")"),"狂暴的ASABA")</f>
        <v>狂暴的ASABA</v>
      </c>
      <c r="N40" s="198" t="str">
        <f>IFERROR(__xludf.DUMMYFUNCTION("GOOGLETRANSLATE(B40,""zh-tw"",""zh"")"),"ASAB的草莓
把草莓夺回来！ ! *")</f>
        <v>ASAB的草莓
把草莓夺回来！ ! *</v>
      </c>
      <c r="O40" s="198" t="s">
        <v>7540</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7540</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7540</v>
      </c>
      <c r="X40" s="385" t="s">
        <v>7483</v>
      </c>
      <c r="Y40" s="153" t="s">
        <v>7547</v>
      </c>
      <c r="Z40" s="155" t="s">
        <v>7548</v>
      </c>
      <c r="AA40" s="155" t="s">
        <v>7540</v>
      </c>
      <c r="AB40" s="384" t="s">
        <v>7489</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7540</v>
      </c>
      <c r="AF40" s="384" t="s">
        <v>7483</v>
      </c>
      <c r="AG40" s="187" t="s">
        <v>7531</v>
      </c>
      <c r="AH40" s="386" t="s">
        <v>7549</v>
      </c>
      <c r="AI40" s="386" t="s">
        <v>7540</v>
      </c>
      <c r="AJ40" s="384" t="s">
        <v>7483</v>
      </c>
      <c r="AK40" s="197" t="s">
        <v>7550</v>
      </c>
      <c r="AL40" s="198" t="s">
        <v>7551</v>
      </c>
      <c r="AM40" s="198" t="s">
        <v>7540</v>
      </c>
      <c r="AN40" s="384" t="s">
        <v>7552</v>
      </c>
      <c r="AO40" s="387" t="s">
        <v>7553</v>
      </c>
      <c r="AP40" s="202" t="s">
        <v>7554</v>
      </c>
      <c r="AQ40" s="202" t="s">
        <v>7555</v>
      </c>
      <c r="AR40" s="388" t="s">
        <v>7556</v>
      </c>
      <c r="AS40" s="388"/>
      <c r="AT40" s="388"/>
    </row>
    <row r="41">
      <c r="A41" s="153" t="s">
        <v>7557</v>
      </c>
      <c r="B41" s="155" t="s">
        <v>7558</v>
      </c>
      <c r="C41" s="155">
        <v>100.0</v>
      </c>
      <c r="D41" s="385" t="s">
        <v>7559</v>
      </c>
      <c r="E41" s="153" t="str">
        <f>IFERROR(__xludf.DUMMYFUNCTION("GOOGLETRANSLATE(A41,""zh-tw"",""ja"")"),"浅羽")</f>
        <v>浅羽</v>
      </c>
      <c r="F41" s="198" t="s">
        <v>7560</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7561</v>
      </c>
      <c r="J41" s="198" t="s">
        <v>7562</v>
      </c>
      <c r="K41" s="198">
        <v>100.0</v>
      </c>
      <c r="L41" s="384" t="s">
        <v>7563</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7564</v>
      </c>
      <c r="W41" s="155">
        <v>100.0</v>
      </c>
      <c r="X41" s="385" t="s">
        <v>7565</v>
      </c>
      <c r="Y41" s="153" t="s">
        <v>7566</v>
      </c>
      <c r="Z41" s="155" t="s">
        <v>7567</v>
      </c>
      <c r="AA41" s="155">
        <v>100.0</v>
      </c>
      <c r="AB41" s="384" t="s">
        <v>7568</v>
      </c>
      <c r="AC41" s="197" t="s">
        <v>7561</v>
      </c>
      <c r="AD41" s="198" t="s">
        <v>7569</v>
      </c>
      <c r="AE41" s="198">
        <v>100.0</v>
      </c>
      <c r="AF41" s="384" t="s">
        <v>7570</v>
      </c>
      <c r="AG41" s="187" t="s">
        <v>7561</v>
      </c>
      <c r="AH41" s="386" t="s">
        <v>7571</v>
      </c>
      <c r="AI41" s="386">
        <v>100.0</v>
      </c>
      <c r="AJ41" s="384" t="s">
        <v>7572</v>
      </c>
      <c r="AK41" s="197" t="s">
        <v>7561</v>
      </c>
      <c r="AL41" s="198" t="s">
        <v>7573</v>
      </c>
      <c r="AM41" s="198">
        <v>100.0</v>
      </c>
      <c r="AN41" s="390" t="s">
        <v>7574</v>
      </c>
      <c r="AO41" s="387" t="s">
        <v>7561</v>
      </c>
      <c r="AP41" s="202" t="s">
        <v>7562</v>
      </c>
      <c r="AQ41" s="202" t="s">
        <v>7203</v>
      </c>
      <c r="AR41" s="388" t="s">
        <v>7575</v>
      </c>
      <c r="AS41" s="388"/>
      <c r="AT41" s="388"/>
    </row>
    <row r="42">
      <c r="A42" s="153" t="s">
        <v>7576</v>
      </c>
      <c r="B42" s="155" t="s">
        <v>7577</v>
      </c>
      <c r="C42" s="155" t="s">
        <v>7578</v>
      </c>
      <c r="D42" s="385" t="s">
        <v>7579</v>
      </c>
      <c r="E42" s="153" t="s">
        <v>7580</v>
      </c>
      <c r="F42" s="198" t="s">
        <v>7581</v>
      </c>
      <c r="G42" s="155" t="s">
        <v>7578</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7582</v>
      </c>
      <c r="J42" s="198" t="s">
        <v>7583</v>
      </c>
      <c r="K42" s="198" t="s">
        <v>7578</v>
      </c>
      <c r="L42" s="384" t="s">
        <v>7584</v>
      </c>
      <c r="M42" s="197" t="str">
        <f>IFERROR(__xludf.DUMMYFUNCTION("GOOGLETRANSLATE(A42,""zh-tw"",""zh"")"),"应该已经灭绝的河之主!?")</f>
        <v>应该已经灭绝的河之主!?</v>
      </c>
      <c r="N42" s="198" t="str">
        <f>IFERROR(__xludf.DUMMYFUNCTION("GOOGLETRANSLATE(B42,""zh-tw"",""zh"")"),"◉▽◉(粉色)
王权之令")</f>
        <v>◉▽◉(粉色)
王权之令</v>
      </c>
      <c r="O42" s="198" t="s">
        <v>7578</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7578</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7578</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7585</v>
      </c>
      <c r="Z42" s="155" t="s">
        <v>7586</v>
      </c>
      <c r="AA42" s="155" t="s">
        <v>7578</v>
      </c>
      <c r="AB42" s="384" t="s">
        <v>7587</v>
      </c>
      <c r="AC42" s="197" t="s">
        <v>7588</v>
      </c>
      <c r="AD42" s="198" t="s">
        <v>7589</v>
      </c>
      <c r="AE42" s="198" t="s">
        <v>7578</v>
      </c>
      <c r="AF42" s="384" t="s">
        <v>7590</v>
      </c>
      <c r="AG42" s="187" t="s">
        <v>7591</v>
      </c>
      <c r="AH42" s="386" t="s">
        <v>7592</v>
      </c>
      <c r="AI42" s="386" t="s">
        <v>7578</v>
      </c>
      <c r="AJ42" s="384" t="s">
        <v>7593</v>
      </c>
      <c r="AK42" s="165" t="s">
        <v>7594</v>
      </c>
      <c r="AL42" s="198" t="s">
        <v>7595</v>
      </c>
      <c r="AM42" s="198" t="s">
        <v>7578</v>
      </c>
      <c r="AN42" s="384" t="s">
        <v>7596</v>
      </c>
      <c r="AO42" s="387" t="s">
        <v>7597</v>
      </c>
      <c r="AP42" s="202" t="s">
        <v>7598</v>
      </c>
      <c r="AQ42" s="202" t="s">
        <v>7599</v>
      </c>
      <c r="AR42" s="388" t="s">
        <v>7600</v>
      </c>
      <c r="AS42" s="388"/>
      <c r="AT42" s="388"/>
    </row>
    <row r="43">
      <c r="A43" s="153" t="s">
        <v>7601</v>
      </c>
      <c r="B43" s="155" t="s">
        <v>7602</v>
      </c>
      <c r="C43" s="155" t="s">
        <v>6942</v>
      </c>
      <c r="D43" s="385" t="s">
        <v>7603</v>
      </c>
      <c r="E43" s="153" t="s">
        <v>7604</v>
      </c>
      <c r="F43" s="198" t="s">
        <v>7605</v>
      </c>
      <c r="G43" s="155" t="s">
        <v>6942</v>
      </c>
      <c r="H43" s="385" t="s">
        <v>7606</v>
      </c>
      <c r="I43" s="197" t="s">
        <v>7607</v>
      </c>
      <c r="J43" s="198" t="s">
        <v>7608</v>
      </c>
      <c r="K43" s="198" t="s">
        <v>6942</v>
      </c>
      <c r="L43" s="384" t="s">
        <v>7609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7610</v>
      </c>
      <c r="Z43" s="155" t="s">
        <v>7611</v>
      </c>
      <c r="AA43" s="155" t="s">
        <v>6942</v>
      </c>
      <c r="AB43" s="384" t="s">
        <v>7612</v>
      </c>
      <c r="AC43" s="197" t="s">
        <v>7613</v>
      </c>
      <c r="AD43" s="198" t="s">
        <v>7614</v>
      </c>
      <c r="AE43" s="198" t="s">
        <v>6942</v>
      </c>
      <c r="AF43" s="384" t="s">
        <v>7615</v>
      </c>
      <c r="AG43" s="133" t="s">
        <v>7616</v>
      </c>
      <c r="AH43" s="386" t="str">
        <f>IFERROR(__xludf.DUMMYFUNCTION("GOOGLETRANSLATE(B43,""zh-tw"",""vi"")"),"Cột nghi lễ
Nhãn cầu quỷ")</f>
        <v>Cột nghi lễ
Nhãn cầu quỷ</v>
      </c>
      <c r="AI43" s="386" t="s">
        <v>6942</v>
      </c>
      <c r="AJ43" s="390" t="s">
        <v>7617</v>
      </c>
      <c r="AK43" s="165" t="s">
        <v>7618</v>
      </c>
      <c r="AL43" s="198" t="s">
        <v>7619</v>
      </c>
      <c r="AM43" s="198" t="s">
        <v>6942</v>
      </c>
      <c r="AN43" s="384" t="s">
        <v>7620</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7621</v>
      </c>
      <c r="B44" s="155" t="s">
        <v>1231</v>
      </c>
      <c r="C44" s="155" t="s">
        <v>1231</v>
      </c>
      <c r="D44" s="385" t="s">
        <v>7622</v>
      </c>
      <c r="E44" s="153" t="s">
        <v>7623</v>
      </c>
      <c r="F44" s="198" t="s">
        <v>1231</v>
      </c>
      <c r="G44" s="155" t="s">
        <v>1231</v>
      </c>
      <c r="H44" s="385" t="s">
        <v>7624</v>
      </c>
      <c r="I44" s="197" t="s">
        <v>7625</v>
      </c>
      <c r="J44" s="198" t="s">
        <v>1231</v>
      </c>
      <c r="K44" s="198" t="s">
        <v>1231</v>
      </c>
      <c r="L44" s="384" t="s">
        <v>7626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7627</v>
      </c>
      <c r="Z44" s="155" t="s">
        <v>1231</v>
      </c>
      <c r="AA44" s="155" t="s">
        <v>1231</v>
      </c>
      <c r="AB44" s="384" t="s">
        <v>7628</v>
      </c>
      <c r="AC44" s="197" t="s">
        <v>7629</v>
      </c>
      <c r="AD44" s="198" t="s">
        <v>1231</v>
      </c>
      <c r="AE44" s="198" t="s">
        <v>1231</v>
      </c>
      <c r="AF44" s="384" t="s">
        <v>7630</v>
      </c>
      <c r="AG44" s="133" t="s">
        <v>7631</v>
      </c>
      <c r="AH44" s="386" t="s">
        <v>1231</v>
      </c>
      <c r="AI44" s="386" t="s">
        <v>1231</v>
      </c>
      <c r="AJ44" s="390" t="s">
        <v>7632</v>
      </c>
      <c r="AK44" s="165" t="s">
        <v>7633</v>
      </c>
      <c r="AL44" s="198" t="s">
        <v>1231</v>
      </c>
      <c r="AM44" s="198" t="s">
        <v>1231</v>
      </c>
      <c r="AN44" s="384" t="s">
        <v>7634</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7635</v>
      </c>
      <c r="E45" s="380" t="str">
        <f>IFERROR(__xludf.DUMMYFUNCTION("GOOGLETRANSLATE(A45,""zh-tw"",""ja"")"),"シーンオブジェクト")</f>
        <v>シーンオブジェクト</v>
      </c>
      <c r="I45" s="380" t="s">
        <v>7636</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7637</v>
      </c>
      <c r="AC45" s="381" t="str">
        <f>IFERROR(__xludf.DUMMYFUNCTION("GOOGLETRANSLATE(A42,""zh-tw"",""DE"")"),"Der Flussherr, der eigentlich schon ausgestorben sein sollte!?")</f>
        <v>Der Flussherr, der eigentlich schon ausgestorben sein sollte!?</v>
      </c>
      <c r="AG45" s="383" t="s">
        <v>7638</v>
      </c>
      <c r="AK45" s="381" t="s">
        <v>7636</v>
      </c>
      <c r="AO45" s="392" t="s">
        <v>7639</v>
      </c>
      <c r="AS45" s="392"/>
      <c r="AT45" s="392"/>
    </row>
    <row r="46">
      <c r="A46" s="153" t="s">
        <v>7640</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7641</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IFERROR(__xludf.DUMMYFUNCTION("GOOGLETRANSLATE(A46,""zh-tw"",""KO"")"),"도로를 막고 있는 거대한 바위들")</f>
        <v>도로를 막고 있는 거대한 바위들</v>
      </c>
      <c r="V46" s="155" t="str">
        <f>IFERROR(__xludf.DUMMYFUNCTION("GOOGLETRANSLATE(B46,""zh-tw"",""KO"")"),"-")</f>
        <v>-</v>
      </c>
      <c r="W46" s="155" t="s">
        <v>1231</v>
      </c>
      <c r="X46" s="385" t="str">
        <f>IFERROR(__xludf.DUMMYFUNCTION("GOOGLETRANSLATE(D46,""zh-tw"",""KO"")"),"-")</f>
        <v>-</v>
      </c>
      <c r="Y46" s="153" t="s">
        <v>7642</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7643</v>
      </c>
      <c r="AH46" s="386"/>
      <c r="AI46" s="386" t="s">
        <v>1231</v>
      </c>
      <c r="AJ46" s="384" t="s">
        <v>1231</v>
      </c>
      <c r="AK46" s="197" t="s">
        <v>7644</v>
      </c>
      <c r="AL46" s="198" t="s">
        <v>1231</v>
      </c>
      <c r="AM46" s="198" t="s">
        <v>1231</v>
      </c>
      <c r="AN46" s="384" t="s">
        <v>1231</v>
      </c>
      <c r="AO46" s="387" t="s">
        <v>7645</v>
      </c>
      <c r="AP46" s="202" t="s">
        <v>1231</v>
      </c>
      <c r="AQ46" s="202" t="s">
        <v>1231</v>
      </c>
      <c r="AR46" s="391" t="s">
        <v>1231</v>
      </c>
      <c r="AS46" s="391"/>
      <c r="AT46" s="391"/>
    </row>
    <row r="47">
      <c r="A47" s="153" t="s">
        <v>7646</v>
      </c>
      <c r="B47" s="155" t="s">
        <v>7647</v>
      </c>
      <c r="C47" s="155">
        <v>100.0</v>
      </c>
      <c r="D47" s="385" t="s">
        <v>1231</v>
      </c>
      <c r="E47" s="153" t="s">
        <v>7648</v>
      </c>
      <c r="F47" s="155" t="str">
        <f>IFERROR(__xludf.DUMMYFUNCTION("GOOGLETRANSLATE(B47,""zh-tw"",""ja"")"),"騎士の剣")</f>
        <v>騎士の剣</v>
      </c>
      <c r="G47" s="155">
        <v>100.0</v>
      </c>
      <c r="H47" s="385" t="str">
        <f>IFERROR(__xludf.DUMMYFUNCTION("GOOGLETRANSLATE(D47,""zh-tw"",""ja"")"),"-")</f>
        <v>-</v>
      </c>
      <c r="I47" s="153" t="s">
        <v>7649</v>
      </c>
      <c r="J47" s="198" t="s">
        <v>7650</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7651</v>
      </c>
      <c r="V47" s="155" t="s">
        <v>7652</v>
      </c>
      <c r="W47" s="155">
        <v>100.0</v>
      </c>
      <c r="X47" s="385" t="str">
        <f>IFERROR(__xludf.DUMMYFUNCTION("GOOGLETRANSLATE(D47,""zh-tw"",""KO"")"),"-")</f>
        <v>-</v>
      </c>
      <c r="Y47" s="153" t="s">
        <v>7653</v>
      </c>
      <c r="Z47" s="155" t="s">
        <v>7654</v>
      </c>
      <c r="AA47" s="155">
        <v>100.0</v>
      </c>
      <c r="AB47" s="384" t="s">
        <v>1231</v>
      </c>
      <c r="AC47" s="197" t="s">
        <v>7655</v>
      </c>
      <c r="AD47" s="198" t="s">
        <v>7656</v>
      </c>
      <c r="AE47" s="198">
        <v>100.0</v>
      </c>
      <c r="AF47" s="390" t="s">
        <v>7657</v>
      </c>
      <c r="AG47" s="187" t="s">
        <v>7658</v>
      </c>
      <c r="AH47" s="386" t="s">
        <v>7659</v>
      </c>
      <c r="AI47" s="386">
        <v>100.0</v>
      </c>
      <c r="AJ47" s="384" t="s">
        <v>1231</v>
      </c>
      <c r="AK47" s="197" t="s">
        <v>7660</v>
      </c>
      <c r="AL47" s="198" t="s">
        <v>7661</v>
      </c>
      <c r="AM47" s="198">
        <v>100.0</v>
      </c>
      <c r="AN47" s="384" t="s">
        <v>1231</v>
      </c>
      <c r="AO47" s="387" t="s">
        <v>7662</v>
      </c>
      <c r="AP47" s="202" t="s">
        <v>7663</v>
      </c>
      <c r="AQ47" s="202" t="s">
        <v>7203</v>
      </c>
      <c r="AR47" s="388" t="s">
        <v>1231</v>
      </c>
      <c r="AS47" s="388"/>
      <c r="AT47" s="388"/>
    </row>
    <row r="48">
      <c r="A48" s="197" t="s">
        <v>7664</v>
      </c>
      <c r="B48" s="198" t="s">
        <v>7665</v>
      </c>
      <c r="C48" s="155" t="s">
        <v>7666</v>
      </c>
      <c r="D48" s="390" t="s">
        <v>7667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7666</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7668</v>
      </c>
      <c r="J48" s="198" t="s">
        <v>7669</v>
      </c>
      <c r="K48" s="198" t="s">
        <v>7666</v>
      </c>
      <c r="L48" s="384" t="s">
        <v>7670</v>
      </c>
      <c r="M48" s="197" t="str">
        <f>IFERROR(__xludf.DUMMYFUNCTION("GOOGLETRANSLATE(A48,""zh-tw"",""zh"")"),"很大的蛋")</f>
        <v>很大的蛋</v>
      </c>
      <c r="N48" s="198" t="str">
        <f>IFERROR(__xludf.DUMMYFUNCTION("GOOGLETRANSLATE(B48,""zh-tw"",""zh"")"),"很大的蛋
小红怪*")</f>
        <v>很大的蛋
小红怪*</v>
      </c>
      <c r="O48" s="155" t="s">
        <v>7666</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7666</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7671</v>
      </c>
      <c r="V48" s="198" t="s">
        <v>7671</v>
      </c>
      <c r="W48" s="198" t="s">
        <v>7666</v>
      </c>
      <c r="X48" s="385" t="s">
        <v>7672</v>
      </c>
      <c r="Y48" s="197" t="s">
        <v>7673</v>
      </c>
      <c r="Z48" s="198" t="s">
        <v>7674</v>
      </c>
      <c r="AA48" s="155" t="s">
        <v>7666</v>
      </c>
      <c r="AB48" s="384" t="s">
        <v>7675</v>
      </c>
      <c r="AC48" s="197" t="s">
        <v>7676</v>
      </c>
      <c r="AD48" s="198" t="s">
        <v>7677</v>
      </c>
      <c r="AE48" s="198" t="s">
        <v>7666</v>
      </c>
      <c r="AF48" s="384" t="s">
        <v>7678</v>
      </c>
      <c r="AG48" s="187" t="s">
        <v>7679</v>
      </c>
      <c r="AH48" s="386" t="s">
        <v>7680</v>
      </c>
      <c r="AI48" s="386" t="s">
        <v>7666</v>
      </c>
      <c r="AJ48" s="384" t="s">
        <v>7681</v>
      </c>
      <c r="AK48" s="197" t="s">
        <v>7682</v>
      </c>
      <c r="AL48" s="198" t="s">
        <v>7683</v>
      </c>
      <c r="AM48" s="198" t="s">
        <v>7666</v>
      </c>
      <c r="AN48" s="384" t="s">
        <v>7684</v>
      </c>
      <c r="AO48" s="387" t="s">
        <v>7685</v>
      </c>
      <c r="AP48" s="202" t="s">
        <v>7686</v>
      </c>
      <c r="AQ48" s="202" t="s">
        <v>7687</v>
      </c>
      <c r="AR48" s="388" t="s">
        <v>7688</v>
      </c>
      <c r="AS48" s="388"/>
      <c r="AT48" s="388"/>
    </row>
    <row r="49">
      <c r="A49" s="153" t="s">
        <v>7689</v>
      </c>
      <c r="B49" s="155" t="s">
        <v>7690</v>
      </c>
      <c r="C49" s="155" t="s">
        <v>7691</v>
      </c>
      <c r="D49" s="385" t="s">
        <v>7692</v>
      </c>
      <c r="E49" s="153" t="s">
        <v>7693</v>
      </c>
      <c r="F49" s="198" t="s">
        <v>7694</v>
      </c>
      <c r="G49" s="155" t="s">
        <v>7691</v>
      </c>
      <c r="H49" s="385" t="s">
        <v>7695</v>
      </c>
      <c r="I49" s="153" t="s">
        <v>7696</v>
      </c>
      <c r="J49" s="198" t="s">
        <v>7697</v>
      </c>
      <c r="K49" s="198" t="s">
        <v>7691</v>
      </c>
      <c r="L49" s="384" t="s">
        <v>7698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7691</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7691</v>
      </c>
      <c r="T49" s="384" t="str">
        <f>IFERROR(__xludf.DUMMYFUNCTION("GOOGLETRANSLATE(D49,""zh-tw"",""es-MX"")"),"Golpea los hongos en el suelo en las ruinas.")</f>
        <v>Golpea los hongos en el suelo en las ruinas.</v>
      </c>
      <c r="U49" s="197" t="s">
        <v>7699</v>
      </c>
      <c r="V49" s="155" t="s">
        <v>7700</v>
      </c>
      <c r="W49" s="155" t="s">
        <v>7691</v>
      </c>
      <c r="X49" s="385" t="s">
        <v>7701</v>
      </c>
      <c r="Y49" s="153" t="s">
        <v>7702</v>
      </c>
      <c r="Z49" s="155" t="s">
        <v>7703</v>
      </c>
      <c r="AA49" s="155" t="s">
        <v>7691</v>
      </c>
      <c r="AB49" s="384" t="s">
        <v>7704</v>
      </c>
      <c r="AC49" s="197" t="s">
        <v>7705</v>
      </c>
      <c r="AD49" s="198" t="s">
        <v>7706</v>
      </c>
      <c r="AE49" s="198" t="s">
        <v>7691</v>
      </c>
      <c r="AF49" s="384" t="s">
        <v>7707</v>
      </c>
      <c r="AG49" s="187" t="s">
        <v>7708</v>
      </c>
      <c r="AH49" s="386" t="s">
        <v>7709</v>
      </c>
      <c r="AI49" s="386" t="s">
        <v>7691</v>
      </c>
      <c r="AJ49" s="384" t="s">
        <v>7710</v>
      </c>
      <c r="AK49" s="197" t="s">
        <v>7711</v>
      </c>
      <c r="AL49" s="198" t="s">
        <v>7712</v>
      </c>
      <c r="AM49" s="198" t="s">
        <v>7691</v>
      </c>
      <c r="AN49" s="384" t="s">
        <v>7713</v>
      </c>
      <c r="AO49" s="387" t="s">
        <v>7714</v>
      </c>
      <c r="AP49" s="202" t="s">
        <v>7715</v>
      </c>
      <c r="AQ49" s="202" t="s">
        <v>7691</v>
      </c>
      <c r="AR49" s="388" t="s">
        <v>7716</v>
      </c>
      <c r="AS49" s="388"/>
      <c r="AT49" s="388"/>
    </row>
    <row r="50">
      <c r="A50" s="153" t="s">
        <v>7717</v>
      </c>
      <c r="B50" s="155" t="s">
        <v>7718</v>
      </c>
      <c r="C50" s="155" t="s">
        <v>7719</v>
      </c>
      <c r="D50" s="385" t="s">
        <v>7720</v>
      </c>
      <c r="E50" s="153" t="s">
        <v>7721</v>
      </c>
      <c r="F50" s="155" t="s">
        <v>7722</v>
      </c>
      <c r="G50" s="155" t="s">
        <v>7719</v>
      </c>
      <c r="H50" s="385" t="s">
        <v>7723</v>
      </c>
      <c r="I50" s="153" t="s">
        <v>7724</v>
      </c>
      <c r="J50" s="198" t="s">
        <v>7725</v>
      </c>
      <c r="K50" s="198" t="s">
        <v>7719</v>
      </c>
      <c r="L50" s="384" t="s">
        <v>7726</v>
      </c>
      <c r="M50" s="197" t="str">
        <f>IFERROR(__xludf.DUMMYFUNCTION("GOOGLETRANSLATE(A50,""zh-tw"",""zh"")"),"红花")</f>
        <v>红花</v>
      </c>
      <c r="N50" s="198" t="str">
        <f>IFERROR(__xludf.DUMMYFUNCTION("GOOGLETRANSLATE(B50,""zh-tw"",""zh"")"),"火鸟的羽毛
500元
1000元")</f>
        <v>火鸟的羽毛
500元
1000元</v>
      </c>
      <c r="O50" s="198" t="s">
        <v>7719</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7719</v>
      </c>
      <c r="T50" s="384" t="str">
        <f>IFERROR(__xludf.DUMMYFUNCTION("GOOGLETRANSLATE(D50,""zh-tw"",""es-MX"")"),"Flores rojas en el suelo de las ruinas.")</f>
        <v>Flores rojas en el suelo de las ruinas.</v>
      </c>
      <c r="U50" s="197" t="s">
        <v>7727</v>
      </c>
      <c r="V50" s="155" t="s">
        <v>7728</v>
      </c>
      <c r="W50" s="155" t="s">
        <v>7719</v>
      </c>
      <c r="X50" s="385" t="s">
        <v>7729</v>
      </c>
      <c r="Y50" s="153" t="s">
        <v>7730</v>
      </c>
      <c r="Z50" s="155" t="s">
        <v>7731</v>
      </c>
      <c r="AA50" s="155" t="s">
        <v>7719</v>
      </c>
      <c r="AB50" s="384" t="s">
        <v>7732</v>
      </c>
      <c r="AC50" s="197" t="s">
        <v>7733</v>
      </c>
      <c r="AD50" s="198" t="s">
        <v>7734</v>
      </c>
      <c r="AE50" s="198" t="s">
        <v>7719</v>
      </c>
      <c r="AF50" s="384" t="s">
        <v>7735</v>
      </c>
      <c r="AG50" s="187" t="s">
        <v>7736</v>
      </c>
      <c r="AH50" s="386" t="s">
        <v>7737</v>
      </c>
      <c r="AI50" s="386" t="s">
        <v>7719</v>
      </c>
      <c r="AJ50" s="384" t="s">
        <v>7738</v>
      </c>
      <c r="AK50" s="197" t="s">
        <v>7724</v>
      </c>
      <c r="AL50" s="198" t="s">
        <v>7739</v>
      </c>
      <c r="AM50" s="198" t="s">
        <v>7719</v>
      </c>
      <c r="AN50" s="384" t="s">
        <v>7740</v>
      </c>
      <c r="AO50" s="387" t="s">
        <v>7741</v>
      </c>
      <c r="AP50" s="202" t="s">
        <v>7742</v>
      </c>
      <c r="AQ50" s="202" t="s">
        <v>7719</v>
      </c>
      <c r="AR50" s="388" t="s">
        <v>7743</v>
      </c>
      <c r="AS50" s="388"/>
      <c r="AT50" s="388"/>
    </row>
    <row r="51">
      <c r="A51" s="153" t="s">
        <v>7744</v>
      </c>
      <c r="B51" s="167" t="s">
        <v>7745</v>
      </c>
      <c r="C51" s="167" t="s">
        <v>7746</v>
      </c>
      <c r="D51" s="390" t="s">
        <v>7747</v>
      </c>
      <c r="E51" s="153" t="s">
        <v>7748</v>
      </c>
      <c r="F51" s="155" t="s">
        <v>7749</v>
      </c>
      <c r="G51" s="155" t="s">
        <v>7750</v>
      </c>
      <c r="H51" s="385" t="str">
        <f>IFERROR(__xludf.DUMMYFUNCTION("GOOGLETRANSLATE(D51,""zh-tw"",""ja"")"),"壁を壊すとゾンビが出現する確率が 30% になります。")</f>
        <v>壁を壊すとゾンビが出現する確率が 30% になります。</v>
      </c>
      <c r="I51" s="153" t="s">
        <v>7751</v>
      </c>
      <c r="J51" s="167" t="s">
        <v>7752</v>
      </c>
      <c r="K51" s="198" t="s">
        <v>7750</v>
      </c>
      <c r="L51" s="384"/>
      <c r="M51" s="197" t="s">
        <v>7744</v>
      </c>
      <c r="N51" s="198" t="s">
        <v>7753</v>
      </c>
      <c r="O51" s="198" t="s">
        <v>7750</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7750</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7750</v>
      </c>
      <c r="X51" s="385" t="str">
        <f>IFERROR(__xludf.DUMMYFUNCTION("GOOGLETRANSLATE(D51,""zh-tw"",""KO"")"),"벽을 부수면 30% 확률로 좀비가 나타납니다.")</f>
        <v>벽을 부수면 30% 확률로 좀비가 나타납니다.</v>
      </c>
      <c r="Y51" s="153" t="s">
        <v>7754</v>
      </c>
      <c r="Z51" s="198" t="s">
        <v>7755</v>
      </c>
      <c r="AA51" s="155" t="s">
        <v>7750</v>
      </c>
      <c r="AB51" s="384" t="s">
        <v>1231</v>
      </c>
      <c r="AC51" s="197" t="s">
        <v>7756</v>
      </c>
      <c r="AD51" s="198" t="s">
        <v>7757</v>
      </c>
      <c r="AE51" s="198" t="s">
        <v>7750</v>
      </c>
      <c r="AF51" s="390" t="s">
        <v>7657</v>
      </c>
      <c r="AG51" s="187" t="s">
        <v>7758</v>
      </c>
      <c r="AH51" s="49" t="s">
        <v>7759</v>
      </c>
      <c r="AI51" s="386" t="s">
        <v>7750</v>
      </c>
      <c r="AJ51" s="384" t="s">
        <v>1231</v>
      </c>
      <c r="AK51" s="197" t="s">
        <v>7760</v>
      </c>
      <c r="AL51" s="167" t="s">
        <v>7761</v>
      </c>
      <c r="AM51" s="198" t="s">
        <v>7750</v>
      </c>
      <c r="AN51" s="384" t="s">
        <v>1231</v>
      </c>
      <c r="AO51" s="387" t="s">
        <v>7762</v>
      </c>
      <c r="AP51" s="202" t="s">
        <v>7763</v>
      </c>
      <c r="AQ51" s="202" t="s">
        <v>7750</v>
      </c>
      <c r="AR51" s="391" t="s">
        <v>1231</v>
      </c>
      <c r="AS51" s="391"/>
      <c r="AT51" s="391"/>
    </row>
    <row r="52">
      <c r="A52" s="153" t="s">
        <v>7764</v>
      </c>
      <c r="B52" s="167" t="s">
        <v>7765</v>
      </c>
      <c r="C52" s="155" t="s">
        <v>7750</v>
      </c>
      <c r="D52" s="385" t="s">
        <v>1231</v>
      </c>
      <c r="E52" s="153" t="s">
        <v>7766</v>
      </c>
      <c r="F52" s="155" t="s">
        <v>7749</v>
      </c>
      <c r="G52" s="155" t="s">
        <v>7750</v>
      </c>
      <c r="H52" s="385" t="str">
        <f>IFERROR(__xludf.DUMMYFUNCTION("GOOGLETRANSLATE(D52,""zh-tw"",""ja"")"),"-")</f>
        <v>-</v>
      </c>
      <c r="I52" s="153" t="s">
        <v>7767</v>
      </c>
      <c r="J52" s="167" t="s">
        <v>7752</v>
      </c>
      <c r="K52" s="198" t="s">
        <v>7750</v>
      </c>
      <c r="L52" s="384"/>
      <c r="M52" s="197" t="s">
        <v>7768</v>
      </c>
      <c r="N52" s="198" t="s">
        <v>7753</v>
      </c>
      <c r="O52" s="198" t="s">
        <v>7750</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7750</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7750</v>
      </c>
      <c r="X52" s="385" t="str">
        <f>IFERROR(__xludf.DUMMYFUNCTION("GOOGLETRANSLATE(D52,""zh-tw"",""KO"")"),"-")</f>
        <v>-</v>
      </c>
      <c r="Y52" s="153" t="s">
        <v>7769</v>
      </c>
      <c r="Z52" s="155" t="s">
        <v>7755</v>
      </c>
      <c r="AA52" s="155" t="s">
        <v>7750</v>
      </c>
      <c r="AB52" s="384" t="s">
        <v>1231</v>
      </c>
      <c r="AC52" s="197" t="s">
        <v>7770</v>
      </c>
      <c r="AD52" s="198" t="s">
        <v>7757</v>
      </c>
      <c r="AE52" s="198" t="s">
        <v>7750</v>
      </c>
      <c r="AF52" s="390" t="s">
        <v>7657</v>
      </c>
      <c r="AG52" s="187" t="s">
        <v>7771</v>
      </c>
      <c r="AH52" s="49" t="s">
        <v>7759</v>
      </c>
      <c r="AI52" s="386" t="s">
        <v>7750</v>
      </c>
      <c r="AJ52" s="384" t="s">
        <v>1231</v>
      </c>
      <c r="AK52" s="197" t="s">
        <v>7767</v>
      </c>
      <c r="AL52" s="167" t="s">
        <v>7761</v>
      </c>
      <c r="AM52" s="198" t="s">
        <v>7750</v>
      </c>
      <c r="AN52" s="384" t="s">
        <v>1231</v>
      </c>
      <c r="AO52" s="387" t="s">
        <v>7772</v>
      </c>
      <c r="AP52" s="202" t="s">
        <v>7763</v>
      </c>
      <c r="AQ52" s="202" t="s">
        <v>7750</v>
      </c>
      <c r="AR52" s="391" t="s">
        <v>1231</v>
      </c>
      <c r="AS52" s="391"/>
      <c r="AT52" s="391"/>
    </row>
    <row r="53">
      <c r="A53" s="197" t="s">
        <v>7773</v>
      </c>
      <c r="B53" s="167" t="s">
        <v>7765</v>
      </c>
      <c r="C53" s="198" t="s">
        <v>7750</v>
      </c>
      <c r="D53" s="384" t="s">
        <v>1231</v>
      </c>
      <c r="E53" s="197" t="s">
        <v>7773</v>
      </c>
      <c r="F53" s="198" t="s">
        <v>7749</v>
      </c>
      <c r="G53" s="198" t="s">
        <v>7750</v>
      </c>
      <c r="H53" s="384" t="str">
        <f>IFERROR(__xludf.DUMMYFUNCTION("GOOGLETRANSLATE(D53,""zh-tw"",""ja"")"),"-")</f>
        <v>-</v>
      </c>
      <c r="I53" s="197" t="s">
        <v>7774</v>
      </c>
      <c r="J53" s="167" t="s">
        <v>7752</v>
      </c>
      <c r="K53" s="198" t="s">
        <v>7750</v>
      </c>
      <c r="L53" s="384"/>
      <c r="M53" s="197" t="s">
        <v>7773</v>
      </c>
      <c r="N53" s="198" t="s">
        <v>7753</v>
      </c>
      <c r="O53" s="198" t="s">
        <v>7750</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7750</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7750</v>
      </c>
      <c r="X53" s="384" t="str">
        <f>IFERROR(__xludf.DUMMYFUNCTION("GOOGLETRANSLATE(D53,""zh-tw"",""KO"")"),"-")</f>
        <v>-</v>
      </c>
      <c r="Y53" s="153" t="s">
        <v>7775</v>
      </c>
      <c r="Z53" s="155" t="s">
        <v>7755</v>
      </c>
      <c r="AA53" s="155" t="s">
        <v>7750</v>
      </c>
      <c r="AB53" s="384" t="s">
        <v>1231</v>
      </c>
      <c r="AC53" s="197" t="s">
        <v>7776</v>
      </c>
      <c r="AD53" s="198" t="s">
        <v>7757</v>
      </c>
      <c r="AE53" s="198" t="s">
        <v>7750</v>
      </c>
      <c r="AF53" s="390" t="s">
        <v>7657</v>
      </c>
      <c r="AG53" s="187" t="s">
        <v>7777</v>
      </c>
      <c r="AH53" s="49" t="s">
        <v>7759</v>
      </c>
      <c r="AI53" s="386" t="s">
        <v>7750</v>
      </c>
      <c r="AJ53" s="384" t="s">
        <v>1231</v>
      </c>
      <c r="AK53" s="197" t="s">
        <v>7778</v>
      </c>
      <c r="AL53" s="167" t="s">
        <v>7761</v>
      </c>
      <c r="AM53" s="198" t="s">
        <v>7750</v>
      </c>
      <c r="AN53" s="384" t="s">
        <v>1231</v>
      </c>
      <c r="AO53" s="387" t="s">
        <v>7779</v>
      </c>
      <c r="AP53" s="202" t="s">
        <v>7763</v>
      </c>
      <c r="AQ53" s="202" t="s">
        <v>7750</v>
      </c>
      <c r="AR53" s="391" t="s">
        <v>1231</v>
      </c>
      <c r="AS53" s="391"/>
      <c r="AT53" s="391"/>
    </row>
    <row r="54">
      <c r="A54" s="197" t="s">
        <v>7780</v>
      </c>
      <c r="B54" s="167" t="s">
        <v>7765</v>
      </c>
      <c r="C54" s="198" t="s">
        <v>7750</v>
      </c>
      <c r="D54" s="384" t="s">
        <v>1231</v>
      </c>
      <c r="E54" s="197" t="s">
        <v>7781</v>
      </c>
      <c r="F54" s="198" t="s">
        <v>7749</v>
      </c>
      <c r="G54" s="198" t="s">
        <v>7750</v>
      </c>
      <c r="H54" s="384" t="str">
        <f>IFERROR(__xludf.DUMMYFUNCTION("GOOGLETRANSLATE(D54,""zh-tw"",""ja"")"),"-")</f>
        <v>-</v>
      </c>
      <c r="I54" s="197" t="s">
        <v>7782</v>
      </c>
      <c r="J54" s="167" t="s">
        <v>7752</v>
      </c>
      <c r="K54" s="198" t="s">
        <v>7750</v>
      </c>
      <c r="L54" s="384"/>
      <c r="M54" s="197" t="s">
        <v>7780</v>
      </c>
      <c r="N54" s="198" t="s">
        <v>7753</v>
      </c>
      <c r="O54" s="198" t="s">
        <v>7750</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7750</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7750</v>
      </c>
      <c r="X54" s="384" t="str">
        <f>IFERROR(__xludf.DUMMYFUNCTION("GOOGLETRANSLATE(D54,""zh-tw"",""KO"")"),"-")</f>
        <v>-</v>
      </c>
      <c r="Y54" s="153" t="s">
        <v>7783</v>
      </c>
      <c r="Z54" s="155" t="s">
        <v>7755</v>
      </c>
      <c r="AA54" s="155" t="s">
        <v>7750</v>
      </c>
      <c r="AB54" s="384" t="s">
        <v>1231</v>
      </c>
      <c r="AC54" s="197" t="s">
        <v>7784</v>
      </c>
      <c r="AD54" s="198" t="s">
        <v>7757</v>
      </c>
      <c r="AE54" s="198" t="s">
        <v>7750</v>
      </c>
      <c r="AF54" s="390" t="s">
        <v>7657</v>
      </c>
      <c r="AG54" s="187" t="s">
        <v>7785</v>
      </c>
      <c r="AH54" s="49" t="s">
        <v>7759</v>
      </c>
      <c r="AI54" s="386" t="s">
        <v>7750</v>
      </c>
      <c r="AJ54" s="384" t="s">
        <v>1231</v>
      </c>
      <c r="AK54" s="197" t="s">
        <v>7786</v>
      </c>
      <c r="AL54" s="167" t="s">
        <v>7761</v>
      </c>
      <c r="AM54" s="198" t="s">
        <v>7750</v>
      </c>
      <c r="AN54" s="384" t="s">
        <v>1231</v>
      </c>
      <c r="AO54" s="387" t="s">
        <v>7787</v>
      </c>
      <c r="AP54" s="202" t="s">
        <v>7763</v>
      </c>
      <c r="AQ54" s="202" t="s">
        <v>7750</v>
      </c>
      <c r="AR54" s="391" t="s">
        <v>1231</v>
      </c>
      <c r="AS54" s="391"/>
      <c r="AT54" s="391"/>
    </row>
    <row r="55">
      <c r="A55" s="197" t="s">
        <v>7788</v>
      </c>
      <c r="B55" s="198" t="s">
        <v>7789</v>
      </c>
      <c r="C55" s="198" t="s">
        <v>7790</v>
      </c>
      <c r="D55" s="384" t="s">
        <v>1231</v>
      </c>
      <c r="E55" s="197" t="str">
        <f>IFERROR(__xludf.DUMMYFUNCTION("GOOGLETRANSLATE(A55,""zh-tw"",""ja"")"),"鉱石")</f>
        <v>鉱石</v>
      </c>
      <c r="F55" s="198" t="s">
        <v>7791</v>
      </c>
      <c r="G55" s="198" t="s">
        <v>7790</v>
      </c>
      <c r="H55" s="384" t="str">
        <f>IFERROR(__xludf.DUMMYFUNCTION("GOOGLETRANSLATE(D55,""zh-tw"",""ja"")"),"-")</f>
        <v>-</v>
      </c>
      <c r="I55" s="197" t="s">
        <v>7792</v>
      </c>
      <c r="J55" s="198" t="s">
        <v>7793</v>
      </c>
      <c r="K55" s="198" t="s">
        <v>7790</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7790</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7790</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7790</v>
      </c>
      <c r="X55" s="384" t="str">
        <f>IFERROR(__xludf.DUMMYFUNCTION("GOOGLETRANSLATE(D55,""zh-tw"",""KO"")"),"-")</f>
        <v>-</v>
      </c>
      <c r="Y55" s="153" t="s">
        <v>7794</v>
      </c>
      <c r="Z55" s="155" t="s">
        <v>7795</v>
      </c>
      <c r="AA55" s="155" t="s">
        <v>7790</v>
      </c>
      <c r="AB55" s="384" t="s">
        <v>1231</v>
      </c>
      <c r="AC55" s="197" t="s">
        <v>7796</v>
      </c>
      <c r="AD55" s="198" t="s">
        <v>7797</v>
      </c>
      <c r="AE55" s="198" t="s">
        <v>7790</v>
      </c>
      <c r="AF55" s="384" t="s">
        <v>7798</v>
      </c>
      <c r="AG55" s="187" t="s">
        <v>7799</v>
      </c>
      <c r="AH55" s="386" t="s">
        <v>7800</v>
      </c>
      <c r="AI55" s="386" t="s">
        <v>7790</v>
      </c>
      <c r="AJ55" s="384" t="s">
        <v>1231</v>
      </c>
      <c r="AK55" s="197" t="s">
        <v>7801</v>
      </c>
      <c r="AL55" s="198" t="s">
        <v>7802</v>
      </c>
      <c r="AM55" s="198" t="s">
        <v>7790</v>
      </c>
      <c r="AN55" s="384" t="s">
        <v>1231</v>
      </c>
      <c r="AO55" s="387" t="s">
        <v>7803</v>
      </c>
      <c r="AP55" s="202" t="s">
        <v>7804</v>
      </c>
      <c r="AQ55" s="202" t="s">
        <v>7790</v>
      </c>
      <c r="AR55" s="388" t="s">
        <v>1231</v>
      </c>
      <c r="AS55" s="388"/>
      <c r="AT55" s="388"/>
    </row>
    <row r="56">
      <c r="A56" s="197" t="s">
        <v>7805</v>
      </c>
      <c r="B56" s="198" t="s">
        <v>7806</v>
      </c>
      <c r="C56" s="198" t="s">
        <v>7807</v>
      </c>
      <c r="D56" s="384" t="s">
        <v>1231</v>
      </c>
      <c r="E56" s="197" t="str">
        <f>IFERROR(__xludf.DUMMYFUNCTION("GOOGLETRANSLATE(A56,""zh-tw"",""ja"")"),"果樹")</f>
        <v>果樹</v>
      </c>
      <c r="F56" s="198" t="s">
        <v>7808</v>
      </c>
      <c r="G56" s="198" t="s">
        <v>7807</v>
      </c>
      <c r="H56" s="384" t="str">
        <f>IFERROR(__xludf.DUMMYFUNCTION("GOOGLETRANSLATE(D56,""zh-tw"",""ja"")"),"-")</f>
        <v>-</v>
      </c>
      <c r="I56" s="197" t="s">
        <v>7809</v>
      </c>
      <c r="J56" s="198" t="s">
        <v>7810</v>
      </c>
      <c r="K56" s="198" t="s">
        <v>7807</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7807</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7807</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7807</v>
      </c>
      <c r="X56" s="384" t="str">
        <f>IFERROR(__xludf.DUMMYFUNCTION("GOOGLETRANSLATE(D56,""zh-tw"",""KO"")"),"-")</f>
        <v>-</v>
      </c>
      <c r="Y56" s="153" t="s">
        <v>7811</v>
      </c>
      <c r="Z56" s="155" t="s">
        <v>7812</v>
      </c>
      <c r="AA56" s="155" t="s">
        <v>7807</v>
      </c>
      <c r="AB56" s="384" t="s">
        <v>1231</v>
      </c>
      <c r="AC56" s="197" t="s">
        <v>7813</v>
      </c>
      <c r="AD56" s="198" t="s">
        <v>7814</v>
      </c>
      <c r="AE56" s="198" t="s">
        <v>7807</v>
      </c>
      <c r="AF56" s="384" t="s">
        <v>7815</v>
      </c>
      <c r="AG56" s="187" t="s">
        <v>7816</v>
      </c>
      <c r="AH56" s="386" t="s">
        <v>7817</v>
      </c>
      <c r="AI56" s="386" t="s">
        <v>7807</v>
      </c>
      <c r="AJ56" s="384" t="s">
        <v>1231</v>
      </c>
      <c r="AK56" s="197" t="s">
        <v>7818</v>
      </c>
      <c r="AL56" s="198" t="s">
        <v>7819</v>
      </c>
      <c r="AM56" s="198" t="s">
        <v>7807</v>
      </c>
      <c r="AN56" s="384" t="s">
        <v>1231</v>
      </c>
      <c r="AO56" s="387" t="s">
        <v>7820</v>
      </c>
      <c r="AP56" s="202" t="s">
        <v>7821</v>
      </c>
      <c r="AQ56" s="202" t="s">
        <v>7807</v>
      </c>
      <c r="AR56" s="388" t="s">
        <v>1231</v>
      </c>
      <c r="AS56" s="388"/>
      <c r="AT56" s="388"/>
    </row>
    <row r="57">
      <c r="A57" s="197" t="s">
        <v>7822</v>
      </c>
      <c r="B57" s="198" t="s">
        <v>7822</v>
      </c>
      <c r="C57" s="198">
        <v>100.0</v>
      </c>
      <c r="D57" s="384" t="s">
        <v>1231</v>
      </c>
      <c r="E57" s="197" t="s">
        <v>7823</v>
      </c>
      <c r="F57" s="198" t="s">
        <v>7823</v>
      </c>
      <c r="G57" s="198">
        <v>100.0</v>
      </c>
      <c r="H57" s="384" t="str">
        <f>IFERROR(__xludf.DUMMYFUNCTION("GOOGLETRANSLATE(D57,""zh-tw"",""ja"")"),"-")</f>
        <v>-</v>
      </c>
      <c r="I57" s="197" t="s">
        <v>7824</v>
      </c>
      <c r="J57" s="198" t="s">
        <v>7824</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7825</v>
      </c>
      <c r="Z57" s="155" t="s">
        <v>7825</v>
      </c>
      <c r="AA57" s="155">
        <v>100.0</v>
      </c>
      <c r="AB57" s="384" t="s">
        <v>1231</v>
      </c>
      <c r="AC57" s="197" t="s">
        <v>7826</v>
      </c>
      <c r="AD57" s="198" t="s">
        <v>7826</v>
      </c>
      <c r="AE57" s="198">
        <v>100.0</v>
      </c>
      <c r="AF57" s="384" t="s">
        <v>1231</v>
      </c>
      <c r="AG57" s="187" t="s">
        <v>7827</v>
      </c>
      <c r="AH57" s="386" t="s">
        <v>7827</v>
      </c>
      <c r="AI57" s="386">
        <v>100.0</v>
      </c>
      <c r="AJ57" s="384" t="s">
        <v>1231</v>
      </c>
      <c r="AK57" s="197" t="s">
        <v>7828</v>
      </c>
      <c r="AL57" s="198" t="s">
        <v>7828</v>
      </c>
      <c r="AM57" s="198">
        <v>100.0</v>
      </c>
      <c r="AN57" s="384" t="s">
        <v>1231</v>
      </c>
      <c r="AO57" s="387" t="s">
        <v>7829</v>
      </c>
      <c r="AP57" s="202" t="s">
        <v>7829</v>
      </c>
      <c r="AQ57" s="202" t="s">
        <v>7203</v>
      </c>
      <c r="AR57" s="391" t="s">
        <v>1231</v>
      </c>
      <c r="AS57" s="391"/>
      <c r="AT57" s="391"/>
    </row>
    <row r="58">
      <c r="A58" s="197" t="s">
        <v>7830</v>
      </c>
      <c r="B58" s="198" t="s">
        <v>7831</v>
      </c>
      <c r="C58" s="198" t="s">
        <v>7832</v>
      </c>
      <c r="D58" s="384" t="s">
        <v>7833</v>
      </c>
      <c r="E58" s="197" t="str">
        <f>IFERROR(__xludf.DUMMYFUNCTION("GOOGLETRANSLATE(A58,""zh-tw"",""ja"")"),"イチゴの苗")</f>
        <v>イチゴの苗</v>
      </c>
      <c r="F58" s="198" t="str">
        <f>IFERROR(__xludf.DUMMYFUNCTION("GOOGLETRANSLATE(B58,""zh-tw"",""ja"")"),"いちご")</f>
        <v>いちご</v>
      </c>
      <c r="G58" s="198" t="s">
        <v>7832</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7834</v>
      </c>
      <c r="J58" s="198" t="s">
        <v>7835</v>
      </c>
      <c r="K58" s="198" t="s">
        <v>7832</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7832</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7832</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7836</v>
      </c>
      <c r="V58" s="198" t="str">
        <f>IFERROR(__xludf.DUMMYFUNCTION("GOOGLETRANSLATE(B58,""zh-tw"",""KO"")"),"딸기")</f>
        <v>딸기</v>
      </c>
      <c r="W58" s="198" t="s">
        <v>7832</v>
      </c>
      <c r="X58" s="384" t="str">
        <f>IFERROR(__xludf.DUMMYFUNCTION("GOOGLETRANSLATE(D58,""zh-tw"",""KO"")"),"아이템 2개가 드롭될 확률은 40%, 아이템 3개가 드롭될 확률은 8%입니다.")</f>
        <v>아이템 2개가 드롭될 확률은 40%, 아이템 3개가 드롭될 확률은 8%입니다.</v>
      </c>
      <c r="Y58" s="153" t="s">
        <v>7837</v>
      </c>
      <c r="Z58" s="155" t="s">
        <v>7838</v>
      </c>
      <c r="AA58" s="155" t="s">
        <v>7832</v>
      </c>
      <c r="AB58" s="384" t="s">
        <v>7839</v>
      </c>
      <c r="AC58" s="197" t="s">
        <v>7840</v>
      </c>
      <c r="AD58" s="198" t="s">
        <v>7841</v>
      </c>
      <c r="AE58" s="198" t="s">
        <v>7832</v>
      </c>
      <c r="AF58" s="384" t="s">
        <v>7842</v>
      </c>
      <c r="AG58" s="187" t="s">
        <v>7843</v>
      </c>
      <c r="AH58" s="386" t="s">
        <v>7844</v>
      </c>
      <c r="AI58" s="386" t="s">
        <v>7832</v>
      </c>
      <c r="AJ58" s="384" t="s">
        <v>7845</v>
      </c>
      <c r="AK58" s="197" t="s">
        <v>7846</v>
      </c>
      <c r="AL58" s="198" t="s">
        <v>7847</v>
      </c>
      <c r="AM58" s="198" t="s">
        <v>7832</v>
      </c>
      <c r="AN58" s="384" t="s">
        <v>7848</v>
      </c>
      <c r="AO58" s="387" t="s">
        <v>7849</v>
      </c>
      <c r="AP58" s="202" t="s">
        <v>7850</v>
      </c>
      <c r="AQ58" s="202" t="s">
        <v>7832</v>
      </c>
      <c r="AR58" s="388" t="s">
        <v>7851</v>
      </c>
      <c r="AS58" s="388"/>
      <c r="AT58" s="388"/>
    </row>
    <row r="59">
      <c r="A59" s="197" t="s">
        <v>7852</v>
      </c>
      <c r="B59" s="198" t="s">
        <v>7853</v>
      </c>
      <c r="C59" s="198" t="s">
        <v>7832</v>
      </c>
      <c r="D59" s="384" t="s">
        <v>7833</v>
      </c>
      <c r="E59" s="197" t="str">
        <f>IFERROR(__xludf.DUMMYFUNCTION("GOOGLETRANSLATE(A59,""zh-tw"",""ja"")"),"ジャガイモの芽")</f>
        <v>ジャガイモの芽</v>
      </c>
      <c r="F59" s="198" t="str">
        <f>IFERROR(__xludf.DUMMYFUNCTION("GOOGLETRANSLATE(B59,""zh-tw"",""ja"")"),"じゃがいも")</f>
        <v>じゃがいも</v>
      </c>
      <c r="G59" s="198" t="s">
        <v>7832</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7854</v>
      </c>
      <c r="J59" s="198" t="s">
        <v>7855</v>
      </c>
      <c r="K59" s="198" t="s">
        <v>7832</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7832</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7832</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7856</v>
      </c>
      <c r="V59" s="198" t="str">
        <f>IFERROR(__xludf.DUMMYFUNCTION("GOOGLETRANSLATE(B59,""zh-tw"",""KO"")"),"감자")</f>
        <v>감자</v>
      </c>
      <c r="W59" s="198" t="s">
        <v>7832</v>
      </c>
      <c r="X59" s="384" t="str">
        <f>IFERROR(__xludf.DUMMYFUNCTION("GOOGLETRANSLATE(D59,""zh-tw"",""KO"")"),"아이템 2개가 드롭될 확률은 40%, 아이템 3개가 드롭될 확률은 8%입니다.")</f>
        <v>아이템 2개가 드롭될 확률은 40%, 아이템 3개가 드롭될 확률은 8%입니다.</v>
      </c>
      <c r="Y59" s="153" t="s">
        <v>7857</v>
      </c>
      <c r="Z59" s="155" t="s">
        <v>7858</v>
      </c>
      <c r="AA59" s="155" t="s">
        <v>7832</v>
      </c>
      <c r="AB59" s="384" t="s">
        <v>7839</v>
      </c>
      <c r="AC59" s="197" t="s">
        <v>7859</v>
      </c>
      <c r="AD59" s="198" t="s">
        <v>7860</v>
      </c>
      <c r="AE59" s="198" t="s">
        <v>7832</v>
      </c>
      <c r="AF59" s="384" t="s">
        <v>7842</v>
      </c>
      <c r="AG59" s="187" t="s">
        <v>7861</v>
      </c>
      <c r="AH59" s="386" t="s">
        <v>7862</v>
      </c>
      <c r="AI59" s="386" t="s">
        <v>7832</v>
      </c>
      <c r="AJ59" s="384" t="s">
        <v>7845</v>
      </c>
      <c r="AK59" s="197" t="s">
        <v>7863</v>
      </c>
      <c r="AL59" s="198" t="s">
        <v>7864</v>
      </c>
      <c r="AM59" s="198" t="s">
        <v>7832</v>
      </c>
      <c r="AN59" s="384" t="s">
        <v>7848</v>
      </c>
      <c r="AO59" s="387" t="s">
        <v>7865</v>
      </c>
      <c r="AP59" s="202" t="s">
        <v>7866</v>
      </c>
      <c r="AQ59" s="202" t="s">
        <v>7832</v>
      </c>
      <c r="AR59" s="388" t="s">
        <v>7851</v>
      </c>
      <c r="AS59" s="388"/>
      <c r="AT59" s="388"/>
    </row>
    <row r="60">
      <c r="A60" s="197" t="s">
        <v>7867</v>
      </c>
      <c r="B60" s="198" t="s">
        <v>7868</v>
      </c>
      <c r="C60" s="198" t="s">
        <v>7832</v>
      </c>
      <c r="D60" s="384" t="s">
        <v>7833</v>
      </c>
      <c r="E60" s="197" t="str">
        <f>IFERROR(__xludf.DUMMYFUNCTION("GOOGLETRANSLATE(A60,""zh-tw"",""ja"")"),"トマトの苗")</f>
        <v>トマトの苗</v>
      </c>
      <c r="F60" s="198" t="str">
        <f>IFERROR(__xludf.DUMMYFUNCTION("GOOGLETRANSLATE(B60,""zh-tw"",""ja"")"),"トマト")</f>
        <v>トマト</v>
      </c>
      <c r="G60" s="198" t="s">
        <v>7832</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7869</v>
      </c>
      <c r="J60" s="198" t="s">
        <v>7870</v>
      </c>
      <c r="K60" s="198" t="s">
        <v>7832</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7832</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7832</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7832</v>
      </c>
      <c r="X60" s="384" t="str">
        <f>IFERROR(__xludf.DUMMYFUNCTION("GOOGLETRANSLATE(D60,""zh-tw"",""KO"")"),"아이템 2개가 드롭될 확률은 40%, 아이템 3개가 드롭될 확률은 8%입니다.")</f>
        <v>아이템 2개가 드롭될 확률은 40%, 아이템 3개가 드롭될 확률은 8%입니다.</v>
      </c>
      <c r="Y60" s="153" t="s">
        <v>7871</v>
      </c>
      <c r="Z60" s="155" t="s">
        <v>7872</v>
      </c>
      <c r="AA60" s="155" t="s">
        <v>7832</v>
      </c>
      <c r="AB60" s="384" t="s">
        <v>7839</v>
      </c>
      <c r="AC60" s="197" t="s">
        <v>7873</v>
      </c>
      <c r="AD60" s="198" t="s">
        <v>7874</v>
      </c>
      <c r="AE60" s="198" t="s">
        <v>7832</v>
      </c>
      <c r="AF60" s="384" t="s">
        <v>7842</v>
      </c>
      <c r="AG60" s="187" t="s">
        <v>7875</v>
      </c>
      <c r="AH60" s="386" t="s">
        <v>7876</v>
      </c>
      <c r="AI60" s="386" t="s">
        <v>7832</v>
      </c>
      <c r="AJ60" s="384" t="s">
        <v>7845</v>
      </c>
      <c r="AK60" s="197" t="s">
        <v>7877</v>
      </c>
      <c r="AL60" s="198" t="s">
        <v>7878</v>
      </c>
      <c r="AM60" s="198" t="s">
        <v>7832</v>
      </c>
      <c r="AN60" s="384" t="s">
        <v>7848</v>
      </c>
      <c r="AO60" s="387" t="s">
        <v>7879</v>
      </c>
      <c r="AP60" s="202" t="s">
        <v>7880</v>
      </c>
      <c r="AQ60" s="202" t="s">
        <v>7832</v>
      </c>
      <c r="AR60" s="388" t="s">
        <v>7851</v>
      </c>
      <c r="AS60" s="388"/>
      <c r="AT60" s="388"/>
    </row>
    <row r="61">
      <c r="A61" s="197" t="s">
        <v>7881</v>
      </c>
      <c r="B61" s="198" t="s">
        <v>7882</v>
      </c>
      <c r="C61" s="198" t="s">
        <v>7832</v>
      </c>
      <c r="D61" s="384" t="s">
        <v>7833</v>
      </c>
      <c r="E61" s="197" t="str">
        <f>IFERROR(__xludf.DUMMYFUNCTION("GOOGLETRANSLATE(A61,""zh-tw"",""ja"")"),"唐辛子の苗")</f>
        <v>唐辛子の苗</v>
      </c>
      <c r="F61" s="198" t="str">
        <f>IFERROR(__xludf.DUMMYFUNCTION("GOOGLETRANSLATE(B61,""zh-tw"",""ja"")"),"チリ")</f>
        <v>チリ</v>
      </c>
      <c r="G61" s="198" t="s">
        <v>7832</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7883</v>
      </c>
      <c r="J61" s="198" t="s">
        <v>7884</v>
      </c>
      <c r="K61" s="198" t="s">
        <v>7832</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7832</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7832</v>
      </c>
      <c r="X61" s="384" t="str">
        <f>IFERROR(__xludf.DUMMYFUNCTION("GOOGLETRANSLATE(D61,""zh-tw"",""KO"")"),"아이템 2개가 드롭될 확률은 40%, 아이템 3개가 드롭될 확률은 8%입니다.")</f>
        <v>아이템 2개가 드롭될 확률은 40%, 아이템 3개가 드롭될 확률은 8%입니다.</v>
      </c>
      <c r="Y61" s="153" t="s">
        <v>7885</v>
      </c>
      <c r="Z61" s="155" t="s">
        <v>7886</v>
      </c>
      <c r="AA61" s="155" t="s">
        <v>7832</v>
      </c>
      <c r="AB61" s="384" t="s">
        <v>7839</v>
      </c>
      <c r="AC61" s="197" t="s">
        <v>7887</v>
      </c>
      <c r="AD61" s="198" t="s">
        <v>7888</v>
      </c>
      <c r="AE61" s="198" t="s">
        <v>7832</v>
      </c>
      <c r="AF61" s="384" t="s">
        <v>7842</v>
      </c>
      <c r="AG61" s="187" t="s">
        <v>7889</v>
      </c>
      <c r="AH61" s="386" t="s">
        <v>7890</v>
      </c>
      <c r="AI61" s="386" t="s">
        <v>7832</v>
      </c>
      <c r="AJ61" s="384" t="s">
        <v>7845</v>
      </c>
      <c r="AK61" s="197" t="s">
        <v>7891</v>
      </c>
      <c r="AL61" s="198" t="s">
        <v>7892</v>
      </c>
      <c r="AM61" s="198" t="s">
        <v>7832</v>
      </c>
      <c r="AN61" s="384" t="s">
        <v>7848</v>
      </c>
      <c r="AO61" s="387" t="s">
        <v>7893</v>
      </c>
      <c r="AP61" s="202" t="s">
        <v>7894</v>
      </c>
      <c r="AQ61" s="202" t="s">
        <v>7832</v>
      </c>
      <c r="AR61" s="388" t="s">
        <v>7851</v>
      </c>
      <c r="AS61" s="388"/>
      <c r="AT61" s="388"/>
    </row>
    <row r="62">
      <c r="A62" s="381" t="s">
        <v>7895</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7896</v>
      </c>
      <c r="AK62" s="381" t="s">
        <v>4803</v>
      </c>
      <c r="AO62" s="392" t="s">
        <v>7897</v>
      </c>
      <c r="AS62" s="392"/>
      <c r="AT62" s="392"/>
    </row>
    <row r="63">
      <c r="A63" s="197" t="s">
        <v>7898</v>
      </c>
      <c r="B63" s="198" t="s">
        <v>7899</v>
      </c>
      <c r="C63" s="198">
        <v>35.0</v>
      </c>
      <c r="D63" s="384" t="s">
        <v>1231</v>
      </c>
      <c r="E63" s="197" t="s">
        <v>7900</v>
      </c>
      <c r="F63" s="198" t="s">
        <v>7901</v>
      </c>
      <c r="G63" s="198">
        <v>35.0</v>
      </c>
      <c r="H63" s="384" t="str">
        <f>IFERROR(__xludf.DUMMYFUNCTION("GOOGLETRANSLATE(D63,""zh-tw"",""ja"")"),"-")</f>
        <v>-</v>
      </c>
      <c r="I63" s="197" t="s">
        <v>7902</v>
      </c>
      <c r="J63" s="198" t="s">
        <v>7903</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7904</v>
      </c>
      <c r="W63" s="198">
        <v>35.0</v>
      </c>
      <c r="X63" s="384" t="str">
        <f>IFERROR(__xludf.DUMMYFUNCTION("GOOGLETRANSLATE(D63,""zh-tw"",""KO"")"),"-")</f>
        <v>-</v>
      </c>
      <c r="Y63" s="153" t="s">
        <v>7905</v>
      </c>
      <c r="Z63" s="155" t="s">
        <v>7906</v>
      </c>
      <c r="AA63" s="155">
        <v>35.0</v>
      </c>
      <c r="AB63" s="384" t="s">
        <v>1231</v>
      </c>
      <c r="AC63" s="197" t="s">
        <v>7907</v>
      </c>
      <c r="AD63" s="198" t="s">
        <v>7908</v>
      </c>
      <c r="AE63" s="198">
        <v>35.0</v>
      </c>
      <c r="AF63" s="384" t="s">
        <v>7909</v>
      </c>
      <c r="AG63" s="187" t="s">
        <v>7910</v>
      </c>
      <c r="AH63" s="386" t="s">
        <v>7911</v>
      </c>
      <c r="AI63" s="386">
        <v>35.0</v>
      </c>
      <c r="AJ63" s="384" t="s">
        <v>1231</v>
      </c>
      <c r="AK63" s="197" t="s">
        <v>7912</v>
      </c>
      <c r="AL63" s="198" t="s">
        <v>7913</v>
      </c>
      <c r="AM63" s="198">
        <v>35.0</v>
      </c>
      <c r="AN63" s="384" t="s">
        <v>1231</v>
      </c>
      <c r="AO63" s="387" t="s">
        <v>7914</v>
      </c>
      <c r="AP63" s="202" t="s">
        <v>7915</v>
      </c>
      <c r="AQ63" s="202" t="s">
        <v>7916</v>
      </c>
      <c r="AR63" s="388" t="s">
        <v>1231</v>
      </c>
      <c r="AS63" s="388"/>
      <c r="AT63" s="388"/>
    </row>
    <row r="64">
      <c r="A64" s="197" t="s">
        <v>7917</v>
      </c>
      <c r="B64" s="198" t="s">
        <v>7918</v>
      </c>
      <c r="C64" s="198" t="s">
        <v>7919</v>
      </c>
      <c r="D64" s="384" t="s">
        <v>1231</v>
      </c>
      <c r="E64" s="197" t="s">
        <v>7920</v>
      </c>
      <c r="F64" s="198" t="str">
        <f>IFERROR(__xludf.DUMMYFUNCTION("GOOGLETRANSLATE(B64,""zh-tw"",""ja"")"),"溶岩リング
紫品質アイテム")</f>
        <v>溶岩リング
紫品質アイテム</v>
      </c>
      <c r="G64" s="198" t="s">
        <v>7919</v>
      </c>
      <c r="H64" s="384" t="str">
        <f>IFERROR(__xludf.DUMMYFUNCTION("GOOGLETRANSLATE(D64,""zh-tw"",""ja"")"),"-")</f>
        <v>-</v>
      </c>
      <c r="I64" s="197" t="s">
        <v>7921</v>
      </c>
      <c r="J64" s="198" t="s">
        <v>7922</v>
      </c>
      <c r="K64" s="198" t="s">
        <v>7919</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7919</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7919</v>
      </c>
      <c r="T64" s="384" t="str">
        <f>IFERROR(__xludf.DUMMYFUNCTION("GOOGLETRANSLATE(D64,""zh-tw"",""es-MX"")"),"-")</f>
        <v>-</v>
      </c>
      <c r="U64" s="197" t="str">
        <f>IFERROR(__xludf.DUMMYFUNCTION("GOOGLETRANSLATE(A64,""zh-tw"",""KO"")"),"불타는 슬라임")</f>
        <v>불타는 슬라임</v>
      </c>
      <c r="V64" s="198" t="s">
        <v>7923</v>
      </c>
      <c r="W64" s="198" t="s">
        <v>7919</v>
      </c>
      <c r="X64" s="384" t="str">
        <f>IFERROR(__xludf.DUMMYFUNCTION("GOOGLETRANSLATE(D64,""zh-tw"",""KO"")"),"-")</f>
        <v>-</v>
      </c>
      <c r="Y64" s="153" t="s">
        <v>7924</v>
      </c>
      <c r="Z64" s="155" t="s">
        <v>7925</v>
      </c>
      <c r="AA64" s="155" t="s">
        <v>7919</v>
      </c>
      <c r="AB64" s="384" t="s">
        <v>1231</v>
      </c>
      <c r="AC64" s="197" t="s">
        <v>7926</v>
      </c>
      <c r="AD64" s="198" t="s">
        <v>7927</v>
      </c>
      <c r="AE64" s="198" t="s">
        <v>7919</v>
      </c>
      <c r="AF64" s="384" t="s">
        <v>7909</v>
      </c>
      <c r="AG64" s="187" t="s">
        <v>7928</v>
      </c>
      <c r="AH64" s="386" t="s">
        <v>7929</v>
      </c>
      <c r="AI64" s="386" t="s">
        <v>7919</v>
      </c>
      <c r="AJ64" s="384" t="s">
        <v>1231</v>
      </c>
      <c r="AK64" s="197" t="s">
        <v>7930</v>
      </c>
      <c r="AL64" s="198" t="s">
        <v>7931</v>
      </c>
      <c r="AM64" s="198" t="s">
        <v>7919</v>
      </c>
      <c r="AN64" s="384" t="s">
        <v>1231</v>
      </c>
      <c r="AO64" s="387" t="s">
        <v>7932</v>
      </c>
      <c r="AP64" s="202" t="s">
        <v>7933</v>
      </c>
      <c r="AQ64" s="202" t="s">
        <v>7919</v>
      </c>
      <c r="AR64" s="388" t="s">
        <v>1231</v>
      </c>
      <c r="AS64" s="388"/>
      <c r="AT64" s="388"/>
    </row>
    <row r="65">
      <c r="A65" s="197" t="s">
        <v>7934</v>
      </c>
      <c r="B65" s="198" t="s">
        <v>7935</v>
      </c>
      <c r="C65" s="198" t="s">
        <v>7936</v>
      </c>
      <c r="D65" s="384" t="s">
        <v>1231</v>
      </c>
      <c r="E65" s="197" t="s">
        <v>7934</v>
      </c>
      <c r="F65" s="198" t="str">
        <f>IFERROR(__xludf.DUMMYFUNCTION("GOOGLETRANSLATE(B65,""zh-tw"",""ja"")"),"溶岩の杖
サンファイア
サンホイール")</f>
        <v>溶岩の杖
サンファイア
サンホイール</v>
      </c>
      <c r="G65" s="198" t="s">
        <v>7936</v>
      </c>
      <c r="H65" s="384" t="str">
        <f>IFERROR(__xludf.DUMMYFUNCTION("GOOGLETRANSLATE(D65,""zh-tw"",""ja"")"),"-")</f>
        <v>-</v>
      </c>
      <c r="I65" s="197" t="s">
        <v>7937</v>
      </c>
      <c r="J65" s="198" t="s">
        <v>7938</v>
      </c>
      <c r="K65" s="198" t="s">
        <v>7936</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7936</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7936</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7936</v>
      </c>
      <c r="X65" s="384" t="str">
        <f>IFERROR(__xludf.DUMMYFUNCTION("GOOGLETRANSLATE(D65,""zh-tw"",""KO"")"),"-")</f>
        <v>-</v>
      </c>
      <c r="Y65" s="153" t="s">
        <v>7939</v>
      </c>
      <c r="Z65" s="155" t="s">
        <v>7940</v>
      </c>
      <c r="AA65" s="155" t="s">
        <v>7936</v>
      </c>
      <c r="AB65" s="384" t="s">
        <v>1231</v>
      </c>
      <c r="AC65" s="197" t="s">
        <v>7937</v>
      </c>
      <c r="AD65" s="198" t="s">
        <v>7941</v>
      </c>
      <c r="AE65" s="198" t="s">
        <v>7936</v>
      </c>
      <c r="AF65" s="384" t="s">
        <v>7909</v>
      </c>
      <c r="AG65" s="187" t="s">
        <v>7937</v>
      </c>
      <c r="AH65" s="386" t="s">
        <v>7942</v>
      </c>
      <c r="AI65" s="386" t="s">
        <v>7936</v>
      </c>
      <c r="AJ65" s="384" t="s">
        <v>1231</v>
      </c>
      <c r="AK65" s="197" t="s">
        <v>7937</v>
      </c>
      <c r="AL65" s="167" t="s">
        <v>7943</v>
      </c>
      <c r="AM65" s="198" t="s">
        <v>7936</v>
      </c>
      <c r="AN65" s="384" t="s">
        <v>1231</v>
      </c>
      <c r="AO65" s="387" t="s">
        <v>7937</v>
      </c>
      <c r="AP65" s="202" t="s">
        <v>7944</v>
      </c>
      <c r="AQ65" s="202" t="s">
        <v>7936</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7945</v>
      </c>
      <c r="B1" s="84" t="s">
        <v>7946</v>
      </c>
      <c r="C1" s="397" t="str">
        <f>IFERROR(__xludf.DUMMYFUNCTION("GOOGLETRANSLATE(A1,""zh-tw"",""ja"")"),"武器プロジェクト")</f>
        <v>武器プロジェクト</v>
      </c>
      <c r="D1" s="84" t="str">
        <f>IFERROR(__xludf.DUMMYFUNCTION("GOOGLETRANSLATE(B1,""zh-tw"",""ja"")"),"武器の属性")</f>
        <v>武器の属性</v>
      </c>
      <c r="E1" s="397" t="s">
        <v>7947</v>
      </c>
      <c r="F1" s="84" t="s">
        <v>7948</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7949</v>
      </c>
      <c r="N1" s="27" t="s">
        <v>7950</v>
      </c>
      <c r="O1" s="397" t="s">
        <v>7951</v>
      </c>
      <c r="P1" s="84" t="s">
        <v>7952</v>
      </c>
      <c r="Q1" s="401" t="s">
        <v>7953</v>
      </c>
      <c r="R1" s="402" t="s">
        <v>7954</v>
      </c>
      <c r="S1" s="86" t="s">
        <v>7955</v>
      </c>
      <c r="T1" s="88" t="s">
        <v>7956</v>
      </c>
      <c r="U1" s="86"/>
      <c r="V1" s="88"/>
      <c r="W1" s="88"/>
      <c r="X1" s="88"/>
      <c r="Y1" s="88"/>
      <c r="Z1" s="88"/>
    </row>
    <row r="2">
      <c r="A2" s="403" t="s">
        <v>7957</v>
      </c>
      <c r="B2" s="167" t="s">
        <v>7958</v>
      </c>
      <c r="C2" s="404" t="s">
        <v>7959</v>
      </c>
      <c r="D2" s="202" t="s">
        <v>7960</v>
      </c>
      <c r="E2" s="404" t="s">
        <v>7961</v>
      </c>
      <c r="F2" s="202" t="s">
        <v>7962</v>
      </c>
      <c r="G2" s="404" t="str">
        <f>IFERROR(__xludf.DUMMYFUNCTION("GOOGLETRANSLATE(A2,""zh-tw"",""zh"")"),"握紧的拳头")</f>
        <v>握紧的拳头</v>
      </c>
      <c r="H2" s="202" t="str">
        <f>IFERROR(__xludf.DUMMYFUNCTION("GOOGLETRANSLATE(B2,""zh-tw"",""zh"")"),"物攻：2
攻击依照最大体力增加")</f>
        <v>物攻：2
攻击依照最大体力增加</v>
      </c>
      <c r="I2" s="403" t="s">
        <v>7963</v>
      </c>
      <c r="J2" s="198" t="str">
        <f>IFERROR(__xludf.DUMMYFUNCTION("GOOGLETRANSLATE(B2,""zh-tw"",""es-MX"")"),"Ataque físico: 2. El poder de ataque aumenta según el HP máximo.")</f>
        <v>Ataque físico: 2. El poder de ataque aumenta según el HP máximo.</v>
      </c>
      <c r="K2" s="403" t="s">
        <v>7964</v>
      </c>
      <c r="L2" s="167" t="s">
        <v>7965</v>
      </c>
      <c r="M2" s="404" t="s">
        <v>7966</v>
      </c>
      <c r="N2" s="202" t="s">
        <v>7967</v>
      </c>
      <c r="O2" s="404" t="s">
        <v>7968</v>
      </c>
      <c r="P2" s="202" t="s">
        <v>7969</v>
      </c>
      <c r="Q2" s="405" t="s">
        <v>7970</v>
      </c>
      <c r="R2" s="406" t="s">
        <v>7971</v>
      </c>
      <c r="S2" s="197" t="s">
        <v>7972</v>
      </c>
      <c r="T2" s="198" t="s">
        <v>7973</v>
      </c>
      <c r="U2" s="197"/>
      <c r="V2" s="198"/>
      <c r="W2" s="198"/>
      <c r="X2" s="198"/>
      <c r="Y2" s="198"/>
      <c r="Z2" s="198"/>
    </row>
    <row r="3">
      <c r="A3" s="404" t="s">
        <v>7974</v>
      </c>
      <c r="B3" s="202" t="s">
        <v>7975</v>
      </c>
      <c r="C3" s="404" t="s">
        <v>7976</v>
      </c>
      <c r="D3" s="202" t="s">
        <v>7977</v>
      </c>
      <c r="E3" s="404" t="s">
        <v>7978</v>
      </c>
      <c r="F3" s="202" t="s">
        <v>7979</v>
      </c>
      <c r="G3" s="404" t="str">
        <f>IFERROR(__xludf.DUMMYFUNCTION("GOOGLETRANSLATE(A3,""zh-tw"",""zh"")"),"硬木剑")</f>
        <v>硬木剑</v>
      </c>
      <c r="H3" s="202" t="str">
        <f>IFERROR(__xludf.DUMMYFUNCTION("GOOGLETRANSLATE(B3,""zh-tw"",""zh"")"),"物攻：15")</f>
        <v>物攻：15</v>
      </c>
      <c r="I3" s="403" t="s">
        <v>7980</v>
      </c>
      <c r="J3" s="198" t="str">
        <f>IFERROR(__xludf.DUMMYFUNCTION("GOOGLETRANSLATE(B3,""zh-tw"",""es-MX"")"),"Ataque físico: 15")</f>
        <v>Ataque físico: 15</v>
      </c>
      <c r="K3" s="404" t="s">
        <v>7981</v>
      </c>
      <c r="L3" s="167" t="s">
        <v>7982</v>
      </c>
      <c r="M3" s="404" t="s">
        <v>7983</v>
      </c>
      <c r="N3" s="202" t="s">
        <v>7984</v>
      </c>
      <c r="O3" s="404" t="s">
        <v>7985</v>
      </c>
      <c r="P3" s="202" t="s">
        <v>7986</v>
      </c>
      <c r="Q3" s="405" t="s">
        <v>7987</v>
      </c>
      <c r="R3" s="406" t="s">
        <v>7988</v>
      </c>
      <c r="S3" s="197" t="s">
        <v>7989</v>
      </c>
      <c r="T3" s="198" t="s">
        <v>7990</v>
      </c>
      <c r="U3" s="197"/>
      <c r="V3" s="198"/>
      <c r="W3" s="198"/>
      <c r="X3" s="198"/>
      <c r="Y3" s="198"/>
      <c r="Z3" s="198"/>
    </row>
    <row r="4">
      <c r="A4" s="404" t="s">
        <v>7991</v>
      </c>
      <c r="B4" s="202" t="s">
        <v>7992</v>
      </c>
      <c r="C4" s="404" t="s">
        <v>7993</v>
      </c>
      <c r="D4" s="202" t="s">
        <v>7994</v>
      </c>
      <c r="E4" s="404" t="s">
        <v>7995</v>
      </c>
      <c r="F4" s="202" t="s">
        <v>7996</v>
      </c>
      <c r="G4" s="404" t="str">
        <f>IFERROR(__xludf.DUMMYFUNCTION("GOOGLETRANSLATE(A4,""zh-tw"",""zh"")"),"硬木棒")</f>
        <v>硬木棒</v>
      </c>
      <c r="H4" s="202" t="str">
        <f>IFERROR(__xludf.DUMMYFUNCTION("GOOGLETRANSLATE(B4,""zh-tw"",""zh"")"),"物攻：14")</f>
        <v>物攻：14</v>
      </c>
      <c r="I4" s="403" t="s">
        <v>7997</v>
      </c>
      <c r="J4" s="198" t="str">
        <f>IFERROR(__xludf.DUMMYFUNCTION("GOOGLETRANSLATE(B4,""zh-tw"",""es-MX"")"),"Ataque físico: 14")</f>
        <v>Ataque físico: 14</v>
      </c>
      <c r="K4" s="407" t="str">
        <f>IFERROR(__xludf.DUMMYFUNCTION("GOOGLETRANSLATE(A4,""zh-tw"",""KO"")"),"단단한 나무 막대기")</f>
        <v>단단한 나무 막대기</v>
      </c>
      <c r="L4" s="167" t="s">
        <v>7998</v>
      </c>
      <c r="M4" s="404" t="s">
        <v>7999</v>
      </c>
      <c r="N4" s="202" t="s">
        <v>8000</v>
      </c>
      <c r="O4" s="404" t="s">
        <v>8001</v>
      </c>
      <c r="P4" s="202" t="s">
        <v>8002</v>
      </c>
      <c r="Q4" s="405" t="s">
        <v>8003</v>
      </c>
      <c r="R4" s="406" t="s">
        <v>8004</v>
      </c>
      <c r="S4" s="197" t="s">
        <v>8005</v>
      </c>
      <c r="T4" s="198" t="s">
        <v>8006</v>
      </c>
      <c r="U4" s="197"/>
      <c r="V4" s="198"/>
      <c r="W4" s="198"/>
      <c r="X4" s="198"/>
      <c r="Y4" s="198"/>
      <c r="Z4" s="198"/>
    </row>
    <row r="5">
      <c r="A5" s="404" t="s">
        <v>8007</v>
      </c>
      <c r="B5" s="202" t="s">
        <v>8008</v>
      </c>
      <c r="C5" s="404" t="s">
        <v>8009</v>
      </c>
      <c r="D5" s="202" t="s">
        <v>8010</v>
      </c>
      <c r="E5" s="404" t="s">
        <v>8011</v>
      </c>
      <c r="F5" s="202" t="s">
        <v>8012</v>
      </c>
      <c r="G5" s="404" t="str">
        <f>IFERROR(__xludf.DUMMYFUNCTION("GOOGLETRANSLATE(A5,""zh-tw"",""zh"")"),"伐木斧")</f>
        <v>伐木斧</v>
      </c>
      <c r="H5" s="202" t="str">
        <f>IFERROR(__xludf.DUMMYFUNCTION("GOOGLETRANSLATE(B5,""zh-tw"",""zh"")"),"物攻：24")</f>
        <v>物攻：24</v>
      </c>
      <c r="I5" s="403" t="s">
        <v>8013</v>
      </c>
      <c r="J5" s="198" t="str">
        <f>IFERROR(__xludf.DUMMYFUNCTION("GOOGLETRANSLATE(B5,""zh-tw"",""es-MX"")"),"Ataque físico: 24")</f>
        <v>Ataque físico: 24</v>
      </c>
      <c r="K5" s="403" t="s">
        <v>8014</v>
      </c>
      <c r="L5" s="167" t="s">
        <v>8015</v>
      </c>
      <c r="M5" s="404" t="s">
        <v>8016</v>
      </c>
      <c r="N5" s="202" t="s">
        <v>8017</v>
      </c>
      <c r="O5" s="404" t="s">
        <v>8018</v>
      </c>
      <c r="P5" s="202" t="s">
        <v>8019</v>
      </c>
      <c r="Q5" s="405" t="s">
        <v>8020</v>
      </c>
      <c r="R5" s="406" t="s">
        <v>8021</v>
      </c>
      <c r="S5" s="197" t="s">
        <v>8022</v>
      </c>
      <c r="T5" s="198" t="s">
        <v>8023</v>
      </c>
      <c r="U5" s="197"/>
      <c r="V5" s="198"/>
      <c r="W5" s="198"/>
      <c r="X5" s="198"/>
      <c r="Y5" s="198"/>
      <c r="Z5" s="198"/>
    </row>
    <row r="6">
      <c r="A6" s="404" t="s">
        <v>7647</v>
      </c>
      <c r="B6" s="202" t="s">
        <v>8024</v>
      </c>
      <c r="C6" s="404" t="s">
        <v>8025</v>
      </c>
      <c r="D6" s="202" t="s">
        <v>8026</v>
      </c>
      <c r="E6" s="404" t="s">
        <v>7650</v>
      </c>
      <c r="F6" s="202" t="s">
        <v>8027</v>
      </c>
      <c r="G6" s="404" t="str">
        <f>IFERROR(__xludf.DUMMYFUNCTION("GOOGLETRANSLATE(A6,""zh-tw"",""zh"")"),"骑士之剑")</f>
        <v>骑士之剑</v>
      </c>
      <c r="H6" s="202" t="str">
        <f>IFERROR(__xludf.DUMMYFUNCTION("GOOGLETRANSLATE(B6,""zh-tw"",""zh"")"),"物攻：30
满足条件后翻倍")</f>
        <v>物攻：30
满足条件后翻倍</v>
      </c>
      <c r="I6" s="403" t="s">
        <v>8028</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8029</v>
      </c>
      <c r="M6" s="404" t="s">
        <v>7654</v>
      </c>
      <c r="N6" s="202" t="s">
        <v>8030</v>
      </c>
      <c r="O6" s="404" t="s">
        <v>7656</v>
      </c>
      <c r="P6" s="202" t="s">
        <v>8031</v>
      </c>
      <c r="Q6" s="405" t="s">
        <v>8032</v>
      </c>
      <c r="R6" s="406" t="s">
        <v>8033</v>
      </c>
      <c r="S6" s="197" t="s">
        <v>7661</v>
      </c>
      <c r="T6" s="198" t="s">
        <v>8034</v>
      </c>
      <c r="U6" s="197"/>
      <c r="V6" s="198"/>
      <c r="W6" s="198"/>
      <c r="X6" s="198"/>
      <c r="Y6" s="198"/>
      <c r="Z6" s="198"/>
    </row>
    <row r="7">
      <c r="A7" s="404" t="s">
        <v>8035</v>
      </c>
      <c r="B7" s="202" t="s">
        <v>8036</v>
      </c>
      <c r="C7" s="404" t="s">
        <v>8037</v>
      </c>
      <c r="D7" s="202" t="s">
        <v>8038</v>
      </c>
      <c r="E7" s="404" t="s">
        <v>8039</v>
      </c>
      <c r="F7" s="202" t="s">
        <v>8040</v>
      </c>
      <c r="G7" s="404" t="str">
        <f>IFERROR(__xludf.DUMMYFUNCTION("GOOGLETRANSLATE(A7,""zh-tw"",""zh"")"),"兽人的骨釜")</f>
        <v>兽人的骨釜</v>
      </c>
      <c r="H7" s="202" t="str">
        <f>IFERROR(__xludf.DUMMYFUNCTION("GOOGLETRANSLATE(B7,""zh-tw"",""zh"")"),"物攻：42")</f>
        <v>物攻：42</v>
      </c>
      <c r="I7" s="403" t="s">
        <v>8041</v>
      </c>
      <c r="J7" s="198" t="str">
        <f>IFERROR(__xludf.DUMMYFUNCTION("GOOGLETRANSLATE(B7,""zh-tw"",""es-MX"")"),"Ataque físico: 42")</f>
        <v>Ataque físico: 42</v>
      </c>
      <c r="K7" s="404" t="s">
        <v>8042</v>
      </c>
      <c r="L7" s="167" t="s">
        <v>8043</v>
      </c>
      <c r="M7" s="404" t="s">
        <v>8044</v>
      </c>
      <c r="N7" s="202" t="s">
        <v>8045</v>
      </c>
      <c r="O7" s="404" t="s">
        <v>8046</v>
      </c>
      <c r="P7" s="202" t="s">
        <v>8047</v>
      </c>
      <c r="Q7" s="405" t="s">
        <v>8048</v>
      </c>
      <c r="R7" s="406" t="s">
        <v>8049</v>
      </c>
      <c r="S7" s="197" t="s">
        <v>8050</v>
      </c>
      <c r="T7" s="198" t="s">
        <v>8051</v>
      </c>
      <c r="U7" s="197"/>
      <c r="V7" s="198"/>
      <c r="W7" s="198"/>
      <c r="X7" s="198"/>
      <c r="Y7" s="198"/>
      <c r="Z7" s="198"/>
    </row>
    <row r="8">
      <c r="A8" s="407" t="s">
        <v>8052</v>
      </c>
      <c r="B8" s="198" t="s">
        <v>8053</v>
      </c>
      <c r="C8" s="407" t="s">
        <v>8054</v>
      </c>
      <c r="D8" s="155" t="s">
        <v>8055</v>
      </c>
      <c r="E8" s="408" t="s">
        <v>8056</v>
      </c>
      <c r="F8" s="155" t="s">
        <v>8057</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8060</v>
      </c>
      <c r="N8" s="202" t="s">
        <v>8061</v>
      </c>
      <c r="O8" s="408" t="s">
        <v>8062</v>
      </c>
      <c r="P8" s="155" t="s">
        <v>8063</v>
      </c>
      <c r="Q8" s="409" t="s">
        <v>8064</v>
      </c>
      <c r="R8" s="406" t="s">
        <v>8065</v>
      </c>
      <c r="S8" s="197" t="s">
        <v>8066</v>
      </c>
      <c r="T8" s="198" t="s">
        <v>8067</v>
      </c>
      <c r="U8" s="197"/>
      <c r="V8" s="198"/>
      <c r="W8" s="198"/>
      <c r="X8" s="198"/>
      <c r="Y8" s="198"/>
      <c r="Z8" s="198"/>
    </row>
    <row r="9">
      <c r="A9" s="404" t="s">
        <v>8068</v>
      </c>
      <c r="B9" s="202" t="s">
        <v>8069</v>
      </c>
      <c r="C9" s="404" t="s">
        <v>8070</v>
      </c>
      <c r="D9" s="202" t="s">
        <v>8071</v>
      </c>
      <c r="E9" s="404" t="s">
        <v>8072</v>
      </c>
      <c r="F9" s="202" t="s">
        <v>8073</v>
      </c>
      <c r="G9" s="404" t="str">
        <f>IFERROR(__xludf.DUMMYFUNCTION("GOOGLETRANSLATE(A9,""zh-tw"",""zh"")"),"棒球棍")</f>
        <v>棒球棍</v>
      </c>
      <c r="H9" s="202" t="str">
        <f>IFERROR(__xludf.DUMMYFUNCTION("GOOGLETRANSLATE(B9,""zh-tw"",""zh"")"),"物攻：20
反弹抛射物")</f>
        <v>物攻：20
反弹抛射物</v>
      </c>
      <c r="I9" s="403" t="s">
        <v>8074</v>
      </c>
      <c r="J9" s="198" t="str">
        <f>IFERROR(__xludf.DUMMYFUNCTION("GOOGLETRANSLATE(B9,""zh-tw"",""es-MX"")"),"Ataque físico: 20 Refleja proyectiles")</f>
        <v>Ataque físico: 20 Refleja proyectiles</v>
      </c>
      <c r="K9" s="403" t="s">
        <v>8075</v>
      </c>
      <c r="L9" s="167" t="s">
        <v>8076</v>
      </c>
      <c r="M9" s="404" t="s">
        <v>8077</v>
      </c>
      <c r="N9" s="202" t="s">
        <v>8078</v>
      </c>
      <c r="O9" s="404" t="s">
        <v>8079</v>
      </c>
      <c r="P9" s="202" t="s">
        <v>8080</v>
      </c>
      <c r="Q9" s="405" t="s">
        <v>8081</v>
      </c>
      <c r="R9" s="406" t="s">
        <v>8082</v>
      </c>
      <c r="S9" s="197" t="s">
        <v>8083</v>
      </c>
      <c r="T9" s="198" t="s">
        <v>8084</v>
      </c>
      <c r="U9" s="197"/>
      <c r="V9" s="198"/>
      <c r="W9" s="198"/>
      <c r="X9" s="198"/>
      <c r="Y9" s="198"/>
      <c r="Z9" s="198"/>
    </row>
    <row r="10">
      <c r="A10" s="404" t="s">
        <v>8085</v>
      </c>
      <c r="B10" s="202" t="s">
        <v>8086</v>
      </c>
      <c r="C10" s="404" t="s">
        <v>8087</v>
      </c>
      <c r="D10" s="202" t="s">
        <v>8088</v>
      </c>
      <c r="E10" s="404" t="s">
        <v>8089</v>
      </c>
      <c r="F10" s="202" t="s">
        <v>8090</v>
      </c>
      <c r="G10" s="404" t="str">
        <f>IFERROR(__xludf.DUMMYFUNCTION("GOOGLETRANSLATE(A10,""zh-tw"",""zh"")"),"臭鱼骨")</f>
        <v>臭鱼骨</v>
      </c>
      <c r="H10" s="202" t="str">
        <f>IFERROR(__xludf.DUMMYFUNCTION("GOOGLETRANSLATE(B10,""zh-tw"",""zh"")"),"物攻：14
散发恶臭")</f>
        <v>物攻：14
散发恶臭</v>
      </c>
      <c r="I10" s="403" t="s">
        <v>8091</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8092</v>
      </c>
      <c r="M10" s="404" t="s">
        <v>8093</v>
      </c>
      <c r="N10" s="202" t="s">
        <v>8094</v>
      </c>
      <c r="O10" s="404" t="s">
        <v>8095</v>
      </c>
      <c r="P10" s="202" t="s">
        <v>8096</v>
      </c>
      <c r="Q10" s="405" t="s">
        <v>8097</v>
      </c>
      <c r="R10" s="406" t="s">
        <v>8098</v>
      </c>
      <c r="S10" s="197" t="s">
        <v>8099</v>
      </c>
      <c r="T10" s="198" t="s">
        <v>8100</v>
      </c>
      <c r="U10" s="197"/>
      <c r="V10" s="198"/>
      <c r="W10" s="198"/>
      <c r="X10" s="198"/>
      <c r="Y10" s="198"/>
      <c r="Z10" s="198"/>
    </row>
    <row r="11">
      <c r="A11" s="404" t="s">
        <v>8101</v>
      </c>
      <c r="B11" s="202" t="s">
        <v>8102</v>
      </c>
      <c r="C11" s="404" t="s">
        <v>8101</v>
      </c>
      <c r="D11" s="202" t="s">
        <v>8103</v>
      </c>
      <c r="E11" s="404" t="s">
        <v>8104</v>
      </c>
      <c r="F11" s="202" t="s">
        <v>8105</v>
      </c>
      <c r="G11" s="404" t="str">
        <f>IFERROR(__xludf.DUMMYFUNCTION("GOOGLETRANSLATE(A11,""zh-tw"",""zh"")"),"阳炎")</f>
        <v>阳炎</v>
      </c>
      <c r="H11" s="202" t="str">
        <f>IFERROR(__xludf.DUMMYFUNCTION("GOOGLETRANSLATE(B11,""zh-tw"",""zh"")"),"物攻：24
魔攻：16
炎属性")</f>
        <v>物攻：24
魔攻：16
炎属性</v>
      </c>
      <c r="I11" s="403" t="s">
        <v>8106</v>
      </c>
      <c r="J11" s="198" t="str">
        <f>IFERROR(__xludf.DUMMYFUNCTION("GOOGLETRANSLATE(B11,""zh-tw"",""es-MX"")"),"Ataque físico: 24
Ataque mágico: 16
Atributo de fuego")</f>
        <v>Ataque físico: 24
Ataque mágico: 16
Atributo de fuego</v>
      </c>
      <c r="K11" s="404" t="s">
        <v>8107</v>
      </c>
      <c r="L11" s="167" t="s">
        <v>8108</v>
      </c>
      <c r="M11" s="404" t="s">
        <v>8109</v>
      </c>
      <c r="N11" s="202" t="s">
        <v>8110</v>
      </c>
      <c r="O11" s="404" t="s">
        <v>8111</v>
      </c>
      <c r="P11" s="202" t="s">
        <v>8112</v>
      </c>
      <c r="Q11" s="405" t="s">
        <v>8113</v>
      </c>
      <c r="R11" s="410" t="s">
        <v>8114</v>
      </c>
      <c r="S11" s="197" t="s">
        <v>8115</v>
      </c>
      <c r="T11" s="198" t="s">
        <v>8116</v>
      </c>
      <c r="U11" s="197"/>
      <c r="V11" s="198"/>
      <c r="W11" s="198"/>
      <c r="X11" s="198"/>
      <c r="Y11" s="198"/>
      <c r="Z11" s="198"/>
    </row>
    <row r="12">
      <c r="A12" s="404" t="s">
        <v>8117</v>
      </c>
      <c r="B12" s="202" t="s">
        <v>8118</v>
      </c>
      <c r="C12" s="404" t="s">
        <v>8117</v>
      </c>
      <c r="D12" s="202" t="s">
        <v>8119</v>
      </c>
      <c r="E12" s="404" t="s">
        <v>8120</v>
      </c>
      <c r="F12" s="202" t="s">
        <v>8121</v>
      </c>
      <c r="G12" s="404" t="str">
        <f>IFERROR(__xludf.DUMMYFUNCTION("GOOGLETRANSLATE(A12,""zh-tw"",""zh"")"),"霜月")</f>
        <v>霜月</v>
      </c>
      <c r="H12" s="202" t="str">
        <f>IFERROR(__xludf.DUMMYFUNCTION("GOOGLETRANSLATE(B12,""zh-tw"",""zh"")"),"物攻：20
魔攻：14
冰属性")</f>
        <v>物攻：20
魔攻：14
冰属性</v>
      </c>
      <c r="I12" s="403" t="s">
        <v>8122</v>
      </c>
      <c r="J12" s="198" t="str">
        <f>IFERROR(__xludf.DUMMYFUNCTION("GOOGLETRANSLATE(B12,""zh-tw"",""es-MX"")"),"Ataque físico: 20
Ataque mágico: 14
Atributo hielo")</f>
        <v>Ataque físico: 20
Ataque mágico: 14
Atributo hielo</v>
      </c>
      <c r="K12" s="403" t="s">
        <v>8123</v>
      </c>
      <c r="L12" s="167" t="s">
        <v>8124</v>
      </c>
      <c r="M12" s="404" t="s">
        <v>8125</v>
      </c>
      <c r="N12" s="202" t="s">
        <v>8126</v>
      </c>
      <c r="O12" s="404" t="s">
        <v>8127</v>
      </c>
      <c r="P12" s="202" t="s">
        <v>8128</v>
      </c>
      <c r="Q12" s="409" t="s">
        <v>8129</v>
      </c>
      <c r="R12" s="406" t="s">
        <v>8130</v>
      </c>
      <c r="S12" s="197" t="s">
        <v>8131</v>
      </c>
      <c r="T12" s="198" t="s">
        <v>8132</v>
      </c>
      <c r="U12" s="197"/>
      <c r="V12" s="198"/>
      <c r="W12" s="198"/>
      <c r="X12" s="198"/>
      <c r="Y12" s="198"/>
      <c r="Z12" s="198"/>
    </row>
    <row r="13">
      <c r="A13" s="404" t="s">
        <v>8133</v>
      </c>
      <c r="B13" s="202" t="s">
        <v>8134</v>
      </c>
      <c r="C13" s="404" t="s">
        <v>8135</v>
      </c>
      <c r="D13" s="202" t="s">
        <v>8136</v>
      </c>
      <c r="E13" s="404" t="s">
        <v>8137</v>
      </c>
      <c r="F13" s="202" t="s">
        <v>8138</v>
      </c>
      <c r="G13" s="404" t="str">
        <f>IFERROR(__xludf.DUMMYFUNCTION("GOOGLETRANSLATE(A13,""zh-tw"",""zh"")"),"会漏电的不良品")</f>
        <v>会漏电的不良品</v>
      </c>
      <c r="H13" s="202" t="str">
        <f>IFERROR(__xludf.DUMMYFUNCTION("GOOGLETRANSLATE(B13,""zh-tw"",""zh"")"),"物攻：28
魔攻：12
电属性")</f>
        <v>物攻：28
魔攻：12
电属性</v>
      </c>
      <c r="I13" s="403" t="s">
        <v>8139</v>
      </c>
      <c r="J13" s="198" t="str">
        <f>IFERROR(__xludf.DUMMYFUNCTION("GOOGLETRANSLATE(B13,""zh-tw"",""es-MX"")"),"Ataque físico: 28
Ataque mágico: 12
Atributo eléctrico")</f>
        <v>Ataque físico: 28
Ataque mágico: 12
Atributo eléctrico</v>
      </c>
      <c r="K13" s="403" t="s">
        <v>8140</v>
      </c>
      <c r="L13" s="198" t="str">
        <f>IFERROR(__xludf.DUMMYFUNCTION("GOOGLETRANSLATE(B13,""zh-tw"",""KO"")"),"물리 공격력: 28
마법 공격력: 12
속성: 전기")</f>
        <v>물리 공격력: 28
마법 공격력: 12
속성: 전기</v>
      </c>
      <c r="M13" s="404" t="s">
        <v>8141</v>
      </c>
      <c r="N13" s="202" t="s">
        <v>8142</v>
      </c>
      <c r="O13" s="404" t="s">
        <v>8143</v>
      </c>
      <c r="P13" s="202" t="s">
        <v>8144</v>
      </c>
      <c r="Q13" s="405" t="s">
        <v>8145</v>
      </c>
      <c r="R13" s="410" t="s">
        <v>8146</v>
      </c>
      <c r="S13" s="197" t="s">
        <v>8147</v>
      </c>
      <c r="T13" s="198" t="s">
        <v>8148</v>
      </c>
      <c r="U13" s="197"/>
      <c r="V13" s="198"/>
      <c r="W13" s="198"/>
      <c r="X13" s="198"/>
      <c r="Y13" s="198"/>
      <c r="Z13" s="198"/>
    </row>
    <row r="14">
      <c r="A14" s="404" t="s">
        <v>8149</v>
      </c>
      <c r="B14" s="202" t="s">
        <v>8150</v>
      </c>
      <c r="C14" s="404" t="s">
        <v>8151</v>
      </c>
      <c r="D14" s="202" t="s">
        <v>8152</v>
      </c>
      <c r="E14" s="404" t="s">
        <v>8153</v>
      </c>
      <c r="F14" s="202" t="s">
        <v>8154</v>
      </c>
      <c r="G14" s="404" t="str">
        <f>IFERROR(__xludf.DUMMYFUNCTION("GOOGLETRANSLATE(A14,""zh-tw"",""zh"")"),"毒孢针")</f>
        <v>毒孢针</v>
      </c>
      <c r="H14" s="202" t="str">
        <f>IFERROR(__xludf.DUMMYFUNCTION("GOOGLETRANSLATE(B14,""zh-tw"",""zh"")"),"物攻：14
毒属性")</f>
        <v>物攻：14
毒属性</v>
      </c>
      <c r="I14" s="403" t="s">
        <v>8155</v>
      </c>
      <c r="J14" s="198" t="str">
        <f>IFERROR(__xludf.DUMMYFUNCTION("GOOGLETRANSLATE(B14,""zh-tw"",""es-MX"")"),"Ataque físico: 14 Atributo Veneno")</f>
        <v>Ataque físico: 14 Atributo Veneno</v>
      </c>
      <c r="K14" s="403" t="s">
        <v>8156</v>
      </c>
      <c r="L14" s="198" t="str">
        <f>IFERROR(__xludf.DUMMYFUNCTION("GOOGLETRANSLATE(B14,""zh-tw"",""KO"")"),"물리 공격력: 14 독 속성")</f>
        <v>물리 공격력: 14 독 속성</v>
      </c>
      <c r="M14" s="404" t="s">
        <v>8157</v>
      </c>
      <c r="N14" s="202" t="s">
        <v>8158</v>
      </c>
      <c r="O14" s="404" t="s">
        <v>8159</v>
      </c>
      <c r="P14" s="202" t="s">
        <v>8160</v>
      </c>
      <c r="Q14" s="405" t="s">
        <v>8161</v>
      </c>
      <c r="R14" s="406" t="s">
        <v>8162</v>
      </c>
      <c r="S14" s="197" t="s">
        <v>8163</v>
      </c>
      <c r="T14" s="198" t="s">
        <v>8164</v>
      </c>
      <c r="U14" s="197"/>
      <c r="V14" s="198"/>
      <c r="W14" s="198"/>
      <c r="X14" s="198"/>
      <c r="Y14" s="198"/>
      <c r="Z14" s="198"/>
    </row>
    <row r="15">
      <c r="A15" s="404" t="s">
        <v>8165</v>
      </c>
      <c r="B15" s="202" t="s">
        <v>8166</v>
      </c>
      <c r="C15" s="404" t="s">
        <v>8167</v>
      </c>
      <c r="D15" s="202" t="s">
        <v>8168</v>
      </c>
      <c r="E15" s="403" t="s">
        <v>8169</v>
      </c>
      <c r="F15" s="167" t="s">
        <v>8170</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8171</v>
      </c>
      <c r="N15" s="202" t="s">
        <v>8172</v>
      </c>
      <c r="O15" s="404" t="s">
        <v>8173</v>
      </c>
      <c r="P15" s="202" t="s">
        <v>8174</v>
      </c>
      <c r="Q15" s="405" t="s">
        <v>8175</v>
      </c>
      <c r="R15" s="410" t="s">
        <v>8176</v>
      </c>
      <c r="S15" s="197" t="s">
        <v>8177</v>
      </c>
      <c r="T15" s="198" t="s">
        <v>8178</v>
      </c>
      <c r="U15" s="197"/>
      <c r="V15" s="198"/>
      <c r="W15" s="198"/>
      <c r="X15" s="198"/>
      <c r="Y15" s="198"/>
      <c r="Z15" s="198"/>
    </row>
    <row r="16">
      <c r="A16" s="404" t="s">
        <v>8179</v>
      </c>
      <c r="B16" s="202" t="s">
        <v>8180</v>
      </c>
      <c r="C16" s="404" t="s">
        <v>8181</v>
      </c>
      <c r="D16" s="202" t="s">
        <v>8182</v>
      </c>
      <c r="E16" s="404" t="s">
        <v>8183</v>
      </c>
      <c r="F16" s="202" t="s">
        <v>8184</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8185</v>
      </c>
      <c r="J16" s="198" t="str">
        <f>IFERROR(__xludf.DUMMYFUNCTION("GOOGLETRANSLATE(B16,""zh-tw"",""es-MX"")"),"Ataque físico: 48
Resistencia mágica: 20
Tipo de arma que cumple con los requisitos")</f>
        <v>Ataque físico: 48
Resistencia mágica: 20
Tipo de arma que cumple con los requisitos</v>
      </c>
      <c r="K16" s="403" t="s">
        <v>8186</v>
      </c>
      <c r="L16" s="198" t="str">
        <f>IFERROR(__xludf.DUMMYFUNCTION("GOOGLETRANSLATE(B16,""zh-tw"",""KO"")"),"물리 공격력: 48
마법 저항력: 20
요구 조건을 충족하는 무기 유형")</f>
        <v>물리 공격력: 48
마법 저항력: 20
요구 조건을 충족하는 무기 유형</v>
      </c>
      <c r="M16" s="404" t="s">
        <v>8187</v>
      </c>
      <c r="N16" s="202" t="s">
        <v>8188</v>
      </c>
      <c r="O16" s="404" t="s">
        <v>8189</v>
      </c>
      <c r="P16" s="202" t="s">
        <v>8190</v>
      </c>
      <c r="Q16" s="405" t="s">
        <v>8191</v>
      </c>
      <c r="R16" s="406" t="s">
        <v>8192</v>
      </c>
      <c r="S16" s="197" t="s">
        <v>8193</v>
      </c>
      <c r="T16" s="198" t="s">
        <v>8194</v>
      </c>
      <c r="U16" s="197"/>
      <c r="V16" s="198"/>
      <c r="W16" s="198"/>
      <c r="X16" s="198"/>
      <c r="Y16" s="198"/>
      <c r="Z16" s="198"/>
    </row>
    <row r="17">
      <c r="A17" s="404" t="s">
        <v>8195</v>
      </c>
      <c r="B17" s="202" t="s">
        <v>8196</v>
      </c>
      <c r="C17" s="404" t="s">
        <v>8197</v>
      </c>
      <c r="D17" s="202" t="s">
        <v>8198</v>
      </c>
      <c r="E17" s="404" t="s">
        <v>8199</v>
      </c>
      <c r="F17" s="202" t="s">
        <v>8200</v>
      </c>
      <c r="G17" s="404" t="str">
        <f>IFERROR(__xludf.DUMMYFUNCTION("GOOGLETRANSLATE(A17,""zh-tw"",""zh"")"),"甜筒大剑")</f>
        <v>甜筒大剑</v>
      </c>
      <c r="H17" s="202" t="str">
        <f>IFERROR(__xludf.DUMMYFUNCTION("GOOGLETRANSLATE(B17,""zh-tw"",""zh"")"),"物攻：1
累计伤害型武器")</f>
        <v>物攻：1
累计伤害型武器</v>
      </c>
      <c r="I17" s="403" t="s">
        <v>8201</v>
      </c>
      <c r="J17" s="198" t="str">
        <f>IFERROR(__xludf.DUMMYFUNCTION("GOOGLETRANSLATE(B17,""zh-tw"",""es-MX"")"),"Ataque físico: 1 (Arma de tipo daño acumulativo)")</f>
        <v>Ataque físico: 1 (Arma de tipo daño acumulativo)</v>
      </c>
      <c r="K17" s="407" t="str">
        <f>IFERROR(__xludf.DUMMYFUNCTION("GOOGLETRANSLATE(A17,""zh-tw"",""KO"")"),"아이스크림 콘 검")</f>
        <v>아이스크림 콘 검</v>
      </c>
      <c r="L17" s="198" t="str">
        <f>IFERROR(__xludf.DUMMYFUNCTION("GOOGLETRANSLATE(B17,""zh-tw"",""KO"")"),"물리 공격: 1 (누적 피해 유형 무기)")</f>
        <v>물리 공격: 1 (누적 피해 유형 무기)</v>
      </c>
      <c r="M17" s="404" t="s">
        <v>8202</v>
      </c>
      <c r="N17" s="202" t="s">
        <v>8203</v>
      </c>
      <c r="O17" s="404" t="s">
        <v>8204</v>
      </c>
      <c r="P17" s="202" t="s">
        <v>8205</v>
      </c>
      <c r="Q17" s="405" t="s">
        <v>8206</v>
      </c>
      <c r="R17" s="406" t="s">
        <v>8207</v>
      </c>
      <c r="S17" s="197" t="s">
        <v>8208</v>
      </c>
      <c r="T17" s="198" t="s">
        <v>8209</v>
      </c>
      <c r="U17" s="197"/>
      <c r="V17" s="198"/>
      <c r="W17" s="198"/>
      <c r="X17" s="198"/>
      <c r="Y17" s="198"/>
      <c r="Z17" s="198"/>
    </row>
    <row r="18">
      <c r="A18" s="404" t="s">
        <v>8210</v>
      </c>
      <c r="B18" s="202" t="s">
        <v>8211</v>
      </c>
      <c r="C18" s="404" t="s">
        <v>8212</v>
      </c>
      <c r="D18" s="202" t="s">
        <v>8213</v>
      </c>
      <c r="E18" s="404" t="s">
        <v>8214</v>
      </c>
      <c r="F18" s="202" t="s">
        <v>8215</v>
      </c>
      <c r="G18" s="404" t="str">
        <f>IFERROR(__xludf.DUMMYFUNCTION("GOOGLETRANSLATE(A18,""zh-tw"",""zh"")"),"古树残骸")</f>
        <v>古树残骸</v>
      </c>
      <c r="H18" s="202" t="str">
        <f>IFERROR(__xludf.DUMMYFUNCTION("GOOGLETRANSLATE(B18,""zh-tw"",""zh"")"),"物攻：20
物抗：2
累计素质型武器")</f>
        <v>物攻：20
物抗：2
累计素质型武器</v>
      </c>
      <c r="I18" s="403" t="s">
        <v>8216</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8217</v>
      </c>
      <c r="N18" s="202" t="s">
        <v>8218</v>
      </c>
      <c r="O18" s="404" t="s">
        <v>8219</v>
      </c>
      <c r="P18" s="202" t="s">
        <v>8220</v>
      </c>
      <c r="Q18" s="405" t="s">
        <v>8221</v>
      </c>
      <c r="R18" s="406" t="s">
        <v>8222</v>
      </c>
      <c r="S18" s="197" t="s">
        <v>8223</v>
      </c>
      <c r="T18" s="198" t="s">
        <v>8224</v>
      </c>
      <c r="U18" s="197"/>
      <c r="V18" s="198"/>
      <c r="W18" s="198"/>
      <c r="X18" s="198"/>
      <c r="Y18" s="198"/>
      <c r="Z18" s="198"/>
    </row>
    <row r="19">
      <c r="A19" s="404" t="s">
        <v>8225</v>
      </c>
      <c r="B19" s="202" t="s">
        <v>8226</v>
      </c>
      <c r="C19" s="404" t="s">
        <v>8227</v>
      </c>
      <c r="D19" s="202" t="s">
        <v>8228</v>
      </c>
      <c r="E19" s="404" t="s">
        <v>8229</v>
      </c>
      <c r="F19" s="202" t="s">
        <v>8230</v>
      </c>
      <c r="G19" s="404" t="str">
        <f>IFERROR(__xludf.DUMMYFUNCTION("GOOGLETRANSLATE(A19,""zh-tw"",""zh"")"),"斩裂剑提尔锋")</f>
        <v>斩裂剑提尔锋</v>
      </c>
      <c r="H19" s="202" t="str">
        <f>IFERROR(__xludf.DUMMYFUNCTION("GOOGLETRANSLATE(B19,""zh-tw"",""zh"")"),"物攻：40
发射剑波")</f>
        <v>物攻：40
发射剑波</v>
      </c>
      <c r="I19" s="403" t="s">
        <v>8231</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8232</v>
      </c>
      <c r="N19" s="202" t="s">
        <v>8233</v>
      </c>
      <c r="O19" s="404" t="s">
        <v>8234</v>
      </c>
      <c r="P19" s="202" t="s">
        <v>8235</v>
      </c>
      <c r="Q19" s="405" t="s">
        <v>8236</v>
      </c>
      <c r="R19" s="406" t="s">
        <v>8237</v>
      </c>
      <c r="S19" s="197" t="s">
        <v>8229</v>
      </c>
      <c r="T19" s="198" t="s">
        <v>8238</v>
      </c>
      <c r="U19" s="197"/>
      <c r="V19" s="198"/>
      <c r="W19" s="198"/>
      <c r="X19" s="198"/>
      <c r="Y19" s="198"/>
      <c r="Z19" s="198"/>
    </row>
    <row r="20">
      <c r="A20" s="404" t="s">
        <v>8239</v>
      </c>
      <c r="B20" s="202" t="s">
        <v>8240</v>
      </c>
      <c r="C20" s="404" t="s">
        <v>8241</v>
      </c>
      <c r="D20" s="202" t="s">
        <v>8242</v>
      </c>
      <c r="E20" s="404" t="s">
        <v>8243</v>
      </c>
      <c r="F20" s="202" t="s">
        <v>8244</v>
      </c>
      <c r="G20" s="404" t="str">
        <f>IFERROR(__xludf.DUMMYFUNCTION("GOOGLETRANSLATE(A20,""zh-tw"",""zh"")"),"来自地狱")</f>
        <v>来自地狱</v>
      </c>
      <c r="H20" s="202" t="str">
        <f>IFERROR(__xludf.DUMMYFUNCTION("GOOGLETRANSLATE(B20,""zh-tw"",""zh"")"),"物攻：30
出血")</f>
        <v>物攻：30
出血</v>
      </c>
      <c r="I20" s="403" t="s">
        <v>8245</v>
      </c>
      <c r="J20" s="198" t="str">
        <f>IFERROR(__xludf.DUMMYFUNCTION("GOOGLETRANSLATE(B20,""zh-tw"",""es-MX"")"),"Ataque físico: 30 sangrado")</f>
        <v>Ataque físico: 30 sangrado</v>
      </c>
      <c r="K20" s="403" t="s">
        <v>8246</v>
      </c>
      <c r="L20" s="198" t="str">
        <f>IFERROR(__xludf.DUMMYFUNCTION("GOOGLETRANSLATE(B20,""zh-tw"",""KO"")"),"물리 공격: 출혈 30")</f>
        <v>물리 공격: 출혈 30</v>
      </c>
      <c r="M20" s="404" t="s">
        <v>8247</v>
      </c>
      <c r="N20" s="202" t="s">
        <v>8248</v>
      </c>
      <c r="O20" s="404" t="s">
        <v>8249</v>
      </c>
      <c r="P20" s="202" t="s">
        <v>8250</v>
      </c>
      <c r="Q20" s="405" t="s">
        <v>8251</v>
      </c>
      <c r="R20" s="406" t="s">
        <v>8252</v>
      </c>
      <c r="S20" s="197" t="s">
        <v>8253</v>
      </c>
      <c r="T20" s="198" t="s">
        <v>8254</v>
      </c>
      <c r="U20" s="197"/>
      <c r="V20" s="198"/>
      <c r="W20" s="198"/>
      <c r="X20" s="198"/>
      <c r="Y20" s="198"/>
      <c r="Z20" s="198"/>
    </row>
    <row r="21">
      <c r="A21" s="404" t="s">
        <v>8255</v>
      </c>
      <c r="B21" s="202" t="s">
        <v>8256</v>
      </c>
      <c r="C21" s="404" t="s">
        <v>8257</v>
      </c>
      <c r="D21" s="202" t="s">
        <v>8258</v>
      </c>
      <c r="E21" s="404" t="s">
        <v>8259</v>
      </c>
      <c r="F21" s="202" t="s">
        <v>8260</v>
      </c>
      <c r="G21" s="404" t="str">
        <f>IFERROR(__xludf.DUMMYFUNCTION("GOOGLETRANSLATE(A21,""zh-tw"",""zh"")"),"寄生刃")</f>
        <v>寄生刃</v>
      </c>
      <c r="H21" s="202" t="str">
        <f>IFERROR(__xludf.DUMMYFUNCTION("GOOGLETRANSLATE(B21,""zh-tw"",""zh"")"),"物攻：32
击倒回复")</f>
        <v>物攻：32
击倒回复</v>
      </c>
      <c r="I21" s="403" t="s">
        <v>8261</v>
      </c>
      <c r="J21" s="198" t="str">
        <f>IFERROR(__xludf.DUMMYFUNCTION("GOOGLETRANSLATE(B21,""zh-tw"",""es-MX"")"),"Ataque físico: 32 Recuperación de derribo")</f>
        <v>Ataque físico: 32 Recuperación de derribo</v>
      </c>
      <c r="K21" s="403" t="s">
        <v>8262</v>
      </c>
      <c r="L21" s="167" t="s">
        <v>8263</v>
      </c>
      <c r="M21" s="404" t="s">
        <v>8264</v>
      </c>
      <c r="N21" s="202" t="s">
        <v>8265</v>
      </c>
      <c r="O21" s="404" t="s">
        <v>8266</v>
      </c>
      <c r="P21" s="202" t="s">
        <v>8267</v>
      </c>
      <c r="Q21" s="405" t="s">
        <v>8268</v>
      </c>
      <c r="R21" s="406" t="s">
        <v>8269</v>
      </c>
      <c r="S21" s="197" t="s">
        <v>8270</v>
      </c>
      <c r="T21" s="198" t="s">
        <v>8271</v>
      </c>
      <c r="U21" s="197"/>
      <c r="V21" s="198"/>
      <c r="W21" s="198"/>
      <c r="X21" s="198"/>
      <c r="Y21" s="198"/>
      <c r="Z21" s="198"/>
    </row>
    <row r="22">
      <c r="A22" s="408" t="s">
        <v>8272</v>
      </c>
      <c r="B22" s="155" t="s">
        <v>8273</v>
      </c>
      <c r="C22" s="408" t="s">
        <v>8274</v>
      </c>
      <c r="D22" s="155" t="s">
        <v>8275</v>
      </c>
      <c r="E22" s="408" t="s">
        <v>8276</v>
      </c>
      <c r="F22" s="155" t="s">
        <v>8277</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8278</v>
      </c>
      <c r="J22" s="198"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403" t="s">
        <v>8279</v>
      </c>
      <c r="L22" s="198" t="str">
        <f>IFERROR(__xludf.DUMMYFUNCTION("GOOGLETRANSLATE(B22,""zh-tw"",""KO"")"),"물리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22" s="404" t="s">
        <v>8280</v>
      </c>
      <c r="N22" s="202" t="s">
        <v>8281</v>
      </c>
      <c r="O22" s="408" t="s">
        <v>8282</v>
      </c>
      <c r="P22" s="155" t="s">
        <v>8283</v>
      </c>
      <c r="Q22" s="405" t="s">
        <v>8284</v>
      </c>
      <c r="R22" s="410" t="s">
        <v>8285</v>
      </c>
      <c r="S22" s="197" t="s">
        <v>8286</v>
      </c>
      <c r="T22" s="198" t="s">
        <v>8287</v>
      </c>
      <c r="U22" s="197"/>
      <c r="V22" s="198"/>
      <c r="W22" s="198"/>
      <c r="X22" s="198"/>
      <c r="Y22" s="198"/>
      <c r="Z22" s="198"/>
    </row>
    <row r="23">
      <c r="A23" s="408" t="s">
        <v>8288</v>
      </c>
      <c r="B23" s="167" t="s">
        <v>8289</v>
      </c>
      <c r="C23" s="408" t="s">
        <v>8288</v>
      </c>
      <c r="D23" s="167" t="s">
        <v>8290</v>
      </c>
      <c r="E23" s="408" t="s">
        <v>8291</v>
      </c>
      <c r="F23" s="167" t="s">
        <v>8292</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8294</v>
      </c>
      <c r="N23" s="202" t="s">
        <v>8295</v>
      </c>
      <c r="O23" s="408" t="s">
        <v>8296</v>
      </c>
      <c r="P23" s="167" t="s">
        <v>8297</v>
      </c>
      <c r="Q23" s="405" t="s">
        <v>8298</v>
      </c>
      <c r="R23" s="410" t="s">
        <v>8299</v>
      </c>
      <c r="S23" s="197" t="s">
        <v>8300</v>
      </c>
      <c r="T23" s="198" t="s">
        <v>8301</v>
      </c>
      <c r="U23" s="197"/>
      <c r="V23" s="198"/>
      <c r="W23" s="198"/>
      <c r="X23" s="198"/>
      <c r="Y23" s="198"/>
      <c r="Z23" s="198"/>
    </row>
    <row r="24">
      <c r="A24" s="404" t="s">
        <v>8302</v>
      </c>
      <c r="B24" s="202" t="s">
        <v>8303</v>
      </c>
      <c r="C24" s="404" t="s">
        <v>8304</v>
      </c>
      <c r="D24" s="202" t="s">
        <v>8305</v>
      </c>
      <c r="E24" s="404" t="s">
        <v>8306</v>
      </c>
      <c r="F24" s="202" t="s">
        <v>8307</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8308</v>
      </c>
      <c r="N24" s="202" t="s">
        <v>8309</v>
      </c>
      <c r="O24" s="404" t="s">
        <v>8310</v>
      </c>
      <c r="P24" s="202" t="s">
        <v>8311</v>
      </c>
      <c r="Q24" s="405" t="s">
        <v>8312</v>
      </c>
      <c r="R24" s="406" t="s">
        <v>8313</v>
      </c>
      <c r="S24" s="197" t="s">
        <v>8314</v>
      </c>
      <c r="T24" s="198" t="s">
        <v>8315</v>
      </c>
      <c r="U24" s="197"/>
      <c r="V24" s="198"/>
      <c r="W24" s="198"/>
      <c r="X24" s="198"/>
      <c r="Y24" s="198"/>
      <c r="Z24" s="198"/>
    </row>
    <row r="25">
      <c r="A25" s="404" t="s">
        <v>8316</v>
      </c>
      <c r="B25" s="202" t="s">
        <v>8317</v>
      </c>
      <c r="C25" s="404" t="s">
        <v>8318</v>
      </c>
      <c r="D25" s="202" t="s">
        <v>8319</v>
      </c>
      <c r="E25" s="404" t="s">
        <v>8320</v>
      </c>
      <c r="F25" s="202" t="s">
        <v>8321</v>
      </c>
      <c r="G25" s="404" t="str">
        <f>IFERROR(__xludf.DUMMYFUNCTION("GOOGLETRANSLATE(A25,""zh-tw"",""zh"")"),"克里乌之光")</f>
        <v>克里乌之光</v>
      </c>
      <c r="H25" s="202" t="s">
        <v>8322</v>
      </c>
      <c r="I25" s="403" t="s">
        <v>8320</v>
      </c>
      <c r="J25" s="198" t="str">
        <f>IFERROR(__xludf.DUMMYFUNCTION("GOOGLETRANSLATE(B25,""zh-tw"",""es-MX"")"),"Ataque físico: 32
Ataque mágico: 36
Ignora la defensa, Espada invisible
*Objeto raro de Gacha")</f>
        <v>Ataque físico: 32
Ataque mágico: 36
Ignora la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8323</v>
      </c>
      <c r="N25" s="202" t="s">
        <v>8324</v>
      </c>
      <c r="O25" s="404" t="s">
        <v>8325</v>
      </c>
      <c r="P25" s="202" t="s">
        <v>8326</v>
      </c>
      <c r="Q25" s="405" t="s">
        <v>8327</v>
      </c>
      <c r="R25" s="406" t="s">
        <v>8328</v>
      </c>
      <c r="S25" s="197" t="s">
        <v>8320</v>
      </c>
      <c r="T25" s="198" t="s">
        <v>8329</v>
      </c>
      <c r="U25" s="197"/>
      <c r="V25" s="198"/>
      <c r="W25" s="198"/>
      <c r="X25" s="198"/>
      <c r="Y25" s="198"/>
      <c r="Z25" s="198"/>
    </row>
    <row r="26">
      <c r="A26" s="404" t="s">
        <v>8330</v>
      </c>
      <c r="B26" s="202" t="s">
        <v>8331</v>
      </c>
      <c r="C26" s="404" t="s">
        <v>8332</v>
      </c>
      <c r="D26" s="202" t="s">
        <v>8333</v>
      </c>
      <c r="E26" s="404" t="s">
        <v>8334</v>
      </c>
      <c r="F26" s="202" t="s">
        <v>8335</v>
      </c>
      <c r="G26" s="404" t="str">
        <f>IFERROR(__xludf.DUMMYFUNCTION("GOOGLETRANSLATE(A26,""zh-tw"",""zh"")"),"木弓")</f>
        <v>木弓</v>
      </c>
      <c r="H26" s="202" t="str">
        <f>IFERROR(__xludf.DUMMYFUNCTION("GOOGLETRANSLATE(B26,""zh-tw"",""zh"")"),"物攻：20
穿透(伤害递减)")</f>
        <v>物攻：20
穿透(伤害递减)</v>
      </c>
      <c r="I26" s="403" t="s">
        <v>8336</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8337</v>
      </c>
      <c r="N26" s="202" t="s">
        <v>8338</v>
      </c>
      <c r="O26" s="404" t="s">
        <v>8339</v>
      </c>
      <c r="P26" s="202" t="s">
        <v>8340</v>
      </c>
      <c r="Q26" s="405" t="s">
        <v>8341</v>
      </c>
      <c r="R26" s="406" t="s">
        <v>8342</v>
      </c>
      <c r="S26" s="197" t="s">
        <v>8343</v>
      </c>
      <c r="T26" s="198" t="s">
        <v>8344</v>
      </c>
      <c r="U26" s="197"/>
      <c r="V26" s="198"/>
      <c r="W26" s="198"/>
      <c r="X26" s="198"/>
      <c r="Y26" s="198"/>
      <c r="Z26" s="198"/>
    </row>
    <row r="27">
      <c r="A27" s="404" t="s">
        <v>8345</v>
      </c>
      <c r="B27" s="202" t="s">
        <v>8346</v>
      </c>
      <c r="C27" s="404" t="s">
        <v>8347</v>
      </c>
      <c r="D27" s="202" t="s">
        <v>8348</v>
      </c>
      <c r="E27" s="404" t="s">
        <v>8349</v>
      </c>
      <c r="F27" s="202" t="s">
        <v>8350</v>
      </c>
      <c r="G27" s="404" t="str">
        <f>IFERROR(__xludf.DUMMYFUNCTION("GOOGLETRANSLATE(A27,""zh-tw"",""zh"")"),"猎人之弓")</f>
        <v>猎人之弓</v>
      </c>
      <c r="H27" s="202" t="str">
        <f>IFERROR(__xludf.DUMMYFUNCTION("GOOGLETRANSLATE(B27,""zh-tw"",""zh"")"),"物攻：24
穿透")</f>
        <v>物攻：24
穿透</v>
      </c>
      <c r="I27" s="403" t="s">
        <v>8351</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8352</v>
      </c>
      <c r="N27" s="202" t="s">
        <v>8353</v>
      </c>
      <c r="O27" s="404" t="s">
        <v>8354</v>
      </c>
      <c r="P27" s="202" t="s">
        <v>8355</v>
      </c>
      <c r="Q27" s="405" t="s">
        <v>8356</v>
      </c>
      <c r="R27" s="406" t="s">
        <v>8357</v>
      </c>
      <c r="S27" s="197" t="s">
        <v>8358</v>
      </c>
      <c r="T27" s="198" t="s">
        <v>8359</v>
      </c>
      <c r="U27" s="197"/>
      <c r="V27" s="198"/>
      <c r="W27" s="198"/>
      <c r="X27" s="198"/>
      <c r="Y27" s="198"/>
      <c r="Z27" s="198"/>
    </row>
    <row r="28">
      <c r="A28" s="404" t="s">
        <v>8360</v>
      </c>
      <c r="B28" s="202" t="s">
        <v>8361</v>
      </c>
      <c r="C28" s="404" t="s">
        <v>8362</v>
      </c>
      <c r="D28" s="202" t="s">
        <v>8363</v>
      </c>
      <c r="E28" s="404" t="s">
        <v>8364</v>
      </c>
      <c r="F28" s="202" t="s">
        <v>8365</v>
      </c>
      <c r="G28" s="404" t="str">
        <f>IFERROR(__xludf.DUMMYFUNCTION("GOOGLETRANSLATE(A28,""zh-tw"",""zh"")"),"火烧云")</f>
        <v>火烧云</v>
      </c>
      <c r="H28" s="202" t="str">
        <f>IFERROR(__xludf.DUMMYFUNCTION("GOOGLETRANSLATE(B28,""zh-tw"",""zh"")"),"物攻：18
魔攻：18
炎属性")</f>
        <v>物攻：18
魔攻：18
炎属性</v>
      </c>
      <c r="I28" s="403" t="s">
        <v>8366</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8367</v>
      </c>
      <c r="N28" s="202" t="s">
        <v>8368</v>
      </c>
      <c r="O28" s="404" t="s">
        <v>8369</v>
      </c>
      <c r="P28" s="202" t="s">
        <v>8370</v>
      </c>
      <c r="Q28" s="405" t="s">
        <v>8371</v>
      </c>
      <c r="R28" s="406" t="s">
        <v>8372</v>
      </c>
      <c r="S28" s="165" t="s">
        <v>8373</v>
      </c>
      <c r="T28" s="198" t="s">
        <v>8374</v>
      </c>
      <c r="U28" s="197"/>
      <c r="V28" s="198"/>
      <c r="W28" s="198"/>
      <c r="X28" s="198"/>
      <c r="Y28" s="198"/>
      <c r="Z28" s="198"/>
    </row>
    <row r="29">
      <c r="A29" s="404" t="s">
        <v>8375</v>
      </c>
      <c r="B29" s="202" t="s">
        <v>8376</v>
      </c>
      <c r="C29" s="404" t="s">
        <v>8375</v>
      </c>
      <c r="D29" s="202" t="s">
        <v>8377</v>
      </c>
      <c r="E29" s="404" t="s">
        <v>8378</v>
      </c>
      <c r="F29" s="202" t="s">
        <v>8379</v>
      </c>
      <c r="G29" s="404" t="str">
        <f>IFERROR(__xludf.DUMMYFUNCTION("GOOGLETRANSLATE(A29,""zh-tw"",""zh"")"),"雪见")</f>
        <v>雪见</v>
      </c>
      <c r="H29" s="202" t="str">
        <f>IFERROR(__xludf.DUMMYFUNCTION("GOOGLETRANSLATE(B29,""zh-tw"",""zh"")"),"物攻：16
魔攻：16
冰属性")</f>
        <v>物攻：16
魔攻：16
冰属性</v>
      </c>
      <c r="I29" s="403" t="s">
        <v>8380</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8381</v>
      </c>
      <c r="N29" s="202" t="s">
        <v>8382</v>
      </c>
      <c r="O29" s="404" t="s">
        <v>8383</v>
      </c>
      <c r="P29" s="202" t="s">
        <v>8384</v>
      </c>
      <c r="Q29" s="405" t="s">
        <v>8385</v>
      </c>
      <c r="R29" s="406" t="s">
        <v>8386</v>
      </c>
      <c r="S29" s="197" t="s">
        <v>8387</v>
      </c>
      <c r="T29" s="198" t="s">
        <v>8388</v>
      </c>
      <c r="U29" s="197"/>
      <c r="V29" s="198"/>
      <c r="W29" s="198"/>
      <c r="X29" s="198"/>
      <c r="Y29" s="198"/>
      <c r="Z29" s="198"/>
    </row>
    <row r="30">
      <c r="A30" s="404" t="s">
        <v>8389</v>
      </c>
      <c r="B30" s="202" t="s">
        <v>8390</v>
      </c>
      <c r="C30" s="404" t="s">
        <v>8389</v>
      </c>
      <c r="D30" s="202" t="s">
        <v>8391</v>
      </c>
      <c r="E30" s="404" t="s">
        <v>8392</v>
      </c>
      <c r="F30" s="202" t="s">
        <v>8393</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8394</v>
      </c>
      <c r="N30" s="202" t="s">
        <v>8395</v>
      </c>
      <c r="O30" s="404" t="s">
        <v>8396</v>
      </c>
      <c r="P30" s="202" t="s">
        <v>8397</v>
      </c>
      <c r="Q30" s="405" t="s">
        <v>8398</v>
      </c>
      <c r="R30" s="406" t="s">
        <v>8399</v>
      </c>
      <c r="S30" s="197" t="s">
        <v>8392</v>
      </c>
      <c r="T30" s="198" t="s">
        <v>8400</v>
      </c>
      <c r="U30" s="197"/>
      <c r="V30" s="198"/>
      <c r="W30" s="198"/>
      <c r="X30" s="198"/>
      <c r="Y30" s="198"/>
      <c r="Z30" s="198"/>
    </row>
    <row r="31">
      <c r="A31" s="404" t="s">
        <v>8401</v>
      </c>
      <c r="B31" s="202" t="s">
        <v>8402</v>
      </c>
      <c r="C31" s="404" t="s">
        <v>8403</v>
      </c>
      <c r="D31" s="202" t="s">
        <v>8404</v>
      </c>
      <c r="E31" s="404" t="s">
        <v>8405</v>
      </c>
      <c r="F31" s="202" t="s">
        <v>8406</v>
      </c>
      <c r="G31" s="404" t="str">
        <f>IFERROR(__xludf.DUMMYFUNCTION("GOOGLETRANSLATE(A31,""zh-tw"",""zh"")"),"三头连弓地狱犬")</f>
        <v>三头连弓地狱犬</v>
      </c>
      <c r="H31" s="202" t="str">
        <f>IFERROR(__xludf.DUMMYFUNCTION("GOOGLETRANSLATE(B31,""zh-tw"",""zh"")"),"物攻：32
连发")</f>
        <v>物攻：32
连发</v>
      </c>
      <c r="I31" s="403" t="s">
        <v>8407</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8408</v>
      </c>
      <c r="N31" s="202" t="s">
        <v>8409</v>
      </c>
      <c r="O31" s="404" t="s">
        <v>8410</v>
      </c>
      <c r="P31" s="202" t="s">
        <v>8411</v>
      </c>
      <c r="Q31" s="405" t="s">
        <v>8412</v>
      </c>
      <c r="R31" s="406" t="s">
        <v>8413</v>
      </c>
      <c r="S31" s="197" t="s">
        <v>8414</v>
      </c>
      <c r="T31" s="198" t="s">
        <v>8415</v>
      </c>
      <c r="U31" s="197"/>
      <c r="V31" s="198"/>
      <c r="W31" s="198"/>
      <c r="X31" s="198"/>
      <c r="Y31" s="198"/>
      <c r="Z31" s="198"/>
    </row>
    <row r="32">
      <c r="A32" s="404" t="s">
        <v>7899</v>
      </c>
      <c r="B32" s="202" t="s">
        <v>8416</v>
      </c>
      <c r="C32" s="404" t="s">
        <v>7901</v>
      </c>
      <c r="D32" s="202" t="s">
        <v>8417</v>
      </c>
      <c r="E32" s="404" t="s">
        <v>7903</v>
      </c>
      <c r="F32" s="202" t="s">
        <v>8418</v>
      </c>
      <c r="G32" s="404" t="str">
        <f>IFERROR(__xludf.DUMMYFUNCTION("GOOGLETRANSLATE(A32,""zh-tw"",""zh"")"),"熔岩杖")</f>
        <v>熔岩杖</v>
      </c>
      <c r="H32" s="202" t="str">
        <f>IFERROR(__xludf.DUMMYFUNCTION("GOOGLETRANSLATE(B32,""zh-tw"",""zh"")"),"物攻：1
魔攻：66
炎属性")</f>
        <v>物攻：1
魔攻：66
炎属性</v>
      </c>
      <c r="I32" s="403" t="s">
        <v>8419</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7906</v>
      </c>
      <c r="N32" s="202" t="s">
        <v>8420</v>
      </c>
      <c r="O32" s="404" t="s">
        <v>7908</v>
      </c>
      <c r="P32" s="202" t="s">
        <v>8421</v>
      </c>
      <c r="Q32" s="405" t="s">
        <v>8422</v>
      </c>
      <c r="R32" s="410" t="s">
        <v>8423</v>
      </c>
      <c r="S32" s="197" t="s">
        <v>7913</v>
      </c>
      <c r="T32" s="198" t="s">
        <v>8424</v>
      </c>
      <c r="U32" s="197"/>
      <c r="V32" s="198"/>
      <c r="W32" s="198"/>
      <c r="X32" s="198"/>
      <c r="Y32" s="198"/>
      <c r="Z32" s="198"/>
    </row>
    <row r="33">
      <c r="A33" s="404" t="s">
        <v>8425</v>
      </c>
      <c r="B33" s="202" t="s">
        <v>8426</v>
      </c>
      <c r="C33" s="404" t="s">
        <v>8427</v>
      </c>
      <c r="D33" s="202" t="s">
        <v>8428</v>
      </c>
      <c r="E33" s="404" t="s">
        <v>8429</v>
      </c>
      <c r="F33" s="202" t="s">
        <v>8430</v>
      </c>
      <c r="G33" s="404" t="str">
        <f>IFERROR(__xludf.DUMMYFUNCTION("GOOGLETRANSLATE(A33,""zh-tw"",""zh"")"),"寒冰杖")</f>
        <v>寒冰杖</v>
      </c>
      <c r="H33" s="202" t="str">
        <f>IFERROR(__xludf.DUMMYFUNCTION("GOOGLETRANSLATE(B33,""zh-tw"",""zh"")"),"物攻：1
魔攻：55
冰属性")</f>
        <v>物攻：1
魔攻：55
冰属性</v>
      </c>
      <c r="I33" s="403" t="s">
        <v>8431</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8432</v>
      </c>
      <c r="N33" s="202" t="s">
        <v>8433</v>
      </c>
      <c r="O33" s="404" t="s">
        <v>8434</v>
      </c>
      <c r="P33" s="202" t="s">
        <v>8435</v>
      </c>
      <c r="Q33" s="405" t="s">
        <v>8436</v>
      </c>
      <c r="R33" s="406" t="s">
        <v>8437</v>
      </c>
      <c r="S33" s="197" t="s">
        <v>8438</v>
      </c>
      <c r="T33" s="198" t="s">
        <v>8439</v>
      </c>
      <c r="U33" s="197"/>
      <c r="V33" s="198"/>
      <c r="W33" s="198"/>
      <c r="X33" s="198"/>
      <c r="Y33" s="198"/>
      <c r="Z33" s="198"/>
    </row>
    <row r="34">
      <c r="A34" s="404" t="s">
        <v>8440</v>
      </c>
      <c r="B34" s="202" t="s">
        <v>8441</v>
      </c>
      <c r="C34" s="404" t="s">
        <v>8442</v>
      </c>
      <c r="D34" s="202" t="s">
        <v>8443</v>
      </c>
      <c r="E34" s="404" t="s">
        <v>8444</v>
      </c>
      <c r="F34" s="202" t="s">
        <v>8445</v>
      </c>
      <c r="G34" s="404" t="str">
        <f>IFERROR(__xludf.DUMMYFUNCTION("GOOGLETRANSLATE(A34,""zh-tw"",""zh"")"),"星月夜")</f>
        <v>星月夜</v>
      </c>
      <c r="H34" s="202" t="str">
        <f>IFERROR(__xludf.DUMMYFUNCTION("GOOGLETRANSLATE(B34,""zh-tw"",""zh"")"),"物攻：1
魔攻：68
黑洞")</f>
        <v>物攻：1
魔攻：68
黑洞</v>
      </c>
      <c r="I34" s="403" t="s">
        <v>8446</v>
      </c>
      <c r="J34" s="198" t="str">
        <f>IFERROR(__xludf.DUMMYFUNCTION("GOOGLETRANSLATE(B34,""zh-tw"",""es-MX"")"),"Ataque físico: 1 Ataque mágico: 68 Agujero negro")</f>
        <v>Ataque físico: 1 Ataque mágico: 68 Agujero negro</v>
      </c>
      <c r="K34" s="407"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404" t="s">
        <v>8447</v>
      </c>
      <c r="N34" s="202" t="s">
        <v>8448</v>
      </c>
      <c r="O34" s="404" t="s">
        <v>8449</v>
      </c>
      <c r="P34" s="202" t="s">
        <v>8450</v>
      </c>
      <c r="Q34" s="405" t="s">
        <v>8451</v>
      </c>
      <c r="R34" s="406" t="s">
        <v>8452</v>
      </c>
      <c r="S34" s="197" t="s">
        <v>8453</v>
      </c>
      <c r="T34" s="198" t="s">
        <v>8454</v>
      </c>
      <c r="U34" s="197"/>
      <c r="V34" s="198"/>
      <c r="W34" s="198"/>
      <c r="X34" s="198"/>
      <c r="Y34" s="198"/>
      <c r="Z34" s="198"/>
    </row>
    <row r="35">
      <c r="A35" s="404" t="s">
        <v>8455</v>
      </c>
      <c r="B35" s="202" t="s">
        <v>8456</v>
      </c>
      <c r="C35" s="404" t="s">
        <v>8457</v>
      </c>
      <c r="D35" s="202" t="s">
        <v>8458</v>
      </c>
      <c r="E35" s="404" t="s">
        <v>8459</v>
      </c>
      <c r="F35" s="202" t="s">
        <v>8460</v>
      </c>
      <c r="G35" s="404" t="str">
        <f>IFERROR(__xludf.DUMMYFUNCTION("GOOGLETRANSLATE(A35,""zh-tw"",""zh"")"),"香蕉?")</f>
        <v>香蕉?</v>
      </c>
      <c r="H35" s="202" t="str">
        <f>IFERROR(__xludf.DUMMYFUNCTION("GOOGLETRANSLATE(B35,""zh-tw"",""zh"")"),"物攻：10
爆炸")</f>
        <v>物攻：10
爆炸</v>
      </c>
      <c r="I35" s="403" t="s">
        <v>8461</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8462</v>
      </c>
      <c r="N35" s="202" t="s">
        <v>8463</v>
      </c>
      <c r="O35" s="404" t="s">
        <v>8464</v>
      </c>
      <c r="P35" s="202" t="s">
        <v>8465</v>
      </c>
      <c r="Q35" s="405" t="s">
        <v>8466</v>
      </c>
      <c r="R35" s="406" t="s">
        <v>8467</v>
      </c>
      <c r="S35" s="197" t="s">
        <v>8459</v>
      </c>
      <c r="T35" s="198" t="s">
        <v>8468</v>
      </c>
      <c r="U35" s="197"/>
      <c r="V35" s="198"/>
      <c r="W35" s="198"/>
      <c r="X35" s="198"/>
      <c r="Y35" s="198"/>
      <c r="Z35" s="198"/>
    </row>
    <row r="36">
      <c r="A36" s="404" t="s">
        <v>8469</v>
      </c>
      <c r="B36" s="202" t="s">
        <v>8470</v>
      </c>
      <c r="C36" s="404" t="s">
        <v>8471</v>
      </c>
      <c r="D36" s="202" t="s">
        <v>8472</v>
      </c>
      <c r="E36" s="404" t="s">
        <v>8473</v>
      </c>
      <c r="F36" s="202" t="s">
        <v>8474</v>
      </c>
      <c r="G36" s="404" t="str">
        <f>IFERROR(__xludf.DUMMYFUNCTION("GOOGLETRANSLATE(A36,""zh-tw"",""zh"")"),"巨蜗吸尘器")</f>
        <v>巨蜗吸尘器</v>
      </c>
      <c r="H36" s="202" t="str">
        <f>IFERROR(__xludf.DUMMYFUNCTION("GOOGLETRANSLATE(B36,""zh-tw"",""zh"")"),"物攻：1
魔攻：1
吸取物品")</f>
        <v>物攻：1
魔攻：1
吸取物品</v>
      </c>
      <c r="I36" s="403" t="s">
        <v>8475</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8476</v>
      </c>
      <c r="N36" s="202" t="s">
        <v>8477</v>
      </c>
      <c r="O36" s="404" t="s">
        <v>8478</v>
      </c>
      <c r="P36" s="202" t="s">
        <v>8479</v>
      </c>
      <c r="Q36" s="405" t="s">
        <v>8480</v>
      </c>
      <c r="R36" s="406" t="s">
        <v>8481</v>
      </c>
      <c r="S36" s="197" t="s">
        <v>8482</v>
      </c>
      <c r="T36" s="198" t="s">
        <v>8483</v>
      </c>
      <c r="U36" s="197"/>
      <c r="V36" s="198"/>
      <c r="W36" s="198"/>
      <c r="X36" s="198"/>
      <c r="Y36" s="198"/>
      <c r="Z36" s="198"/>
    </row>
    <row r="37">
      <c r="A37" s="404" t="s">
        <v>8484</v>
      </c>
      <c r="B37" s="202" t="s">
        <v>8485</v>
      </c>
      <c r="C37" s="404" t="s">
        <v>8486</v>
      </c>
      <c r="D37" s="202" t="s">
        <v>8487</v>
      </c>
      <c r="E37" s="404" t="s">
        <v>8488</v>
      </c>
      <c r="F37" s="202" t="s">
        <v>8489</v>
      </c>
      <c r="G37" s="404" t="str">
        <f>IFERROR(__xludf.DUMMYFUNCTION("GOOGLETRANSLATE(A37,""zh-tw"",""zh"")"),"巨大蟹钳")</f>
        <v>巨大蟹钳</v>
      </c>
      <c r="H37" s="202" t="str">
        <f>IFERROR(__xludf.DUMMYFUNCTION("GOOGLETRANSLATE(B37,""zh-tw"",""zh"")"),"物攻：15
夹住目标")</f>
        <v>物攻：15
夹住目标</v>
      </c>
      <c r="I37" s="403" t="s">
        <v>8490</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8491</v>
      </c>
      <c r="N37" s="202" t="s">
        <v>8492</v>
      </c>
      <c r="O37" s="404" t="s">
        <v>8493</v>
      </c>
      <c r="P37" s="202" t="s">
        <v>8494</v>
      </c>
      <c r="Q37" s="405" t="s">
        <v>8495</v>
      </c>
      <c r="R37" s="406" t="s">
        <v>8496</v>
      </c>
      <c r="S37" s="197" t="s">
        <v>8497</v>
      </c>
      <c r="T37" s="198" t="s">
        <v>8498</v>
      </c>
      <c r="U37" s="197"/>
      <c r="V37" s="198"/>
      <c r="W37" s="198"/>
      <c r="X37" s="198"/>
      <c r="Y37" s="198"/>
      <c r="Z37" s="198"/>
    </row>
    <row r="38">
      <c r="A38" s="403" t="s">
        <v>8499</v>
      </c>
      <c r="B38" s="167" t="s">
        <v>8500</v>
      </c>
      <c r="C38" s="404" t="s">
        <v>8499</v>
      </c>
      <c r="D38" s="202" t="s">
        <v>8501</v>
      </c>
      <c r="E38" s="404" t="s">
        <v>8502</v>
      </c>
      <c r="F38" s="202" t="s">
        <v>8503</v>
      </c>
      <c r="G38" s="404" t="str">
        <f>IFERROR(__xludf.DUMMYFUNCTION("GOOGLETRANSLATE(A38,""zh-tw"",""zh"")"),"大木槌")</f>
        <v>大木槌</v>
      </c>
      <c r="H38" s="202" t="str">
        <f>IFERROR(__xludf.DUMMYFUNCTION("GOOGLETRANSLATE(B38,""zh-tw"",""zh"")"),"物攻：36
机率晕眩")</f>
        <v>物攻：36
机率晕眩</v>
      </c>
      <c r="I38" s="403" t="s">
        <v>8504</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8505</v>
      </c>
      <c r="N38" s="202" t="s">
        <v>8506</v>
      </c>
      <c r="O38" s="404" t="s">
        <v>8507</v>
      </c>
      <c r="P38" s="202" t="s">
        <v>8508</v>
      </c>
      <c r="Q38" s="405" t="s">
        <v>8509</v>
      </c>
      <c r="R38" s="406" t="s">
        <v>8510</v>
      </c>
      <c r="S38" s="197" t="s">
        <v>8511</v>
      </c>
      <c r="T38" s="198" t="s">
        <v>8512</v>
      </c>
      <c r="U38" s="197"/>
      <c r="V38" s="198"/>
      <c r="W38" s="198"/>
      <c r="X38" s="198"/>
      <c r="Y38" s="198"/>
      <c r="Z38" s="198"/>
    </row>
    <row r="39">
      <c r="A39" s="407" t="s">
        <v>8513</v>
      </c>
      <c r="B39" s="198" t="s">
        <v>8514</v>
      </c>
      <c r="C39" s="407" t="s">
        <v>8513</v>
      </c>
      <c r="D39" s="167" t="s">
        <v>8515</v>
      </c>
      <c r="E39" s="407" t="s">
        <v>8516</v>
      </c>
      <c r="F39" s="167" t="s">
        <v>8517</v>
      </c>
      <c r="G39" s="404" t="str">
        <f>IFERROR(__xludf.DUMMYFUNCTION("GOOGLETRANSLATE(A39,""zh-tw"",""zh"")"),"日轮")</f>
        <v>日轮</v>
      </c>
      <c r="H39" s="202" t="str">
        <f>IFERROR(__xludf.DUMMYFUNCTION("GOOGLETRANSLATE(B39,""zh-tw"",""zh"")"),"物攻：12
魔攻：30
魔防：30
召唤陨石")</f>
        <v>物攻：12
魔攻：30
魔防：30
召唤陨石</v>
      </c>
      <c r="I39" s="403" t="s">
        <v>8516</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4" t="s">
        <v>8518</v>
      </c>
      <c r="N39" s="202" t="s">
        <v>8519</v>
      </c>
      <c r="O39" s="408" t="s">
        <v>8520</v>
      </c>
      <c r="P39" s="155" t="s">
        <v>8521</v>
      </c>
      <c r="Q39" s="405" t="s">
        <v>8522</v>
      </c>
      <c r="R39" s="406" t="s">
        <v>8523</v>
      </c>
      <c r="S39" s="197" t="s">
        <v>8516</v>
      </c>
      <c r="T39" s="198" t="s">
        <v>8524</v>
      </c>
      <c r="U39" s="197"/>
      <c r="V39" s="198"/>
      <c r="W39" s="198"/>
      <c r="X39" s="198"/>
      <c r="Y39" s="198"/>
      <c r="Z39" s="198"/>
    </row>
    <row r="40">
      <c r="A40" s="407" t="s">
        <v>8525</v>
      </c>
      <c r="B40" s="167" t="s">
        <v>8526</v>
      </c>
      <c r="C40" s="407" t="s">
        <v>8527</v>
      </c>
      <c r="D40" s="198" t="s">
        <v>8528</v>
      </c>
      <c r="E40" s="407" t="s">
        <v>8529</v>
      </c>
      <c r="F40" s="198" t="s">
        <v>8530</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8531</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8532</v>
      </c>
      <c r="N40" s="202" t="s">
        <v>8533</v>
      </c>
      <c r="O40" s="408" t="s">
        <v>8534</v>
      </c>
      <c r="P40" s="155" t="s">
        <v>8535</v>
      </c>
      <c r="Q40" s="405" t="s">
        <v>8536</v>
      </c>
      <c r="R40" s="406" t="s">
        <v>8537</v>
      </c>
      <c r="S40" s="197" t="s">
        <v>8538</v>
      </c>
      <c r="T40" s="198" t="s">
        <v>8539</v>
      </c>
      <c r="U40" s="197"/>
      <c r="V40" s="198"/>
      <c r="W40" s="198"/>
      <c r="X40" s="198"/>
      <c r="Y40" s="198"/>
      <c r="Z40" s="198"/>
    </row>
    <row r="41">
      <c r="A41" s="403" t="s">
        <v>8540</v>
      </c>
      <c r="B41" s="167" t="s">
        <v>8541</v>
      </c>
      <c r="C41" s="403" t="s">
        <v>4485</v>
      </c>
      <c r="D41" s="167" t="s">
        <v>8542</v>
      </c>
      <c r="E41" s="403" t="s">
        <v>8543</v>
      </c>
      <c r="F41" s="167" t="s">
        <v>8544</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4" t="s">
        <v>8546</v>
      </c>
      <c r="N41" s="202" t="s">
        <v>8547</v>
      </c>
      <c r="O41" s="403" t="s">
        <v>8548</v>
      </c>
      <c r="P41" s="167" t="s">
        <v>8549</v>
      </c>
      <c r="Q41" s="405" t="s">
        <v>8550</v>
      </c>
      <c r="R41" s="406" t="s">
        <v>8551</v>
      </c>
      <c r="S41" s="197" t="s">
        <v>8552</v>
      </c>
      <c r="T41" s="198" t="s">
        <v>8553</v>
      </c>
      <c r="U41" s="197"/>
      <c r="V41" s="198"/>
      <c r="W41" s="198"/>
      <c r="X41" s="198"/>
      <c r="Y41" s="198"/>
      <c r="Z41" s="198"/>
    </row>
    <row r="42">
      <c r="A42" s="403" t="s">
        <v>8554</v>
      </c>
      <c r="B42" s="167" t="s">
        <v>8555</v>
      </c>
      <c r="C42" s="403" t="s">
        <v>8556</v>
      </c>
      <c r="D42" s="167" t="s">
        <v>8557</v>
      </c>
      <c r="E42" s="403" t="s">
        <v>8558</v>
      </c>
      <c r="F42" s="167" t="s">
        <v>8559</v>
      </c>
      <c r="G42" s="404" t="str">
        <f>IFERROR(__xludf.DUMMYFUNCTION("GOOGLETRANSLATE(A42,""zh-tw"",""zh"")"),"锻造锤")</f>
        <v>锻造锤</v>
      </c>
      <c r="H42" s="202" t="str">
        <f>IFERROR(__xludf.DUMMYFUNCTION("GOOGLETRANSLATE(B42,""zh-tw"",""zh"")"),"物攻：6
锻造用途，详情于TIPS")</f>
        <v>物攻：6
锻造用途，详情于TIPS</v>
      </c>
      <c r="I42" s="403" t="s">
        <v>8560</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404" t="s">
        <v>8561</v>
      </c>
      <c r="N42" s="202" t="s">
        <v>8562</v>
      </c>
      <c r="O42" s="403" t="s">
        <v>8563</v>
      </c>
      <c r="P42" s="167" t="s">
        <v>8564</v>
      </c>
      <c r="Q42" s="405" t="s">
        <v>8565</v>
      </c>
      <c r="R42" s="406" t="s">
        <v>8566</v>
      </c>
      <c r="S42" s="197" t="s">
        <v>8567</v>
      </c>
      <c r="T42" s="198" t="s">
        <v>8568</v>
      </c>
      <c r="U42" s="197"/>
      <c r="V42" s="198"/>
      <c r="W42" s="198"/>
      <c r="X42" s="198"/>
      <c r="Y42" s="198"/>
      <c r="Z42" s="198"/>
    </row>
    <row r="43">
      <c r="A43" s="404" t="s">
        <v>8569</v>
      </c>
      <c r="B43" s="202" t="s">
        <v>8570</v>
      </c>
      <c r="C43" s="404" t="s">
        <v>8571</v>
      </c>
      <c r="D43" s="202" t="s">
        <v>8572</v>
      </c>
      <c r="E43" s="404" t="s">
        <v>8573</v>
      </c>
      <c r="F43" s="202" t="s">
        <v>8574</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8576</v>
      </c>
      <c r="N43" s="202" t="s">
        <v>8577</v>
      </c>
      <c r="O43" s="404" t="s">
        <v>8578</v>
      </c>
      <c r="P43" s="202" t="s">
        <v>8579</v>
      </c>
      <c r="Q43" s="405" t="s">
        <v>8580</v>
      </c>
      <c r="R43" s="406" t="s">
        <v>8581</v>
      </c>
      <c r="S43" s="197" t="s">
        <v>8582</v>
      </c>
      <c r="T43" s="198" t="s">
        <v>8583</v>
      </c>
      <c r="U43" s="197"/>
      <c r="V43" s="198"/>
      <c r="W43" s="198"/>
      <c r="X43" s="198"/>
      <c r="Y43" s="198"/>
      <c r="Z43" s="198"/>
    </row>
    <row r="44">
      <c r="A44" s="403" t="s">
        <v>8584</v>
      </c>
      <c r="B44" s="167" t="s">
        <v>8585</v>
      </c>
      <c r="C44" s="403" t="s">
        <v>8586</v>
      </c>
      <c r="D44" s="167" t="s">
        <v>8587</v>
      </c>
      <c r="E44" s="403" t="s">
        <v>8588</v>
      </c>
      <c r="F44" s="167" t="s">
        <v>8589</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8590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8591</v>
      </c>
      <c r="N44" s="202" t="s">
        <v>8592</v>
      </c>
      <c r="O44" s="403" t="s">
        <v>8593</v>
      </c>
      <c r="P44" s="167" t="s">
        <v>8594</v>
      </c>
      <c r="Q44" s="118" t="s">
        <v>8595</v>
      </c>
      <c r="R44" s="411" t="s">
        <v>8596</v>
      </c>
      <c r="S44" s="412" t="s">
        <v>8597</v>
      </c>
      <c r="T44" s="198" t="s">
        <v>8598</v>
      </c>
      <c r="U44" s="197"/>
      <c r="V44" s="198"/>
      <c r="W44" s="198"/>
      <c r="X44" s="198"/>
      <c r="Y44" s="198"/>
      <c r="Z44" s="198"/>
    </row>
    <row r="45">
      <c r="A45" s="408" t="s">
        <v>8599</v>
      </c>
      <c r="B45" s="167" t="s">
        <v>8600</v>
      </c>
      <c r="C45" s="403" t="s">
        <v>5733</v>
      </c>
      <c r="D45" s="167" t="s">
        <v>8601</v>
      </c>
      <c r="E45" s="403" t="s">
        <v>5754</v>
      </c>
      <c r="F45" s="167" t="s">
        <v>8602</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8604</v>
      </c>
      <c r="O45" s="403" t="s">
        <v>5761</v>
      </c>
      <c r="P45" s="167" t="s">
        <v>8605</v>
      </c>
      <c r="Q45" s="405" t="s">
        <v>5762</v>
      </c>
      <c r="R45" s="406" t="s">
        <v>8606</v>
      </c>
      <c r="S45" s="197" t="s">
        <v>5764</v>
      </c>
      <c r="T45" s="198" t="s">
        <v>8607</v>
      </c>
      <c r="U45" s="197"/>
      <c r="V45" s="198"/>
      <c r="W45" s="198"/>
      <c r="X45" s="198"/>
      <c r="Y45" s="198"/>
      <c r="Z45" s="198"/>
    </row>
    <row r="46">
      <c r="A46" s="403" t="s">
        <v>8608</v>
      </c>
      <c r="B46" s="167" t="s">
        <v>8609</v>
      </c>
      <c r="C46" s="403" t="s">
        <v>8610</v>
      </c>
      <c r="D46" s="167" t="s">
        <v>8611</v>
      </c>
      <c r="E46" s="403" t="s">
        <v>5735</v>
      </c>
      <c r="F46" s="167" t="s">
        <v>8612</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8613</v>
      </c>
      <c r="J46" s="198" t="str">
        <f>IFERROR(__xludf.DUMMYFUNCTION("GOOGLETRANSLATE(B46,""zh-tw"",""es-MX"")"),"Ataque físico: 26
Defensa física: 2
Efecto de congelación
Efecto de penetración al lanzar")</f>
        <v>Ataque físico: 26
Defensa física: 2
Efecto de congelación
Efecto de penetración al lanzar</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8614</v>
      </c>
      <c r="O46" s="403" t="s">
        <v>5742</v>
      </c>
      <c r="P46" s="167" t="s">
        <v>8615</v>
      </c>
      <c r="Q46" s="133" t="s">
        <v>8616</v>
      </c>
      <c r="R46" s="386" t="s">
        <v>8617</v>
      </c>
      <c r="S46" s="197" t="s">
        <v>8618</v>
      </c>
      <c r="T46" s="198" t="s">
        <v>8619</v>
      </c>
      <c r="U46" s="197"/>
      <c r="V46" s="198"/>
      <c r="W46" s="198"/>
      <c r="X46" s="198"/>
      <c r="Y46" s="198"/>
      <c r="Z46" s="198"/>
    </row>
    <row r="47">
      <c r="A47" s="403" t="s">
        <v>8620</v>
      </c>
      <c r="B47" s="167" t="s">
        <v>8621</v>
      </c>
      <c r="C47" s="403" t="s">
        <v>8622</v>
      </c>
      <c r="D47" s="167" t="s">
        <v>8623</v>
      </c>
      <c r="E47" s="403" t="s">
        <v>8624</v>
      </c>
      <c r="F47" s="167" t="s">
        <v>8625</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8626</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IFERROR(__xludf.DUMMYFUNCTION("GOOGLETRANSLATE(A47,""zh-tw"",""KO"")"),"성형 무검")</f>
        <v>성형 무검</v>
      </c>
      <c r="L47" s="198" t="str">
        <f>IFERROR(__xludf.DUMMYFUNCTION("GOOGLETRANSLATE(B47,""zh-tw"",""KO"")"),"물리 공격력: 10
마법 공격력: 10
독 효과
투척 관통 효과")</f>
        <v>물리 공격력: 10
마법 공격력: 10
독 효과
투척 관통 효과</v>
      </c>
      <c r="M47" s="404" t="s">
        <v>8627</v>
      </c>
      <c r="N47" s="202" t="s">
        <v>8628</v>
      </c>
      <c r="O47" s="403" t="s">
        <v>8629</v>
      </c>
      <c r="P47" s="167" t="s">
        <v>8630</v>
      </c>
      <c r="Q47" s="133" t="s">
        <v>8631</v>
      </c>
      <c r="R47" s="386" t="s">
        <v>8632</v>
      </c>
      <c r="S47" s="197" t="s">
        <v>8633</v>
      </c>
      <c r="T47" s="198" t="s">
        <v>8634</v>
      </c>
      <c r="U47" s="197"/>
      <c r="V47" s="198"/>
      <c r="W47" s="198"/>
      <c r="X47" s="198"/>
      <c r="Y47" s="198"/>
      <c r="Z47" s="198"/>
    </row>
    <row r="48">
      <c r="A48" s="407" t="s">
        <v>8635</v>
      </c>
      <c r="B48" s="167" t="s">
        <v>8636</v>
      </c>
      <c r="C48" s="407" t="s">
        <v>8637</v>
      </c>
      <c r="D48" s="167" t="s">
        <v>8638</v>
      </c>
      <c r="E48" s="407" t="s">
        <v>8639</v>
      </c>
      <c r="F48" s="167" t="s">
        <v>8640</v>
      </c>
      <c r="G48" s="407" t="s">
        <v>8641</v>
      </c>
      <c r="H48" s="167" t="s">
        <v>8642</v>
      </c>
      <c r="I48" s="403" t="s">
        <v>8643</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8644</v>
      </c>
      <c r="N48" s="202" t="s">
        <v>8645</v>
      </c>
      <c r="O48" s="403" t="s">
        <v>8646</v>
      </c>
      <c r="P48" s="167" t="s">
        <v>8647</v>
      </c>
      <c r="Q48" s="212" t="s">
        <v>8648</v>
      </c>
      <c r="R48" s="413" t="s">
        <v>8649</v>
      </c>
      <c r="S48" s="197" t="s">
        <v>8650</v>
      </c>
      <c r="T48" s="167" t="s">
        <v>8651</v>
      </c>
      <c r="U48" s="197"/>
      <c r="V48" s="198"/>
      <c r="W48" s="198"/>
      <c r="X48" s="198"/>
      <c r="Y48" s="198"/>
      <c r="Z48" s="198"/>
    </row>
    <row r="49">
      <c r="A49" s="403" t="s">
        <v>8652</v>
      </c>
      <c r="B49" s="167" t="s">
        <v>8196</v>
      </c>
      <c r="C49" s="403" t="s">
        <v>8653</v>
      </c>
      <c r="D49" s="167" t="s">
        <v>8654</v>
      </c>
      <c r="E49" s="403" t="s">
        <v>8655</v>
      </c>
      <c r="F49" s="167" t="s">
        <v>8656</v>
      </c>
      <c r="G49" s="403" t="s">
        <v>8652</v>
      </c>
      <c r="H49" s="167" t="s">
        <v>8657</v>
      </c>
      <c r="I49" s="407"/>
      <c r="J49" s="198"/>
      <c r="K49" s="403" t="s">
        <v>8658</v>
      </c>
      <c r="L49" s="167" t="s">
        <v>8659</v>
      </c>
      <c r="M49" s="404" t="s">
        <v>8660</v>
      </c>
      <c r="N49" s="202" t="s">
        <v>8203</v>
      </c>
      <c r="O49" s="407"/>
      <c r="P49" s="198"/>
      <c r="Q49" s="414" t="s">
        <v>8661</v>
      </c>
      <c r="R49" s="413" t="s">
        <v>8662</v>
      </c>
      <c r="S49" s="165" t="s">
        <v>8663</v>
      </c>
      <c r="T49" s="167" t="s">
        <v>8664</v>
      </c>
      <c r="U49" s="165"/>
      <c r="V49" s="167"/>
      <c r="W49" s="198"/>
      <c r="X49" s="198"/>
      <c r="Y49" s="198"/>
      <c r="Z49" s="198"/>
    </row>
    <row r="50">
      <c r="A50" s="403" t="s">
        <v>8665</v>
      </c>
      <c r="B50" s="167" t="s">
        <v>8666</v>
      </c>
      <c r="C50" s="403" t="s">
        <v>8667</v>
      </c>
      <c r="D50" s="167" t="s">
        <v>8668</v>
      </c>
      <c r="E50" s="403" t="s">
        <v>8669</v>
      </c>
      <c r="F50" s="167" t="s">
        <v>8670</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404" t="s">
        <v>8671</v>
      </c>
      <c r="N50" s="202" t="s">
        <v>8672</v>
      </c>
      <c r="O50" s="407" t="s">
        <v>8673</v>
      </c>
      <c r="P50" s="198" t="s">
        <v>8674</v>
      </c>
      <c r="Q50" s="414" t="str">
        <f>IFERROR(__xludf.DUMMYFUNCTION("GOOGLETRANSLATE(A50,""zh-tw"",""vi"")"),"Cột nghi lễ")</f>
        <v>Cột nghi lễ</v>
      </c>
      <c r="R50" s="413" t="s">
        <v>8675</v>
      </c>
      <c r="S50" s="165" t="s">
        <v>8676</v>
      </c>
      <c r="T50" s="167" t="s">
        <v>8677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8678</v>
      </c>
      <c r="B1" s="84" t="s">
        <v>8679</v>
      </c>
      <c r="C1" s="399" t="str">
        <f>IFERROR(__xludf.DUMMYFUNCTION("GOOGLETRANSLATE(A1,""zh-tw"",""ja"")"),"設備プロジェクト")</f>
        <v>設備プロジェクト</v>
      </c>
      <c r="D1" s="88" t="str">
        <f>IFERROR(__xludf.DUMMYFUNCTION("GOOGLETRANSLATE(B1,""zh-tw"",""ja"")"),"装備の属性")</f>
        <v>装備の属性</v>
      </c>
      <c r="E1" s="400" t="s">
        <v>8680</v>
      </c>
      <c r="F1" s="27" t="s">
        <v>7948</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8681</v>
      </c>
      <c r="N1" s="88" t="s">
        <v>7950</v>
      </c>
      <c r="O1" s="397" t="s">
        <v>8682</v>
      </c>
      <c r="P1" s="84" t="s">
        <v>8683</v>
      </c>
      <c r="Q1" s="417" t="s">
        <v>8684</v>
      </c>
      <c r="R1" s="402" t="s">
        <v>7954</v>
      </c>
      <c r="S1" s="398" t="s">
        <v>8685</v>
      </c>
      <c r="T1" s="53" t="s">
        <v>7956</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8686</v>
      </c>
      <c r="B2" s="202" t="s">
        <v>8687</v>
      </c>
      <c r="C2" s="403" t="s">
        <v>8688</v>
      </c>
      <c r="D2" s="167" t="s">
        <v>8689</v>
      </c>
      <c r="E2" s="403" t="s">
        <v>8690</v>
      </c>
      <c r="F2" s="167" t="s">
        <v>8691</v>
      </c>
      <c r="G2" s="407" t="str">
        <f>IFERROR(__xludf.DUMMYFUNCTION("GOOGLETRANSLATE(A2,""zh-tw"",""zh"")"),"妹妹脱下的内裤")</f>
        <v>妹妹脱下的内裤</v>
      </c>
      <c r="H2" s="198" t="str">
        <f>IFERROR(__xludf.DUMMYFUNCTION("GOOGLETRANSLATE(B2,""zh-tw"",""zh"")"),"低体力回复")</f>
        <v>低体力回复</v>
      </c>
      <c r="I2" s="403" t="s">
        <v>8692</v>
      </c>
      <c r="J2" s="167" t="s">
        <v>8693</v>
      </c>
      <c r="K2" s="403" t="s">
        <v>8694</v>
      </c>
      <c r="L2" s="167" t="s">
        <v>8695</v>
      </c>
      <c r="M2" s="407" t="s">
        <v>8696</v>
      </c>
      <c r="N2" s="198" t="s">
        <v>8697</v>
      </c>
      <c r="O2" s="404" t="s">
        <v>8698</v>
      </c>
      <c r="P2" s="202" t="s">
        <v>8699</v>
      </c>
      <c r="Q2" s="418" t="s">
        <v>8700</v>
      </c>
      <c r="R2" s="406" t="s">
        <v>8701</v>
      </c>
      <c r="S2" s="403" t="s">
        <v>8702</v>
      </c>
      <c r="T2" s="198" t="s">
        <v>8703</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8704</v>
      </c>
      <c r="B3" s="202" t="s">
        <v>8705</v>
      </c>
      <c r="C3" s="403" t="s">
        <v>8706</v>
      </c>
      <c r="D3" s="167" t="s">
        <v>8707</v>
      </c>
      <c r="E3" s="403" t="s">
        <v>8708</v>
      </c>
      <c r="F3" s="167" t="s">
        <v>8709</v>
      </c>
      <c r="G3" s="407" t="str">
        <f>IFERROR(__xludf.DUMMYFUNCTION("GOOGLETRANSLATE(A3,""zh-tw"",""zh"")"),"少女的笑容")</f>
        <v>少女的笑容</v>
      </c>
      <c r="H3" s="198" t="str">
        <f>IFERROR(__xludf.DUMMYFUNCTION("GOOGLETRANSLATE(B3,""zh-tw"",""zh"")"),"性欲上升，全属性上升10%")</f>
        <v>性欲上升，全属性上升10%</v>
      </c>
      <c r="I3" s="403" t="s">
        <v>8710</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8711</v>
      </c>
      <c r="M3" s="407" t="s">
        <v>8712</v>
      </c>
      <c r="N3" s="198" t="s">
        <v>8713</v>
      </c>
      <c r="O3" s="404" t="s">
        <v>8714</v>
      </c>
      <c r="P3" s="202" t="s">
        <v>8715</v>
      </c>
      <c r="Q3" s="418" t="s">
        <v>8716</v>
      </c>
      <c r="R3" s="406" t="s">
        <v>8717</v>
      </c>
      <c r="S3" s="407" t="s">
        <v>8718</v>
      </c>
      <c r="T3" s="198" t="s">
        <v>8719</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8720</v>
      </c>
      <c r="B4" s="202" t="s">
        <v>1231</v>
      </c>
      <c r="C4" s="403" t="s">
        <v>8721</v>
      </c>
      <c r="D4" s="202" t="s">
        <v>1231</v>
      </c>
      <c r="E4" s="403" t="s">
        <v>8722</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8723</v>
      </c>
      <c r="N4" s="198" t="s">
        <v>1231</v>
      </c>
      <c r="O4" s="404" t="s">
        <v>8724</v>
      </c>
      <c r="P4" s="202" t="s">
        <v>8725</v>
      </c>
      <c r="Q4" s="418" t="s">
        <v>8726</v>
      </c>
      <c r="R4" s="406" t="s">
        <v>1231</v>
      </c>
      <c r="S4" s="407" t="s">
        <v>8727</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8728</v>
      </c>
      <c r="B5" s="202" t="s">
        <v>8729</v>
      </c>
      <c r="C5" s="403" t="s">
        <v>8730</v>
      </c>
      <c r="D5" s="167" t="s">
        <v>8731</v>
      </c>
      <c r="E5" s="403" t="s">
        <v>8732</v>
      </c>
      <c r="F5" s="167" t="s">
        <v>8733</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8734</v>
      </c>
      <c r="M5" s="407" t="s">
        <v>8735</v>
      </c>
      <c r="N5" s="198" t="s">
        <v>8736</v>
      </c>
      <c r="O5" s="404" t="s">
        <v>8737</v>
      </c>
      <c r="P5" s="202" t="s">
        <v>8738</v>
      </c>
      <c r="Q5" s="418" t="s">
        <v>8739</v>
      </c>
      <c r="R5" s="410" t="s">
        <v>8740</v>
      </c>
      <c r="S5" s="407" t="s">
        <v>8741</v>
      </c>
      <c r="T5" s="198" t="s">
        <v>8742</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8743</v>
      </c>
      <c r="B6" s="202" t="s">
        <v>8744</v>
      </c>
      <c r="C6" s="403" t="s">
        <v>8745</v>
      </c>
      <c r="D6" s="167" t="s">
        <v>8746</v>
      </c>
      <c r="E6" s="403" t="s">
        <v>8747</v>
      </c>
      <c r="F6" s="167" t="s">
        <v>8748</v>
      </c>
      <c r="G6" s="407" t="str">
        <f>IFERROR(__xludf.DUMMYFUNCTION("GOOGLETRANSLATE(A6,""zh-tw"",""zh"")"),"苹果头套")</f>
        <v>苹果头套</v>
      </c>
      <c r="H6" s="198" t="str">
        <f>IFERROR(__xludf.DUMMYFUNCTION("GOOGLETRANSLATE(B6,""zh-tw"",""zh"")"),"幸运：10
概率回复")</f>
        <v>幸运：10
概率回复</v>
      </c>
      <c r="I6" s="403" t="s">
        <v>8749</v>
      </c>
      <c r="J6" s="167" t="s">
        <v>8750</v>
      </c>
      <c r="K6" s="403" t="s">
        <v>8751</v>
      </c>
      <c r="L6" s="167" t="s">
        <v>8752</v>
      </c>
      <c r="M6" s="407" t="s">
        <v>8753</v>
      </c>
      <c r="N6" s="198" t="s">
        <v>8754</v>
      </c>
      <c r="O6" s="404" t="s">
        <v>8755</v>
      </c>
      <c r="P6" s="202" t="s">
        <v>8756</v>
      </c>
      <c r="Q6" s="418" t="s">
        <v>8757</v>
      </c>
      <c r="R6" s="406" t="s">
        <v>8758</v>
      </c>
      <c r="S6" s="407" t="s">
        <v>8759</v>
      </c>
      <c r="T6" s="198" t="s">
        <v>8760</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8761</v>
      </c>
      <c r="B7" s="202" t="s">
        <v>8762</v>
      </c>
      <c r="C7" s="403" t="s">
        <v>8763</v>
      </c>
      <c r="D7" s="167" t="s">
        <v>8764</v>
      </c>
      <c r="E7" s="403" t="s">
        <v>8765</v>
      </c>
      <c r="F7" s="167" t="s">
        <v>8766</v>
      </c>
      <c r="G7" s="407" t="str">
        <f>IFERROR(__xludf.DUMMYFUNCTION("GOOGLETRANSLATE(A7,""zh-tw"",""zh"")"),"借来的猫爪")</f>
        <v>借来的猫爪</v>
      </c>
      <c r="H7" s="198" t="str">
        <f>IFERROR(__xludf.DUMMYFUNCTION("GOOGLETRANSLATE(B7,""zh-tw"",""zh"")"),"物攻：5
攻击力、攻速上升")</f>
        <v>物攻：5
攻击力、攻速上升</v>
      </c>
      <c r="I7" s="403" t="s">
        <v>8767</v>
      </c>
      <c r="J7" s="198" t="str">
        <f>IFERROR(__xludf.DUMMYFUNCTION("GOOGLETRANSLATE(B7,""zh-tw"",""es-MX"")"),"Ataque físico: 5. Aumenta el poder de ataque y la velocidad de ataque.")</f>
        <v>Ataque físico: 5. Aumenta el poder de ataque y la velocidad de ataque.</v>
      </c>
      <c r="K7" s="403" t="s">
        <v>8768</v>
      </c>
      <c r="L7" s="167" t="s">
        <v>8769</v>
      </c>
      <c r="M7" s="407" t="s">
        <v>8770</v>
      </c>
      <c r="N7" s="198" t="s">
        <v>8771</v>
      </c>
      <c r="O7" s="404" t="s">
        <v>8772</v>
      </c>
      <c r="P7" s="202" t="s">
        <v>8773</v>
      </c>
      <c r="Q7" s="418" t="s">
        <v>8774</v>
      </c>
      <c r="R7" s="406" t="s">
        <v>8775</v>
      </c>
      <c r="S7" s="407" t="s">
        <v>8776</v>
      </c>
      <c r="T7" s="198" t="s">
        <v>8777</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8778</v>
      </c>
      <c r="B8" s="202" t="s">
        <v>8779</v>
      </c>
      <c r="C8" s="403" t="s">
        <v>8780</v>
      </c>
      <c r="D8" s="167" t="s">
        <v>8781</v>
      </c>
      <c r="E8" s="403" t="s">
        <v>8782</v>
      </c>
      <c r="F8" s="167" t="s">
        <v>8783</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8784</v>
      </c>
      <c r="L8" s="167" t="s">
        <v>8785</v>
      </c>
      <c r="M8" s="407" t="s">
        <v>7567</v>
      </c>
      <c r="N8" s="198" t="s">
        <v>8786</v>
      </c>
      <c r="O8" s="404" t="s">
        <v>8787</v>
      </c>
      <c r="P8" s="202" t="s">
        <v>8788</v>
      </c>
      <c r="Q8" s="418" t="s">
        <v>8789</v>
      </c>
      <c r="R8" s="406" t="s">
        <v>8790</v>
      </c>
      <c r="S8" s="407" t="s">
        <v>8791</v>
      </c>
      <c r="T8" s="198" t="s">
        <v>8792</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7558</v>
      </c>
      <c r="B9" s="202" t="s">
        <v>8793</v>
      </c>
      <c r="C9" s="403" t="s">
        <v>7560</v>
      </c>
      <c r="D9" s="167" t="s">
        <v>8794</v>
      </c>
      <c r="E9" s="403" t="s">
        <v>7562</v>
      </c>
      <c r="F9" s="167" t="s">
        <v>8795</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7564</v>
      </c>
      <c r="L9" s="167" t="s">
        <v>8796</v>
      </c>
      <c r="M9" s="407" t="s">
        <v>8797</v>
      </c>
      <c r="N9" s="198" t="s">
        <v>8798</v>
      </c>
      <c r="O9" s="404" t="s">
        <v>7569</v>
      </c>
      <c r="P9" s="202" t="s">
        <v>8799</v>
      </c>
      <c r="Q9" s="418" t="s">
        <v>8800</v>
      </c>
      <c r="R9" s="406" t="s">
        <v>8801</v>
      </c>
      <c r="S9" s="407" t="s">
        <v>7573</v>
      </c>
      <c r="T9" s="198" t="s">
        <v>8802</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8803</v>
      </c>
      <c r="B10" s="202" t="s">
        <v>8804</v>
      </c>
      <c r="C10" s="403" t="s">
        <v>8805</v>
      </c>
      <c r="D10" s="167" t="s">
        <v>8806</v>
      </c>
      <c r="E10" s="403" t="s">
        <v>8807</v>
      </c>
      <c r="F10" s="167" t="s">
        <v>8808</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8809</v>
      </c>
      <c r="L10" s="167" t="s">
        <v>8810</v>
      </c>
      <c r="M10" s="407" t="s">
        <v>8811</v>
      </c>
      <c r="N10" s="198" t="s">
        <v>8812</v>
      </c>
      <c r="O10" s="404" t="s">
        <v>8813</v>
      </c>
      <c r="P10" s="202" t="s">
        <v>8814</v>
      </c>
      <c r="Q10" s="418" t="s">
        <v>8815</v>
      </c>
      <c r="R10" s="406" t="s">
        <v>8816</v>
      </c>
      <c r="S10" s="407" t="s">
        <v>8817</v>
      </c>
      <c r="T10" s="198" t="s">
        <v>8818</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8819</v>
      </c>
      <c r="B11" s="202" t="s">
        <v>8820</v>
      </c>
      <c r="C11" s="403" t="s">
        <v>8821</v>
      </c>
      <c r="D11" s="167" t="s">
        <v>8822</v>
      </c>
      <c r="E11" s="403" t="s">
        <v>8823</v>
      </c>
      <c r="F11" s="167" t="s">
        <v>8824</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8825</v>
      </c>
      <c r="L11" s="167" t="s">
        <v>8826</v>
      </c>
      <c r="M11" s="407" t="s">
        <v>8827</v>
      </c>
      <c r="N11" s="198" t="s">
        <v>8828</v>
      </c>
      <c r="O11" s="404" t="s">
        <v>8829</v>
      </c>
      <c r="P11" s="202" t="s">
        <v>8830</v>
      </c>
      <c r="Q11" s="418" t="s">
        <v>8831</v>
      </c>
      <c r="R11" s="406" t="s">
        <v>8832</v>
      </c>
      <c r="S11" s="407" t="s">
        <v>8833</v>
      </c>
      <c r="T11" s="198" t="s">
        <v>8834</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8835</v>
      </c>
      <c r="B12" s="202" t="s">
        <v>8836</v>
      </c>
      <c r="C12" s="403" t="s">
        <v>8837</v>
      </c>
      <c r="D12" s="167" t="s">
        <v>8838</v>
      </c>
      <c r="E12" s="403" t="s">
        <v>8839</v>
      </c>
      <c r="F12" s="167" t="s">
        <v>8840</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8841</v>
      </c>
      <c r="M12" s="407" t="s">
        <v>8842</v>
      </c>
      <c r="N12" s="198" t="s">
        <v>8843</v>
      </c>
      <c r="O12" s="404" t="s">
        <v>8844</v>
      </c>
      <c r="P12" s="202" t="s">
        <v>8845</v>
      </c>
      <c r="Q12" s="418" t="s">
        <v>8846</v>
      </c>
      <c r="R12" s="410" t="s">
        <v>8847</v>
      </c>
      <c r="S12" s="407" t="s">
        <v>8848</v>
      </c>
      <c r="T12" s="198" t="s">
        <v>8849</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8850</v>
      </c>
      <c r="B13" s="202" t="s">
        <v>8836</v>
      </c>
      <c r="C13" s="403" t="s">
        <v>8851</v>
      </c>
      <c r="D13" s="167" t="s">
        <v>8838</v>
      </c>
      <c r="E13" s="403" t="s">
        <v>8852</v>
      </c>
      <c r="F13" s="167" t="s">
        <v>8853</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8854</v>
      </c>
      <c r="L13" s="167" t="s">
        <v>8841</v>
      </c>
      <c r="M13" s="407" t="s">
        <v>8855</v>
      </c>
      <c r="N13" s="198" t="s">
        <v>8856</v>
      </c>
      <c r="O13" s="404" t="s">
        <v>8857</v>
      </c>
      <c r="P13" s="202" t="s">
        <v>8858</v>
      </c>
      <c r="Q13" s="418" t="s">
        <v>8859</v>
      </c>
      <c r="R13" s="410" t="s">
        <v>8860</v>
      </c>
      <c r="S13" s="407" t="s">
        <v>8861</v>
      </c>
      <c r="T13" s="198" t="s">
        <v>8862</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8863</v>
      </c>
      <c r="B14" s="202" t="s">
        <v>8864</v>
      </c>
      <c r="C14" s="403" t="s">
        <v>8865</v>
      </c>
      <c r="D14" s="167" t="s">
        <v>8866</v>
      </c>
      <c r="E14" s="403" t="s">
        <v>8867</v>
      </c>
      <c r="F14" s="167" t="s">
        <v>8868</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7728</v>
      </c>
      <c r="L14" s="167" t="s">
        <v>8869</v>
      </c>
      <c r="M14" s="407" t="s">
        <v>8870</v>
      </c>
      <c r="N14" s="198" t="s">
        <v>8871</v>
      </c>
      <c r="O14" s="404" t="s">
        <v>7734</v>
      </c>
      <c r="P14" s="202" t="s">
        <v>8872</v>
      </c>
      <c r="Q14" s="418" t="s">
        <v>8873</v>
      </c>
      <c r="R14" s="410" t="s">
        <v>8874</v>
      </c>
      <c r="S14" s="407" t="s">
        <v>8875</v>
      </c>
      <c r="T14" s="198" t="s">
        <v>8876</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8877</v>
      </c>
      <c r="B15" s="202" t="s">
        <v>8878</v>
      </c>
      <c r="C15" s="403" t="s">
        <v>8879</v>
      </c>
      <c r="D15" s="167" t="s">
        <v>8880</v>
      </c>
      <c r="E15" s="403" t="s">
        <v>8881</v>
      </c>
      <c r="F15" s="167" t="s">
        <v>8882</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8883</v>
      </c>
      <c r="L15" s="167" t="s">
        <v>8884</v>
      </c>
      <c r="M15" s="407" t="s">
        <v>8885</v>
      </c>
      <c r="N15" s="198" t="s">
        <v>8886</v>
      </c>
      <c r="O15" s="404" t="s">
        <v>8887</v>
      </c>
      <c r="P15" s="202" t="s">
        <v>8888</v>
      </c>
      <c r="Q15" s="418" t="s">
        <v>8889</v>
      </c>
      <c r="R15" s="410" t="s">
        <v>8890</v>
      </c>
      <c r="S15" s="407" t="s">
        <v>8891</v>
      </c>
      <c r="T15" s="198" t="s">
        <v>8892</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8893</v>
      </c>
      <c r="B16" s="167" t="s">
        <v>8894</v>
      </c>
      <c r="C16" s="403" t="s">
        <v>8895</v>
      </c>
      <c r="D16" s="167" t="s">
        <v>8896</v>
      </c>
      <c r="E16" s="407" t="str">
        <f>IFERROR(__xludf.DUMMYFUNCTION("GOOGLETRANSLATE(A16,""zh-tw"",""en"")"),"Martial Arts Wristguards")</f>
        <v>Martial Arts Wristguards</v>
      </c>
      <c r="F16" s="167" t="s">
        <v>8897</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8898</v>
      </c>
      <c r="N16" s="198" t="s">
        <v>8899</v>
      </c>
      <c r="O16" s="404" t="s">
        <v>8900</v>
      </c>
      <c r="P16" s="202" t="s">
        <v>8901</v>
      </c>
      <c r="Q16" s="418" t="s">
        <v>8902</v>
      </c>
      <c r="R16" s="410" t="s">
        <v>8903</v>
      </c>
      <c r="S16" s="407" t="s">
        <v>8904</v>
      </c>
      <c r="T16" s="198" t="s">
        <v>8905</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8906</v>
      </c>
      <c r="B17" s="202" t="s">
        <v>8907</v>
      </c>
      <c r="C17" s="403" t="s">
        <v>8908</v>
      </c>
      <c r="D17" s="167" t="s">
        <v>8909</v>
      </c>
      <c r="E17" s="403" t="s">
        <v>8910</v>
      </c>
      <c r="F17" s="167" t="s">
        <v>8911</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8912</v>
      </c>
      <c r="N17" s="198" t="s">
        <v>8913</v>
      </c>
      <c r="O17" s="404" t="s">
        <v>8914</v>
      </c>
      <c r="P17" s="202" t="s">
        <v>8915</v>
      </c>
      <c r="Q17" s="418" t="s">
        <v>8916</v>
      </c>
      <c r="R17" s="410" t="s">
        <v>8917</v>
      </c>
      <c r="S17" s="407" t="s">
        <v>8918</v>
      </c>
      <c r="T17" s="198" t="s">
        <v>8919</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8920</v>
      </c>
      <c r="B18" s="202" t="s">
        <v>8921</v>
      </c>
      <c r="C18" s="403" t="s">
        <v>8922</v>
      </c>
      <c r="D18" s="167" t="s">
        <v>8923</v>
      </c>
      <c r="E18" s="403" t="s">
        <v>8924</v>
      </c>
      <c r="F18" s="167" t="s">
        <v>8925</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8926</v>
      </c>
      <c r="N18" s="198" t="s">
        <v>8927</v>
      </c>
      <c r="O18" s="404" t="s">
        <v>8928</v>
      </c>
      <c r="P18" s="202" t="s">
        <v>8929</v>
      </c>
      <c r="Q18" s="418" t="s">
        <v>8930</v>
      </c>
      <c r="R18" s="410" t="s">
        <v>8931</v>
      </c>
      <c r="S18" s="407" t="s">
        <v>8932</v>
      </c>
      <c r="T18" s="198" t="s">
        <v>8933</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8934</v>
      </c>
      <c r="B19" s="202" t="s">
        <v>8935</v>
      </c>
      <c r="C19" s="403" t="s">
        <v>8936</v>
      </c>
      <c r="D19" s="167" t="s">
        <v>8937</v>
      </c>
      <c r="E19" s="403" t="s">
        <v>8938</v>
      </c>
      <c r="F19" s="167" t="s">
        <v>8939</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8940</v>
      </c>
      <c r="L19" s="167" t="s">
        <v>8941</v>
      </c>
      <c r="M19" s="407" t="s">
        <v>8942</v>
      </c>
      <c r="N19" s="198" t="s">
        <v>8943</v>
      </c>
      <c r="O19" s="404" t="s">
        <v>8944</v>
      </c>
      <c r="P19" s="202" t="s">
        <v>8945</v>
      </c>
      <c r="Q19" s="418" t="s">
        <v>8946</v>
      </c>
      <c r="R19" s="406" t="s">
        <v>8947</v>
      </c>
      <c r="S19" s="407" t="s">
        <v>8948</v>
      </c>
      <c r="T19" s="198" t="s">
        <v>8949</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8950</v>
      </c>
      <c r="B20" s="202" t="s">
        <v>8951</v>
      </c>
      <c r="C20" s="403" t="s">
        <v>8952</v>
      </c>
      <c r="D20" s="167" t="s">
        <v>8953</v>
      </c>
      <c r="E20" s="403" t="s">
        <v>8954</v>
      </c>
      <c r="F20" s="167" t="s">
        <v>8955</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8956</v>
      </c>
      <c r="L20" s="167" t="s">
        <v>8957</v>
      </c>
      <c r="M20" s="407" t="s">
        <v>8958</v>
      </c>
      <c r="N20" s="198" t="s">
        <v>8959</v>
      </c>
      <c r="O20" s="404" t="s">
        <v>8960</v>
      </c>
      <c r="P20" s="202" t="s">
        <v>8961</v>
      </c>
      <c r="Q20" s="418" t="s">
        <v>8962</v>
      </c>
      <c r="R20" s="410" t="s">
        <v>8963</v>
      </c>
      <c r="S20" s="407" t="s">
        <v>8964</v>
      </c>
      <c r="T20" s="198" t="s">
        <v>8965</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8966</v>
      </c>
      <c r="B21" s="202" t="s">
        <v>8967</v>
      </c>
      <c r="C21" s="403" t="s">
        <v>8968</v>
      </c>
      <c r="D21" s="167" t="s">
        <v>8969</v>
      </c>
      <c r="E21" s="403" t="s">
        <v>8970</v>
      </c>
      <c r="F21" s="167" t="s">
        <v>8971</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8972</v>
      </c>
      <c r="L21" s="167" t="s">
        <v>8973</v>
      </c>
      <c r="M21" s="407" t="s">
        <v>8974</v>
      </c>
      <c r="N21" s="198" t="s">
        <v>8975</v>
      </c>
      <c r="O21" s="404" t="s">
        <v>8976</v>
      </c>
      <c r="P21" s="202" t="s">
        <v>8977</v>
      </c>
      <c r="Q21" s="418" t="s">
        <v>8978</v>
      </c>
      <c r="R21" s="410" t="s">
        <v>8979</v>
      </c>
      <c r="S21" s="407" t="s">
        <v>8980</v>
      </c>
      <c r="T21" s="198" t="s">
        <v>8981</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8982</v>
      </c>
      <c r="B22" s="202" t="s">
        <v>8983</v>
      </c>
      <c r="C22" s="403" t="s">
        <v>8984</v>
      </c>
      <c r="D22" s="167" t="s">
        <v>8985</v>
      </c>
      <c r="E22" s="403" t="s">
        <v>8986</v>
      </c>
      <c r="F22" s="167" t="s">
        <v>8987</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7" t="str">
        <f>IFERROR(__xludf.DUMMYFUNCTION("GOOGLETRANSLATE(A22,""zh-tw"",""KO"")"),"저주받은 태아")</f>
        <v>저주받은 태아</v>
      </c>
      <c r="L22" s="167" t="s">
        <v>8988</v>
      </c>
      <c r="M22" s="407" t="s">
        <v>8989</v>
      </c>
      <c r="N22" s="198" t="s">
        <v>8990</v>
      </c>
      <c r="O22" s="404" t="s">
        <v>8991</v>
      </c>
      <c r="P22" s="202" t="s">
        <v>8992</v>
      </c>
      <c r="Q22" s="418" t="s">
        <v>8993</v>
      </c>
      <c r="R22" s="406" t="s">
        <v>8994</v>
      </c>
      <c r="S22" s="407" t="s">
        <v>8995</v>
      </c>
      <c r="T22" s="198" t="s">
        <v>8996</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8997</v>
      </c>
      <c r="B23" s="202" t="s">
        <v>8998</v>
      </c>
      <c r="C23" s="403" t="s">
        <v>8999</v>
      </c>
      <c r="D23" s="167" t="s">
        <v>9000</v>
      </c>
      <c r="E23" s="403" t="s">
        <v>9001</v>
      </c>
      <c r="F23" s="167" t="s">
        <v>9002</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7" t="str">
        <f>IFERROR(__xludf.DUMMYFUNCTION("GOOGLETRANSLATE(A23,""zh-tw"",""KO"")"),"불행한 탄생")</f>
        <v>불행한 탄생</v>
      </c>
      <c r="L23" s="167" t="s">
        <v>9003</v>
      </c>
      <c r="M23" s="407" t="s">
        <v>9004</v>
      </c>
      <c r="N23" s="198" t="s">
        <v>9005</v>
      </c>
      <c r="O23" s="404" t="s">
        <v>9006</v>
      </c>
      <c r="P23" s="202" t="s">
        <v>9007</v>
      </c>
      <c r="Q23" s="418" t="s">
        <v>9008</v>
      </c>
      <c r="R23" s="410" t="s">
        <v>9009</v>
      </c>
      <c r="S23" s="407" t="s">
        <v>9010</v>
      </c>
      <c r="T23" s="198" t="s">
        <v>9011</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9012</v>
      </c>
      <c r="B24" s="167" t="s">
        <v>9013</v>
      </c>
      <c r="C24" s="403" t="s">
        <v>9014</v>
      </c>
      <c r="D24" s="167" t="s">
        <v>9015</v>
      </c>
      <c r="E24" s="403" t="s">
        <v>9016</v>
      </c>
      <c r="F24" s="167" t="s">
        <v>9017</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9018</v>
      </c>
      <c r="M24" s="407" t="s">
        <v>9019</v>
      </c>
      <c r="N24" s="198" t="s">
        <v>9020</v>
      </c>
      <c r="O24" s="404" t="s">
        <v>9021</v>
      </c>
      <c r="P24" s="202" t="s">
        <v>9022</v>
      </c>
      <c r="Q24" s="418" t="s">
        <v>9023</v>
      </c>
      <c r="R24" s="49" t="s">
        <v>9024</v>
      </c>
      <c r="S24" s="407" t="s">
        <v>9025</v>
      </c>
      <c r="T24" s="198" t="s">
        <v>9026</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9027</v>
      </c>
      <c r="B25" s="167" t="s">
        <v>9028</v>
      </c>
      <c r="C25" s="403" t="s">
        <v>9029</v>
      </c>
      <c r="D25" s="167" t="s">
        <v>9030</v>
      </c>
      <c r="E25" s="403" t="s">
        <v>9031</v>
      </c>
      <c r="F25" s="167" t="s">
        <v>9032</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9033</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3" t="s">
        <v>9034</v>
      </c>
      <c r="L25" s="167" t="s">
        <v>9035</v>
      </c>
      <c r="M25" s="407" t="s">
        <v>9036</v>
      </c>
      <c r="N25" s="198" t="s">
        <v>9037</v>
      </c>
      <c r="O25" s="404" t="s">
        <v>9038</v>
      </c>
      <c r="P25" s="202" t="s">
        <v>9039</v>
      </c>
      <c r="Q25" s="418" t="s">
        <v>9040</v>
      </c>
      <c r="R25" s="406" t="s">
        <v>9041</v>
      </c>
      <c r="S25" s="419" t="s">
        <v>9031</v>
      </c>
      <c r="T25" s="198" t="s">
        <v>9042</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9043</v>
      </c>
      <c r="B26" s="167" t="s">
        <v>9044</v>
      </c>
      <c r="C26" s="403" t="s">
        <v>9045</v>
      </c>
      <c r="D26" s="167" t="s">
        <v>9046</v>
      </c>
      <c r="E26" s="403" t="s">
        <v>9047</v>
      </c>
      <c r="F26" s="167" t="s">
        <v>9048</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9049</v>
      </c>
      <c r="L26" s="167" t="s">
        <v>9050</v>
      </c>
      <c r="M26" s="407" t="s">
        <v>9051</v>
      </c>
      <c r="N26" s="198" t="s">
        <v>9052</v>
      </c>
      <c r="O26" s="404" t="s">
        <v>9053</v>
      </c>
      <c r="P26" s="202" t="s">
        <v>9054</v>
      </c>
      <c r="Q26" s="418" t="s">
        <v>9055</v>
      </c>
      <c r="R26" s="406" t="s">
        <v>9056</v>
      </c>
      <c r="S26" s="407" t="s">
        <v>9057</v>
      </c>
      <c r="T26" s="198" t="s">
        <v>9058</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9059</v>
      </c>
      <c r="B27" s="167" t="s">
        <v>9060</v>
      </c>
      <c r="C27" s="403" t="s">
        <v>9061</v>
      </c>
      <c r="D27" s="167" t="s">
        <v>9062</v>
      </c>
      <c r="E27" s="403" t="s">
        <v>9063</v>
      </c>
      <c r="F27" s="167" t="s">
        <v>9064</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3" t="s">
        <v>9065</v>
      </c>
      <c r="L27" s="167" t="s">
        <v>9066</v>
      </c>
      <c r="M27" s="407" t="s">
        <v>9067</v>
      </c>
      <c r="N27" s="198" t="s">
        <v>9068</v>
      </c>
      <c r="O27" s="404" t="s">
        <v>9069</v>
      </c>
      <c r="P27" s="202" t="s">
        <v>9070</v>
      </c>
      <c r="Q27" s="418" t="s">
        <v>9071</v>
      </c>
      <c r="R27" s="410" t="s">
        <v>9072</v>
      </c>
      <c r="S27" s="407" t="s">
        <v>9073</v>
      </c>
      <c r="T27" s="198" t="s">
        <v>9074</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9075</v>
      </c>
      <c r="B28" s="202" t="s">
        <v>9076</v>
      </c>
      <c r="C28" s="403" t="s">
        <v>9077</v>
      </c>
      <c r="D28" s="167" t="s">
        <v>9078</v>
      </c>
      <c r="E28" s="403" t="s">
        <v>9079</v>
      </c>
      <c r="F28" s="167" t="s">
        <v>9080</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9081</v>
      </c>
      <c r="L28" s="167" t="s">
        <v>9082</v>
      </c>
      <c r="M28" s="403" t="s">
        <v>9083</v>
      </c>
      <c r="N28" s="198" t="s">
        <v>9084</v>
      </c>
      <c r="O28" s="404" t="s">
        <v>9085</v>
      </c>
      <c r="P28" s="202" t="s">
        <v>9086</v>
      </c>
      <c r="Q28" s="418" t="s">
        <v>9087</v>
      </c>
      <c r="R28" s="410" t="s">
        <v>9088</v>
      </c>
      <c r="S28" s="407" t="s">
        <v>9089</v>
      </c>
      <c r="T28" s="198" t="s">
        <v>9090</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9091</v>
      </c>
      <c r="B29" s="202" t="s">
        <v>9092</v>
      </c>
      <c r="C29" s="403" t="s">
        <v>9093</v>
      </c>
      <c r="D29" s="167" t="s">
        <v>9094</v>
      </c>
      <c r="E29" s="403" t="s">
        <v>9095</v>
      </c>
      <c r="F29" s="167" t="s">
        <v>9096</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9097</v>
      </c>
      <c r="L29" s="167" t="s">
        <v>9098</v>
      </c>
      <c r="M29" s="407" t="s">
        <v>9099</v>
      </c>
      <c r="N29" s="198" t="s">
        <v>9100</v>
      </c>
      <c r="O29" s="404" t="s">
        <v>9101</v>
      </c>
      <c r="P29" s="202" t="s">
        <v>9102</v>
      </c>
      <c r="Q29" s="418" t="s">
        <v>9103</v>
      </c>
      <c r="R29" s="406" t="s">
        <v>9104</v>
      </c>
      <c r="S29" s="407" t="s">
        <v>9105</v>
      </c>
      <c r="T29" s="198" t="s">
        <v>9106</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9107</v>
      </c>
      <c r="B30" s="202" t="s">
        <v>9108</v>
      </c>
      <c r="C30" s="403" t="s">
        <v>9109</v>
      </c>
      <c r="D30" s="167" t="s">
        <v>9110</v>
      </c>
      <c r="E30" s="403" t="s">
        <v>9111</v>
      </c>
      <c r="F30" s="167" t="s">
        <v>9112</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9113</v>
      </c>
      <c r="L30" s="167" t="s">
        <v>9114</v>
      </c>
      <c r="M30" s="407" t="s">
        <v>9115</v>
      </c>
      <c r="N30" s="198" t="s">
        <v>9116</v>
      </c>
      <c r="O30" s="404" t="s">
        <v>9117</v>
      </c>
      <c r="P30" s="202" t="s">
        <v>9118</v>
      </c>
      <c r="Q30" s="418" t="s">
        <v>9119</v>
      </c>
      <c r="R30" s="406" t="s">
        <v>9120</v>
      </c>
      <c r="S30" s="407" t="s">
        <v>9121</v>
      </c>
      <c r="T30" s="198" t="s">
        <v>9122</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9123</v>
      </c>
      <c r="B31" s="202" t="s">
        <v>9124</v>
      </c>
      <c r="C31" s="403" t="s">
        <v>9125</v>
      </c>
      <c r="D31" s="167" t="s">
        <v>9126</v>
      </c>
      <c r="E31" s="403" t="s">
        <v>9127</v>
      </c>
      <c r="F31" s="167" t="s">
        <v>9128</v>
      </c>
      <c r="G31" s="407" t="str">
        <f>IFERROR(__xludf.DUMMYFUNCTION("GOOGLETRANSLATE(A31,""zh-tw"",""zh"")"),"穿刺钉鞋")</f>
        <v>穿刺钉鞋</v>
      </c>
      <c r="H31" s="198" t="str">
        <f>IFERROR(__xludf.DUMMYFUNCTION("GOOGLETRANSLATE(B31,""zh-tw"",""zh"")"),"物攻：2
物防：2
伤害型防具")</f>
        <v>物攻：2
物防：2
伤害型防具</v>
      </c>
      <c r="I31" s="403" t="s">
        <v>9129</v>
      </c>
      <c r="J31" s="198" t="str">
        <f>IFERROR(__xludf.DUMMYFUNCTION("GOOGLETRANSLATE(B31,""zh-tw"",""es-MX"")"),"Ataque físico: 2 Defensa física: 2 Armadura que inflige daño")</f>
        <v>Ataque físico: 2 Defensa física: 2 Armadura que inflige daño</v>
      </c>
      <c r="K31" s="403" t="s">
        <v>9130</v>
      </c>
      <c r="L31" s="167" t="s">
        <v>9131</v>
      </c>
      <c r="M31" s="407" t="s">
        <v>9132</v>
      </c>
      <c r="N31" s="198" t="s">
        <v>9133</v>
      </c>
      <c r="O31" s="404" t="s">
        <v>9134</v>
      </c>
      <c r="P31" s="202" t="s">
        <v>9135</v>
      </c>
      <c r="Q31" s="418" t="s">
        <v>9136</v>
      </c>
      <c r="R31" s="406" t="s">
        <v>9137</v>
      </c>
      <c r="S31" s="407" t="s">
        <v>9127</v>
      </c>
      <c r="T31" s="198" t="s">
        <v>9138</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9139</v>
      </c>
      <c r="B32" s="202" t="s">
        <v>9140</v>
      </c>
      <c r="C32" s="403" t="s">
        <v>9141</v>
      </c>
      <c r="D32" s="167" t="s">
        <v>9142</v>
      </c>
      <c r="E32" s="403" t="s">
        <v>9143</v>
      </c>
      <c r="F32" s="167" t="s">
        <v>9144</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9145</v>
      </c>
      <c r="L32" s="167" t="s">
        <v>9146</v>
      </c>
      <c r="M32" s="407" t="s">
        <v>9147</v>
      </c>
      <c r="N32" s="198" t="s">
        <v>9148</v>
      </c>
      <c r="O32" s="404" t="s">
        <v>9149</v>
      </c>
      <c r="P32" s="202" t="s">
        <v>9150</v>
      </c>
      <c r="Q32" s="418" t="s">
        <v>9151</v>
      </c>
      <c r="R32" s="406" t="s">
        <v>9152</v>
      </c>
      <c r="S32" s="407" t="s">
        <v>9153</v>
      </c>
      <c r="T32" s="198" t="s">
        <v>9154</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9155</v>
      </c>
      <c r="B33" s="202" t="s">
        <v>9156</v>
      </c>
      <c r="C33" s="403" t="s">
        <v>9157</v>
      </c>
      <c r="D33" s="167" t="s">
        <v>9158</v>
      </c>
      <c r="E33" s="403" t="s">
        <v>9159</v>
      </c>
      <c r="F33" s="167" t="s">
        <v>9160</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9161</v>
      </c>
      <c r="L33" s="167" t="s">
        <v>9162</v>
      </c>
      <c r="M33" s="407" t="s">
        <v>9163</v>
      </c>
      <c r="N33" s="198" t="s">
        <v>9164</v>
      </c>
      <c r="O33" s="404" t="s">
        <v>9165</v>
      </c>
      <c r="P33" s="202" t="s">
        <v>9166</v>
      </c>
      <c r="Q33" s="418" t="s">
        <v>9167</v>
      </c>
      <c r="R33" s="410" t="s">
        <v>9168</v>
      </c>
      <c r="S33" s="407" t="s">
        <v>9169</v>
      </c>
      <c r="T33" s="198" t="s">
        <v>9170</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9171</v>
      </c>
      <c r="B34" s="202" t="s">
        <v>9172</v>
      </c>
      <c r="C34" s="403" t="s">
        <v>9173</v>
      </c>
      <c r="D34" s="167" t="s">
        <v>9174</v>
      </c>
      <c r="E34" s="403" t="s">
        <v>9175</v>
      </c>
      <c r="F34" s="167" t="s">
        <v>9176</v>
      </c>
      <c r="G34" s="407" t="str">
        <f>IFERROR(__xludf.DUMMYFUNCTION("GOOGLETRANSLATE(A34,""zh-tw"",""zh"")"),"骑士护臂")</f>
        <v>骑士护臂</v>
      </c>
      <c r="H34" s="198" t="str">
        <f>IFERROR(__xludf.DUMMYFUNCTION("GOOGLETRANSLATE(B34,""zh-tw"",""zh"")"),"物攻：3
物防：3
低体力加攻击、防御")</f>
        <v>物攻：3
物防：3
低体力加攻击、防御</v>
      </c>
      <c r="I34" s="403" t="s">
        <v>9177</v>
      </c>
      <c r="J34" s="198" t="str">
        <f>IFERROR(__xludf.DUMMYFUNCTION("GOOGLETRANSLATE(B34,""zh-tw"",""es-MX"")"),"Ataque físico: 3 Defensa física: 3 Aumenta el ataque y la defensa cuando los HP son bajos.")</f>
        <v>Ataque físico: 3 Defensa física: 3 Aumenta el ataque y la defensa cuando los HP son bajos.</v>
      </c>
      <c r="K34" s="404" t="s">
        <v>9178</v>
      </c>
      <c r="L34" s="167" t="s">
        <v>9179</v>
      </c>
      <c r="M34" s="407" t="s">
        <v>9180</v>
      </c>
      <c r="N34" s="198" t="s">
        <v>9181</v>
      </c>
      <c r="O34" s="404" t="s">
        <v>9182</v>
      </c>
      <c r="P34" s="202" t="s">
        <v>9183</v>
      </c>
      <c r="Q34" s="418" t="s">
        <v>9184</v>
      </c>
      <c r="R34" s="49" t="s">
        <v>9185</v>
      </c>
      <c r="S34" s="407" t="s">
        <v>9186</v>
      </c>
      <c r="T34" s="198" t="s">
        <v>9187</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9188</v>
      </c>
      <c r="B35" s="202" t="s">
        <v>9189</v>
      </c>
      <c r="C35" s="403" t="s">
        <v>9190</v>
      </c>
      <c r="D35" s="167" t="s">
        <v>9191</v>
      </c>
      <c r="E35" s="403" t="s">
        <v>9192</v>
      </c>
      <c r="F35" s="167" t="s">
        <v>9193</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9194</v>
      </c>
      <c r="L35" s="167" t="s">
        <v>9195</v>
      </c>
      <c r="M35" s="407" t="s">
        <v>9196</v>
      </c>
      <c r="N35" s="198" t="s">
        <v>9197</v>
      </c>
      <c r="O35" s="404" t="s">
        <v>9198</v>
      </c>
      <c r="P35" s="202" t="s">
        <v>9199</v>
      </c>
      <c r="Q35" s="418" t="s">
        <v>9200</v>
      </c>
      <c r="R35" s="410" t="s">
        <v>9201</v>
      </c>
      <c r="S35" s="407" t="s">
        <v>9202</v>
      </c>
      <c r="T35" s="198" t="s">
        <v>9203</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9204</v>
      </c>
      <c r="B36" s="202" t="s">
        <v>9205</v>
      </c>
      <c r="C36" s="403" t="s">
        <v>9206</v>
      </c>
      <c r="D36" s="167" t="s">
        <v>9207</v>
      </c>
      <c r="E36" s="403" t="s">
        <v>9208</v>
      </c>
      <c r="F36" s="167" t="s">
        <v>9209</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9210</v>
      </c>
      <c r="L36" s="167" t="s">
        <v>9211</v>
      </c>
      <c r="M36" s="407" t="s">
        <v>9212</v>
      </c>
      <c r="N36" s="198" t="s">
        <v>9213</v>
      </c>
      <c r="O36" s="404" t="s">
        <v>9214</v>
      </c>
      <c r="P36" s="202" t="s">
        <v>9215</v>
      </c>
      <c r="Q36" s="418" t="s">
        <v>9216</v>
      </c>
      <c r="R36" s="410" t="s">
        <v>9217</v>
      </c>
      <c r="S36" s="407" t="s">
        <v>9218</v>
      </c>
      <c r="T36" s="198" t="s">
        <v>9219</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9220</v>
      </c>
      <c r="B37" s="167" t="s">
        <v>9221</v>
      </c>
      <c r="C37" s="403" t="s">
        <v>9222</v>
      </c>
      <c r="D37" s="167" t="s">
        <v>9223</v>
      </c>
      <c r="E37" s="403" t="s">
        <v>9224</v>
      </c>
      <c r="F37" s="167" t="s">
        <v>9225</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9226</v>
      </c>
      <c r="M37" s="407" t="s">
        <v>9227</v>
      </c>
      <c r="N37" s="198" t="s">
        <v>9228</v>
      </c>
      <c r="O37" s="404" t="s">
        <v>9229</v>
      </c>
      <c r="P37" s="202" t="s">
        <v>9230</v>
      </c>
      <c r="Q37" s="418" t="s">
        <v>9231</v>
      </c>
      <c r="R37" s="420" t="s">
        <v>9232</v>
      </c>
      <c r="S37" s="407" t="s">
        <v>9233</v>
      </c>
      <c r="T37" s="198" t="s">
        <v>9234</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9235</v>
      </c>
      <c r="B38" s="167" t="s">
        <v>9236</v>
      </c>
      <c r="C38" s="403" t="s">
        <v>9237</v>
      </c>
      <c r="D38" s="167" t="s">
        <v>9238</v>
      </c>
      <c r="E38" s="403" t="s">
        <v>9239</v>
      </c>
      <c r="F38" s="167" t="s">
        <v>9240</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9241</v>
      </c>
      <c r="L38" s="167" t="s">
        <v>9242</v>
      </c>
      <c r="M38" s="407" t="s">
        <v>9243</v>
      </c>
      <c r="N38" s="198" t="s">
        <v>9244</v>
      </c>
      <c r="O38" s="404" t="s">
        <v>9245</v>
      </c>
      <c r="P38" s="202" t="s">
        <v>9246</v>
      </c>
      <c r="Q38" s="418" t="s">
        <v>9247</v>
      </c>
      <c r="R38" s="406" t="s">
        <v>9248</v>
      </c>
      <c r="S38" s="407" t="s">
        <v>9249</v>
      </c>
      <c r="T38" s="198" t="s">
        <v>9250</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9251</v>
      </c>
      <c r="B39" s="167" t="s">
        <v>9252</v>
      </c>
      <c r="C39" s="403" t="s">
        <v>9253</v>
      </c>
      <c r="D39" s="167" t="s">
        <v>9254</v>
      </c>
      <c r="E39" s="403" t="s">
        <v>9255</v>
      </c>
      <c r="F39" s="167" t="s">
        <v>9256</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3" t="s">
        <v>9257</v>
      </c>
      <c r="L39" s="167" t="s">
        <v>9258</v>
      </c>
      <c r="M39" s="407" t="s">
        <v>9259</v>
      </c>
      <c r="N39" s="198" t="s">
        <v>9260</v>
      </c>
      <c r="O39" s="404" t="s">
        <v>9261</v>
      </c>
      <c r="P39" s="202" t="s">
        <v>9262</v>
      </c>
      <c r="Q39" s="418" t="s">
        <v>9263</v>
      </c>
      <c r="R39" s="406" t="s">
        <v>9264</v>
      </c>
      <c r="S39" s="407" t="s">
        <v>9265</v>
      </c>
      <c r="T39" s="198" t="s">
        <v>9266</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9267</v>
      </c>
      <c r="B40" s="167" t="s">
        <v>9268</v>
      </c>
      <c r="C40" s="403" t="s">
        <v>9269</v>
      </c>
      <c r="D40" s="167" t="s">
        <v>9270</v>
      </c>
      <c r="E40" s="403" t="s">
        <v>9271</v>
      </c>
      <c r="F40" s="167" t="s">
        <v>9272</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9273</v>
      </c>
      <c r="L40" s="167" t="s">
        <v>9274</v>
      </c>
      <c r="M40" s="407" t="s">
        <v>9275</v>
      </c>
      <c r="N40" s="198" t="s">
        <v>9276</v>
      </c>
      <c r="O40" s="404" t="s">
        <v>9277</v>
      </c>
      <c r="P40" s="202" t="s">
        <v>9278</v>
      </c>
      <c r="Q40" s="418" t="s">
        <v>9279</v>
      </c>
      <c r="R40" s="410" t="s">
        <v>9280</v>
      </c>
      <c r="S40" s="407" t="s">
        <v>9281</v>
      </c>
      <c r="T40" s="198" t="s">
        <v>9282</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9283</v>
      </c>
      <c r="B41" s="167" t="s">
        <v>9284</v>
      </c>
      <c r="C41" s="403" t="s">
        <v>9285</v>
      </c>
      <c r="D41" s="167" t="s">
        <v>9286</v>
      </c>
      <c r="E41" s="403" t="s">
        <v>9287</v>
      </c>
      <c r="F41" s="167" t="s">
        <v>9288</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9289</v>
      </c>
      <c r="L41" s="167" t="s">
        <v>9290</v>
      </c>
      <c r="M41" s="407" t="s">
        <v>9291</v>
      </c>
      <c r="N41" s="198" t="s">
        <v>9292</v>
      </c>
      <c r="O41" s="404" t="s">
        <v>9293</v>
      </c>
      <c r="P41" s="202" t="s">
        <v>9294</v>
      </c>
      <c r="Q41" s="418" t="s">
        <v>9295</v>
      </c>
      <c r="R41" s="410" t="s">
        <v>9296</v>
      </c>
      <c r="S41" s="407" t="s">
        <v>9297</v>
      </c>
      <c r="T41" s="198" t="s">
        <v>9298</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9299</v>
      </c>
      <c r="B42" s="167" t="s">
        <v>9300</v>
      </c>
      <c r="C42" s="403" t="s">
        <v>9301</v>
      </c>
      <c r="D42" s="167" t="s">
        <v>9302</v>
      </c>
      <c r="E42" s="403" t="s">
        <v>9303</v>
      </c>
      <c r="F42" s="167" t="s">
        <v>9304</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9305</v>
      </c>
      <c r="L42" s="167" t="s">
        <v>9306</v>
      </c>
      <c r="M42" s="407" t="s">
        <v>9307</v>
      </c>
      <c r="N42" s="198" t="s">
        <v>9308</v>
      </c>
      <c r="O42" s="404" t="s">
        <v>9309</v>
      </c>
      <c r="P42" s="202" t="s">
        <v>9310</v>
      </c>
      <c r="Q42" s="418" t="s">
        <v>9311</v>
      </c>
      <c r="R42" s="406" t="s">
        <v>9312</v>
      </c>
      <c r="S42" s="407" t="s">
        <v>9313</v>
      </c>
      <c r="T42" s="198" t="s">
        <v>9314</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9315</v>
      </c>
      <c r="B43" s="167" t="s">
        <v>9316</v>
      </c>
      <c r="C43" s="403" t="s">
        <v>9317</v>
      </c>
      <c r="D43" s="167" t="s">
        <v>9318</v>
      </c>
      <c r="E43" s="403" t="s">
        <v>9319</v>
      </c>
      <c r="F43" s="167" t="s">
        <v>9320</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9321</v>
      </c>
      <c r="L43" s="167" t="s">
        <v>9322</v>
      </c>
      <c r="M43" s="407" t="s">
        <v>9323</v>
      </c>
      <c r="N43" s="198" t="s">
        <v>9324</v>
      </c>
      <c r="O43" s="404" t="s">
        <v>9325</v>
      </c>
      <c r="P43" s="202" t="s">
        <v>9326</v>
      </c>
      <c r="Q43" s="418" t="s">
        <v>9327</v>
      </c>
      <c r="R43" s="406" t="s">
        <v>9328</v>
      </c>
      <c r="S43" s="407" t="s">
        <v>9329</v>
      </c>
      <c r="T43" s="198" t="s">
        <v>9330</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9331</v>
      </c>
      <c r="B44" s="202" t="s">
        <v>9332</v>
      </c>
      <c r="C44" s="403" t="s">
        <v>9333</v>
      </c>
      <c r="D44" s="167" t="s">
        <v>9334</v>
      </c>
      <c r="E44" s="403" t="s">
        <v>9335</v>
      </c>
      <c r="F44" s="167" t="s">
        <v>9336</v>
      </c>
      <c r="G44" s="407" t="str">
        <f>IFERROR(__xludf.DUMMYFUNCTION("GOOGLETRANSLATE(A44,""zh-tw"",""zh"")"),"晴天娃娃")</f>
        <v>晴天娃娃</v>
      </c>
      <c r="H44" s="198" t="str">
        <f>IFERROR(__xludf.DUMMYFUNCTION("GOOGLETRANSLATE(B44,""zh-tw"",""zh"")"),"魔抗：10
幸运：10
第二天晴天")</f>
        <v>魔抗：10
幸运：10
第二天晴天</v>
      </c>
      <c r="I44" s="403" t="s">
        <v>9335</v>
      </c>
      <c r="J44" s="198" t="str">
        <f>IFERROR(__xludf.DUMMYFUNCTION("GOOGLETRANSLATE(B44,""zh-tw"",""es-MX"")"),"Resistencia mágica: 10
Suerte: 10
Día soleado al día siguiente")</f>
        <v>Resistencia mágica: 10
Suerte: 10
Día soleado al día siguiente</v>
      </c>
      <c r="K44" s="403" t="s">
        <v>9337</v>
      </c>
      <c r="L44" s="167" t="s">
        <v>9338</v>
      </c>
      <c r="M44" s="407" t="s">
        <v>9339</v>
      </c>
      <c r="N44" s="198" t="s">
        <v>9340</v>
      </c>
      <c r="O44" s="404" t="s">
        <v>9341</v>
      </c>
      <c r="P44" s="202" t="s">
        <v>9342</v>
      </c>
      <c r="Q44" s="421" t="s">
        <v>9343</v>
      </c>
      <c r="R44" s="406" t="s">
        <v>9344</v>
      </c>
      <c r="S44" s="407" t="s">
        <v>9345</v>
      </c>
      <c r="T44" s="198" t="s">
        <v>9346</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9347</v>
      </c>
      <c r="B45" s="202" t="s">
        <v>9348</v>
      </c>
      <c r="C45" s="403" t="s">
        <v>9349</v>
      </c>
      <c r="D45" s="167" t="s">
        <v>9350</v>
      </c>
      <c r="E45" s="403" t="s">
        <v>9351</v>
      </c>
      <c r="F45" s="167" t="s">
        <v>9352</v>
      </c>
      <c r="G45" s="407" t="str">
        <f>IFERROR(__xludf.DUMMYFUNCTION("GOOGLETRANSLATE(A45,""zh-tw"",""zh"")"),"阴天娃娃")</f>
        <v>阴天娃娃</v>
      </c>
      <c r="H45" s="198" t="str">
        <f>IFERROR(__xludf.DUMMYFUNCTION("GOOGLETRANSLATE(B45,""zh-tw"",""zh"")"),"魔抗：10
幸运：10
第二天阴天")</f>
        <v>魔抗：10
幸运：10
第二天阴天</v>
      </c>
      <c r="I45" s="403" t="s">
        <v>9351</v>
      </c>
      <c r="J45" s="198" t="str">
        <f>IFERROR(__xludf.DUMMYFUNCTION("GOOGLETRANSLATE(B45,""zh-tw"",""es-MX"")"),"Resistencia Mágica: 10
Suerte: 10
El segundo día estuvo nublado.")</f>
        <v>Resistencia Mágica: 10
Suerte: 10
El segundo día estuvo nublado.</v>
      </c>
      <c r="K45" s="404" t="s">
        <v>9353</v>
      </c>
      <c r="L45" s="167" t="s">
        <v>9354</v>
      </c>
      <c r="M45" s="407" t="s">
        <v>9355</v>
      </c>
      <c r="N45" s="198" t="s">
        <v>9356</v>
      </c>
      <c r="O45" s="404" t="s">
        <v>9357</v>
      </c>
      <c r="P45" s="202" t="s">
        <v>9358</v>
      </c>
      <c r="Q45" s="421" t="s">
        <v>9359</v>
      </c>
      <c r="R45" s="406" t="s">
        <v>9360</v>
      </c>
      <c r="S45" s="407" t="s">
        <v>9361</v>
      </c>
      <c r="T45" s="198" t="s">
        <v>9362</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9363</v>
      </c>
      <c r="B46" s="202" t="s">
        <v>9364</v>
      </c>
      <c r="C46" s="403" t="s">
        <v>9365</v>
      </c>
      <c r="D46" s="167" t="s">
        <v>9366</v>
      </c>
      <c r="E46" s="403" t="s">
        <v>9367</v>
      </c>
      <c r="F46" s="167" t="s">
        <v>9368</v>
      </c>
      <c r="G46" s="407" t="str">
        <f>IFERROR(__xludf.DUMMYFUNCTION("GOOGLETRANSLATE(A46,""zh-tw"",""zh"")"),"雨天娃娃")</f>
        <v>雨天娃娃</v>
      </c>
      <c r="H46" s="198" t="str">
        <f>IFERROR(__xludf.DUMMYFUNCTION("GOOGLETRANSLATE(B46,""zh-tw"",""zh"")"),"魔抗：10
幸运：10
第二天雨天")</f>
        <v>魔抗：10
幸运：10
第二天雨天</v>
      </c>
      <c r="I46" s="403" t="s">
        <v>9367</v>
      </c>
      <c r="J46" s="198" t="str">
        <f>IFERROR(__xludf.DUMMYFUNCTION("GOOGLETRANSLATE(B46,""zh-tw"",""es-MX"")"),"Resistencia Mágica: 10
Suerte: 10
El día siguiente llovió.")</f>
        <v>Resistencia Mágica: 10
Suerte: 10
El día siguiente llovió.</v>
      </c>
      <c r="K46" s="403" t="s">
        <v>9369</v>
      </c>
      <c r="L46" s="167" t="s">
        <v>9370</v>
      </c>
      <c r="M46" s="407" t="s">
        <v>9371</v>
      </c>
      <c r="N46" s="198" t="s">
        <v>9372</v>
      </c>
      <c r="O46" s="404" t="s">
        <v>9373</v>
      </c>
      <c r="P46" s="202" t="s">
        <v>9374</v>
      </c>
      <c r="Q46" s="421" t="s">
        <v>9375</v>
      </c>
      <c r="R46" s="406" t="s">
        <v>9376</v>
      </c>
      <c r="S46" s="407" t="s">
        <v>9377</v>
      </c>
      <c r="T46" s="198" t="s">
        <v>9378</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9379</v>
      </c>
      <c r="B47" s="167" t="s">
        <v>9380</v>
      </c>
      <c r="C47" s="403" t="s">
        <v>9379</v>
      </c>
      <c r="D47" s="167" t="s">
        <v>9381</v>
      </c>
      <c r="E47" s="403" t="s">
        <v>9382</v>
      </c>
      <c r="F47" s="167" t="s">
        <v>9383</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9384</v>
      </c>
      <c r="L47" s="167" t="s">
        <v>9385</v>
      </c>
      <c r="M47" s="407" t="s">
        <v>9386</v>
      </c>
      <c r="N47" s="198" t="s">
        <v>9387</v>
      </c>
      <c r="O47" s="404" t="s">
        <v>9388</v>
      </c>
      <c r="P47" s="202" t="s">
        <v>9389</v>
      </c>
      <c r="Q47" s="418" t="s">
        <v>9390</v>
      </c>
      <c r="R47" s="406" t="s">
        <v>9391</v>
      </c>
      <c r="S47" s="407" t="s">
        <v>9392</v>
      </c>
      <c r="T47" s="198" t="s">
        <v>9393</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7501</v>
      </c>
      <c r="B48" s="167" t="s">
        <v>9394</v>
      </c>
      <c r="C48" s="403" t="s">
        <v>7503</v>
      </c>
      <c r="D48" s="167" t="s">
        <v>9395</v>
      </c>
      <c r="E48" s="403" t="s">
        <v>7505</v>
      </c>
      <c r="F48" s="167" t="s">
        <v>9396</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7507</v>
      </c>
      <c r="L48" s="167" t="s">
        <v>9397</v>
      </c>
      <c r="M48" s="407" t="s">
        <v>7509</v>
      </c>
      <c r="N48" s="198" t="s">
        <v>9398</v>
      </c>
      <c r="O48" s="404" t="s">
        <v>7511</v>
      </c>
      <c r="P48" s="202" t="s">
        <v>9399</v>
      </c>
      <c r="Q48" s="418" t="s">
        <v>7513</v>
      </c>
      <c r="R48" s="410" t="s">
        <v>9400</v>
      </c>
      <c r="S48" s="407" t="s">
        <v>7515</v>
      </c>
      <c r="T48" s="198" t="s">
        <v>9401</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9402</v>
      </c>
      <c r="B49" s="167" t="s">
        <v>9403</v>
      </c>
      <c r="C49" s="403" t="s">
        <v>9404</v>
      </c>
      <c r="D49" s="167" t="s">
        <v>9405</v>
      </c>
      <c r="E49" s="403" t="s">
        <v>9406</v>
      </c>
      <c r="F49" s="167" t="s">
        <v>9407</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9408</v>
      </c>
      <c r="M49" s="407" t="s">
        <v>9409</v>
      </c>
      <c r="N49" s="198" t="s">
        <v>9410</v>
      </c>
      <c r="O49" s="404" t="s">
        <v>9411</v>
      </c>
      <c r="P49" s="202" t="s">
        <v>9412</v>
      </c>
      <c r="Q49" s="418" t="s">
        <v>9413</v>
      </c>
      <c r="R49" s="406" t="s">
        <v>9414</v>
      </c>
      <c r="S49" s="407" t="s">
        <v>9415</v>
      </c>
      <c r="T49" s="198" t="s">
        <v>9416</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9417</v>
      </c>
      <c r="B50" s="167" t="s">
        <v>9418</v>
      </c>
      <c r="C50" s="403" t="s">
        <v>9419</v>
      </c>
      <c r="D50" s="167" t="s">
        <v>9420</v>
      </c>
      <c r="E50" s="403" t="s">
        <v>9421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9422</v>
      </c>
      <c r="M50" s="407" t="s">
        <v>9423</v>
      </c>
      <c r="N50" s="198" t="s">
        <v>9424</v>
      </c>
      <c r="O50" s="404" t="s">
        <v>9425</v>
      </c>
      <c r="P50" s="202" t="s">
        <v>9426</v>
      </c>
      <c r="Q50" s="418" t="s">
        <v>9427</v>
      </c>
      <c r="R50" s="410" t="s">
        <v>9428</v>
      </c>
      <c r="S50" s="407" t="s">
        <v>9429</v>
      </c>
      <c r="T50" s="167" t="s">
        <v>9430</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9431</v>
      </c>
      <c r="B51" s="167" t="s">
        <v>9432</v>
      </c>
      <c r="C51" s="403" t="s">
        <v>9433</v>
      </c>
      <c r="D51" s="167" t="s">
        <v>9434</v>
      </c>
      <c r="E51" s="403" t="s">
        <v>9435</v>
      </c>
      <c r="F51" s="167" t="s">
        <v>9436</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9437</v>
      </c>
      <c r="M51" s="407" t="s">
        <v>9438</v>
      </c>
      <c r="N51" s="198" t="s">
        <v>9439</v>
      </c>
      <c r="O51" s="404" t="s">
        <v>9440</v>
      </c>
      <c r="P51" s="202" t="s">
        <v>9441</v>
      </c>
      <c r="Q51" s="418" t="s">
        <v>9442</v>
      </c>
      <c r="R51" s="49" t="s">
        <v>9443</v>
      </c>
      <c r="S51" s="407" t="s">
        <v>9444</v>
      </c>
      <c r="T51" s="198" t="s">
        <v>9445</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9446</v>
      </c>
      <c r="B52" s="167" t="s">
        <v>9447</v>
      </c>
      <c r="C52" s="403" t="s">
        <v>9448</v>
      </c>
      <c r="D52" s="167" t="s">
        <v>9449</v>
      </c>
      <c r="E52" s="403" t="s">
        <v>9450</v>
      </c>
      <c r="F52" s="167" t="s">
        <v>9451</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9452</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9453</v>
      </c>
      <c r="M52" s="407" t="s">
        <v>9454</v>
      </c>
      <c r="N52" s="198" t="s">
        <v>9455</v>
      </c>
      <c r="O52" s="404" t="s">
        <v>9456</v>
      </c>
      <c r="P52" s="202" t="s">
        <v>9457</v>
      </c>
      <c r="Q52" s="418" t="s">
        <v>9458</v>
      </c>
      <c r="R52" s="410" t="s">
        <v>9459</v>
      </c>
      <c r="S52" s="407" t="s">
        <v>9460</v>
      </c>
      <c r="T52" s="198" t="s">
        <v>9461</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9462</v>
      </c>
      <c r="B53" s="167" t="s">
        <v>9463</v>
      </c>
      <c r="C53" s="403" t="s">
        <v>9464</v>
      </c>
      <c r="D53" s="167" t="s">
        <v>9465</v>
      </c>
      <c r="E53" s="403" t="s">
        <v>9466</v>
      </c>
      <c r="F53" s="167" t="s">
        <v>9467</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7923</v>
      </c>
      <c r="L53" s="167" t="s">
        <v>9468</v>
      </c>
      <c r="M53" s="407" t="s">
        <v>9469</v>
      </c>
      <c r="N53" s="198" t="s">
        <v>9470</v>
      </c>
      <c r="O53" s="404" t="s">
        <v>7927</v>
      </c>
      <c r="P53" s="202" t="s">
        <v>9471</v>
      </c>
      <c r="Q53" s="418" t="s">
        <v>9472</v>
      </c>
      <c r="R53" s="406" t="s">
        <v>9473</v>
      </c>
      <c r="S53" s="407" t="s">
        <v>9474</v>
      </c>
      <c r="T53" s="198" t="s">
        <v>9475</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9476</v>
      </c>
      <c r="B54" s="202" t="s">
        <v>9477</v>
      </c>
      <c r="C54" s="403" t="s">
        <v>9478</v>
      </c>
      <c r="D54" s="167" t="s">
        <v>9479</v>
      </c>
      <c r="E54" s="403" t="s">
        <v>9480</v>
      </c>
      <c r="F54" s="167" t="s">
        <v>9481</v>
      </c>
      <c r="G54" s="407" t="str">
        <f>IFERROR(__xludf.DUMMYFUNCTION("GOOGLETRANSLATE(A54,""zh-tw"",""zh"")"),"炎天娃娃")</f>
        <v>炎天娃娃</v>
      </c>
      <c r="H54" s="198" t="str">
        <f>IFERROR(__xludf.DUMMYFUNCTION("GOOGLETRANSLATE(B54,""zh-tw"",""zh"")"),"魔抗：10
幸运：10
第二天炎热")</f>
        <v>魔抗：10
幸运：10
第二天炎热</v>
      </c>
      <c r="I54" s="403" t="s">
        <v>9480</v>
      </c>
      <c r="J54" s="198" t="str">
        <f>IFERROR(__xludf.DUMMYFUNCTION("GOOGLETRANSLATE(B54,""zh-tw"",""es-MX"")"),"Resistencia Mágica: 10
Suerte: 10
El día siguiente fue caluroso.")</f>
        <v>Resistencia Mágica: 10
Suerte: 10
El día siguiente fue caluroso.</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9482</v>
      </c>
      <c r="N54" s="198" t="s">
        <v>9483</v>
      </c>
      <c r="O54" s="404" t="s">
        <v>9484</v>
      </c>
      <c r="P54" s="202" t="s">
        <v>9485</v>
      </c>
      <c r="Q54" s="421" t="s">
        <v>9486</v>
      </c>
      <c r="R54" s="406" t="s">
        <v>9487</v>
      </c>
      <c r="S54" s="407" t="s">
        <v>9488</v>
      </c>
      <c r="T54" s="198" t="s">
        <v>9489</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9490</v>
      </c>
      <c r="B55" s="167" t="s">
        <v>9491</v>
      </c>
      <c r="C55" s="403" t="s">
        <v>9492</v>
      </c>
      <c r="D55" s="167" t="s">
        <v>9493</v>
      </c>
      <c r="E55" s="403" t="s">
        <v>9494</v>
      </c>
      <c r="F55" s="167" t="s">
        <v>9495</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9496</v>
      </c>
      <c r="J55" s="167" t="s">
        <v>9497</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9498</v>
      </c>
      <c r="N55" s="198" t="s">
        <v>9499</v>
      </c>
      <c r="O55" s="404" t="s">
        <v>9500</v>
      </c>
      <c r="P55" s="202" t="s">
        <v>9501</v>
      </c>
      <c r="Q55" s="418" t="s">
        <v>9502</v>
      </c>
      <c r="R55" s="410" t="s">
        <v>9503</v>
      </c>
      <c r="S55" s="407" t="s">
        <v>9504</v>
      </c>
      <c r="T55" s="198" t="s">
        <v>9505</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9506</v>
      </c>
      <c r="B56" s="198" t="s">
        <v>9507</v>
      </c>
      <c r="C56" s="403" t="s">
        <v>9508</v>
      </c>
      <c r="D56" s="198" t="s">
        <v>9509</v>
      </c>
      <c r="E56" s="407" t="s">
        <v>9510</v>
      </c>
      <c r="F56" s="198" t="s">
        <v>9511</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407" t="s">
        <v>9512</v>
      </c>
      <c r="N56" s="198" t="s">
        <v>9513</v>
      </c>
      <c r="O56" s="403" t="s">
        <v>9510</v>
      </c>
      <c r="P56" s="167" t="s">
        <v>9514</v>
      </c>
      <c r="Q56" s="422" t="s">
        <v>9515</v>
      </c>
      <c r="R56" s="423" t="s">
        <v>9516</v>
      </c>
      <c r="S56" s="407" t="s">
        <v>9517</v>
      </c>
      <c r="T56" s="198" t="s">
        <v>9518</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9519</v>
      </c>
      <c r="B57" s="198" t="s">
        <v>9520</v>
      </c>
      <c r="C57" s="403" t="s">
        <v>9521</v>
      </c>
      <c r="D57" s="198" t="s">
        <v>9522</v>
      </c>
      <c r="E57" s="407" t="s">
        <v>9523</v>
      </c>
      <c r="F57" s="167" t="s">
        <v>9524</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7" t="s">
        <v>9525</v>
      </c>
      <c r="N57" s="198" t="s">
        <v>9526</v>
      </c>
      <c r="O57" s="403" t="s">
        <v>9527</v>
      </c>
      <c r="P57" s="167" t="s">
        <v>9528</v>
      </c>
      <c r="Q57" s="424" t="s">
        <v>9529</v>
      </c>
      <c r="R57" s="410" t="s">
        <v>9530</v>
      </c>
      <c r="S57" s="407" t="s">
        <v>9531</v>
      </c>
      <c r="T57" s="198" t="s">
        <v>9532</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9533</v>
      </c>
      <c r="B58" s="198" t="s">
        <v>9534</v>
      </c>
      <c r="C58" s="403" t="s">
        <v>9535</v>
      </c>
      <c r="D58" s="167" t="s">
        <v>9536</v>
      </c>
      <c r="E58" s="403" t="s">
        <v>9537</v>
      </c>
      <c r="F58" s="167" t="s">
        <v>9538</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7" t="s">
        <v>9539</v>
      </c>
      <c r="N58" s="198" t="s">
        <v>9540</v>
      </c>
      <c r="O58" s="403" t="s">
        <v>9541</v>
      </c>
      <c r="P58" s="167" t="s">
        <v>9542</v>
      </c>
      <c r="Q58" s="422" t="s">
        <v>9543</v>
      </c>
      <c r="R58" s="410" t="s">
        <v>9544</v>
      </c>
      <c r="S58" s="407" t="s">
        <v>9545</v>
      </c>
      <c r="T58" s="167" t="s">
        <v>9546</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9547</v>
      </c>
      <c r="B59" s="167" t="s">
        <v>9548</v>
      </c>
      <c r="C59" s="403" t="s">
        <v>9549</v>
      </c>
      <c r="D59" s="167" t="s">
        <v>9550</v>
      </c>
      <c r="E59" s="403" t="s">
        <v>9551</v>
      </c>
      <c r="F59" s="167" t="s">
        <v>9552</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9553</v>
      </c>
      <c r="N59" s="198" t="s">
        <v>9554</v>
      </c>
      <c r="O59" s="403" t="s">
        <v>9555</v>
      </c>
      <c r="P59" s="167" t="s">
        <v>9556</v>
      </c>
      <c r="Q59" s="418" t="s">
        <v>9557</v>
      </c>
      <c r="R59" s="410" t="s">
        <v>9558</v>
      </c>
      <c r="S59" s="407" t="s">
        <v>9559</v>
      </c>
      <c r="T59" s="167" t="s">
        <v>9560</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9561</v>
      </c>
      <c r="B60" s="167" t="s">
        <v>9562</v>
      </c>
      <c r="C60" s="408" t="s">
        <v>9563</v>
      </c>
      <c r="D60" s="167" t="s">
        <v>9564</v>
      </c>
      <c r="E60" s="408" t="s">
        <v>9565</v>
      </c>
      <c r="F60" s="167" t="s">
        <v>9566</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9567</v>
      </c>
      <c r="N60" s="198" t="s">
        <v>9568</v>
      </c>
      <c r="O60" s="407" t="s">
        <v>9569</v>
      </c>
      <c r="P60" s="167" t="s">
        <v>9570</v>
      </c>
      <c r="Q60" s="418" t="s">
        <v>9571</v>
      </c>
      <c r="R60" s="410" t="s">
        <v>9572</v>
      </c>
      <c r="S60" s="407" t="s">
        <v>9565</v>
      </c>
      <c r="T60" s="198" t="s">
        <v>9573</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9574</v>
      </c>
      <c r="B61" s="155" t="s">
        <v>9575</v>
      </c>
      <c r="C61" s="403" t="s">
        <v>9576</v>
      </c>
      <c r="D61" s="167" t="s">
        <v>9577</v>
      </c>
      <c r="E61" s="408" t="s">
        <v>9578</v>
      </c>
      <c r="F61" s="155" t="s">
        <v>9579</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9580</v>
      </c>
      <c r="N61" s="198" t="s">
        <v>9581</v>
      </c>
      <c r="O61" s="407" t="s">
        <v>9582</v>
      </c>
      <c r="P61" s="198" t="s">
        <v>9583</v>
      </c>
      <c r="Q61" s="418" t="s">
        <v>9584</v>
      </c>
      <c r="R61" s="49" t="s">
        <v>9585</v>
      </c>
      <c r="S61" s="407" t="s">
        <v>9586</v>
      </c>
      <c r="T61" s="198" t="s">
        <v>9587</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9588</v>
      </c>
      <c r="B62" s="167" t="s">
        <v>9589</v>
      </c>
      <c r="C62" s="403" t="s">
        <v>9590</v>
      </c>
      <c r="D62" s="167" t="s">
        <v>9591</v>
      </c>
      <c r="E62" s="403" t="s">
        <v>9592</v>
      </c>
      <c r="F62" s="167" t="s">
        <v>9593</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9594</v>
      </c>
      <c r="N62" s="198" t="s">
        <v>9595</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9596</v>
      </c>
      <c r="R62" s="406" t="s">
        <v>9597</v>
      </c>
      <c r="S62" s="407" t="s">
        <v>9598</v>
      </c>
      <c r="T62" s="198" t="s">
        <v>9599</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9600</v>
      </c>
      <c r="B63" s="167" t="s">
        <v>9601</v>
      </c>
      <c r="C63" s="403" t="s">
        <v>9602</v>
      </c>
      <c r="D63" s="167" t="s">
        <v>9603</v>
      </c>
      <c r="E63" s="403" t="s">
        <v>9604</v>
      </c>
      <c r="F63" s="167" t="s">
        <v>9605</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9606</v>
      </c>
      <c r="N63" s="198" t="s">
        <v>9607</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9608</v>
      </c>
      <c r="R63" s="410" t="s">
        <v>9609</v>
      </c>
      <c r="S63" s="407" t="s">
        <v>9610</v>
      </c>
      <c r="T63" s="198" t="s">
        <v>9611</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9612</v>
      </c>
      <c r="B64" s="167" t="s">
        <v>9613</v>
      </c>
      <c r="C64" s="403" t="s">
        <v>9614</v>
      </c>
      <c r="D64" s="167" t="s">
        <v>9615</v>
      </c>
      <c r="E64" s="403" t="s">
        <v>9616</v>
      </c>
      <c r="F64" s="167" t="s">
        <v>9617</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9618</v>
      </c>
      <c r="N64" s="198" t="s">
        <v>9619</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9620</v>
      </c>
      <c r="R64" s="406" t="s">
        <v>9621</v>
      </c>
      <c r="S64" s="407" t="s">
        <v>9622</v>
      </c>
      <c r="T64" s="198" t="s">
        <v>9623</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9624</v>
      </c>
      <c r="B65" s="167" t="s">
        <v>9625</v>
      </c>
      <c r="C65" s="403" t="s">
        <v>9626</v>
      </c>
      <c r="D65" s="167" t="s">
        <v>9627</v>
      </c>
      <c r="E65" s="403" t="s">
        <v>9628</v>
      </c>
      <c r="F65" s="167" t="s">
        <v>9629</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9630</v>
      </c>
      <c r="N65" s="198" t="s">
        <v>9631</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9632</v>
      </c>
      <c r="R65" s="406" t="s">
        <v>9633</v>
      </c>
      <c r="S65" s="407" t="s">
        <v>9634</v>
      </c>
      <c r="T65" s="198" t="s">
        <v>9635</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9636</v>
      </c>
      <c r="B66" s="167" t="s">
        <v>9637</v>
      </c>
      <c r="C66" s="403" t="s">
        <v>4439</v>
      </c>
      <c r="D66" s="167" t="s">
        <v>9638</v>
      </c>
      <c r="E66" s="403" t="s">
        <v>9639</v>
      </c>
      <c r="F66" s="167" t="s">
        <v>9640</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9641</v>
      </c>
      <c r="N66" s="198" t="s">
        <v>9642</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9643</v>
      </c>
      <c r="R66" s="49" t="s">
        <v>9644</v>
      </c>
      <c r="S66" s="407" t="s">
        <v>9645</v>
      </c>
      <c r="T66" s="198" t="s">
        <v>9646</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9647</v>
      </c>
      <c r="B67" s="167" t="s">
        <v>9648</v>
      </c>
      <c r="C67" s="403" t="s">
        <v>9649</v>
      </c>
      <c r="D67" s="167" t="s">
        <v>9650</v>
      </c>
      <c r="E67" s="403" t="s">
        <v>9651</v>
      </c>
      <c r="F67" s="167" t="s">
        <v>9652</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9653</v>
      </c>
      <c r="N67" s="198" t="s">
        <v>9654</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9655</v>
      </c>
      <c r="R67" s="410" t="s">
        <v>9656</v>
      </c>
      <c r="S67" s="407" t="s">
        <v>9657</v>
      </c>
      <c r="T67" s="198" t="s">
        <v>9658</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9659</v>
      </c>
      <c r="B68" s="167" t="s">
        <v>9660</v>
      </c>
      <c r="C68" s="403" t="s">
        <v>9661</v>
      </c>
      <c r="D68" s="167" t="s">
        <v>9662</v>
      </c>
      <c r="E68" s="403" t="s">
        <v>9663</v>
      </c>
      <c r="F68" s="167" t="s">
        <v>9664</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9665</v>
      </c>
      <c r="N68" s="198" t="s">
        <v>9666</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9667</v>
      </c>
      <c r="R68" s="410" t="s">
        <v>9668</v>
      </c>
      <c r="S68" s="407" t="s">
        <v>9669</v>
      </c>
      <c r="T68" s="198" t="s">
        <v>9670</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9671</v>
      </c>
      <c r="B69" s="167" t="s">
        <v>9672</v>
      </c>
      <c r="C69" s="403" t="s">
        <v>9671</v>
      </c>
      <c r="D69" s="167" t="s">
        <v>9673</v>
      </c>
      <c r="E69" s="403" t="s">
        <v>9674</v>
      </c>
      <c r="F69" s="167" t="s">
        <v>9675</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9676</v>
      </c>
      <c r="N69" s="198" t="s">
        <v>9677</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9674</v>
      </c>
      <c r="R69" s="49" t="s">
        <v>9678</v>
      </c>
      <c r="S69" s="407" t="s">
        <v>9674</v>
      </c>
      <c r="T69" s="198" t="s">
        <v>9679</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9680</v>
      </c>
      <c r="B70" s="167" t="s">
        <v>9681</v>
      </c>
      <c r="C70" s="403" t="s">
        <v>9682</v>
      </c>
      <c r="D70" s="167" t="s">
        <v>9683</v>
      </c>
      <c r="E70" s="403" t="s">
        <v>9684</v>
      </c>
      <c r="F70" s="167" t="s">
        <v>9685</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9686</v>
      </c>
      <c r="N70" s="198" t="s">
        <v>9687</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9688</v>
      </c>
      <c r="R70" s="406" t="s">
        <v>9689</v>
      </c>
      <c r="S70" s="407" t="s">
        <v>9690</v>
      </c>
      <c r="T70" s="198" t="s">
        <v>9691</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9692</v>
      </c>
      <c r="B71" s="167" t="s">
        <v>9693</v>
      </c>
      <c r="C71" s="403" t="s">
        <v>4351</v>
      </c>
      <c r="D71" s="167" t="s">
        <v>9694</v>
      </c>
      <c r="E71" s="403" t="s">
        <v>9695</v>
      </c>
      <c r="F71" s="167" t="s">
        <v>9696</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9697</v>
      </c>
      <c r="N71" s="198" t="s">
        <v>9698</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9699</v>
      </c>
      <c r="R71" s="410" t="s">
        <v>9700</v>
      </c>
      <c r="S71" s="407" t="s">
        <v>9701</v>
      </c>
      <c r="T71" s="198" t="s">
        <v>9702</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9703</v>
      </c>
      <c r="B72" s="167" t="s">
        <v>9704</v>
      </c>
      <c r="C72" s="403" t="s">
        <v>9705</v>
      </c>
      <c r="D72" s="167" t="s">
        <v>9706</v>
      </c>
      <c r="E72" s="403" t="s">
        <v>9707</v>
      </c>
      <c r="F72" s="167" t="s">
        <v>9708</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9709</v>
      </c>
      <c r="N72" s="198" t="s">
        <v>9710</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9711</v>
      </c>
      <c r="R72" s="406" t="s">
        <v>9712</v>
      </c>
      <c r="S72" s="407" t="s">
        <v>9713</v>
      </c>
      <c r="T72" s="198" t="s">
        <v>9714</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7181</v>
      </c>
      <c r="B73" s="167" t="s">
        <v>9715</v>
      </c>
      <c r="C73" s="403" t="s">
        <v>9716</v>
      </c>
      <c r="D73" s="167" t="s">
        <v>9717</v>
      </c>
      <c r="E73" s="403" t="s">
        <v>7187</v>
      </c>
      <c r="F73" s="167" t="s">
        <v>9718</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7190</v>
      </c>
      <c r="N73" s="198" t="s">
        <v>9719</v>
      </c>
      <c r="O73" s="403" t="s">
        <v>7193</v>
      </c>
      <c r="P73" s="167" t="s">
        <v>9720</v>
      </c>
      <c r="Q73" s="418" t="s">
        <v>7196</v>
      </c>
      <c r="R73" s="406" t="s">
        <v>9721</v>
      </c>
      <c r="S73" s="407" t="s">
        <v>7199</v>
      </c>
      <c r="T73" s="198" t="s">
        <v>9722</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7206</v>
      </c>
      <c r="B74" s="167" t="s">
        <v>9723</v>
      </c>
      <c r="C74" s="407" t="s">
        <v>7206</v>
      </c>
      <c r="D74" s="167" t="s">
        <v>9724</v>
      </c>
      <c r="E74" s="403" t="s">
        <v>7210</v>
      </c>
      <c r="F74" s="167" t="s">
        <v>9725</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9726</v>
      </c>
      <c r="N74" s="198" t="s">
        <v>9727</v>
      </c>
      <c r="O74" s="403" t="s">
        <v>7214</v>
      </c>
      <c r="P74" s="167" t="s">
        <v>9728</v>
      </c>
      <c r="Q74" s="422" t="s">
        <v>7216</v>
      </c>
      <c r="R74" s="406" t="s">
        <v>9729</v>
      </c>
      <c r="S74" s="407" t="s">
        <v>7218</v>
      </c>
      <c r="T74" s="198" t="s">
        <v>9730</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9731</v>
      </c>
      <c r="B75" s="167" t="s">
        <v>9732</v>
      </c>
      <c r="C75" s="403" t="s">
        <v>9733</v>
      </c>
      <c r="D75" s="167" t="s">
        <v>9734</v>
      </c>
      <c r="E75" s="403" t="s">
        <v>9735</v>
      </c>
      <c r="F75" s="167" t="s">
        <v>9736</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7"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7" t="s">
        <v>9737</v>
      </c>
      <c r="N75" s="198" t="s">
        <v>9738</v>
      </c>
      <c r="O75" s="403" t="s">
        <v>9739</v>
      </c>
      <c r="P75" s="167" t="s">
        <v>9740</v>
      </c>
      <c r="Q75" s="422" t="s">
        <v>9741</v>
      </c>
      <c r="R75" s="406" t="s">
        <v>9742</v>
      </c>
      <c r="S75" s="407" t="s">
        <v>9743</v>
      </c>
      <c r="T75" s="198" t="s">
        <v>9744</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9745</v>
      </c>
      <c r="B76" s="167" t="s">
        <v>9746</v>
      </c>
      <c r="C76" s="403" t="s">
        <v>9747</v>
      </c>
      <c r="D76" s="167" t="s">
        <v>9748</v>
      </c>
      <c r="E76" s="403" t="s">
        <v>9749</v>
      </c>
      <c r="F76" s="167" t="s">
        <v>9750</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9751</v>
      </c>
      <c r="N76" s="198" t="s">
        <v>9752</v>
      </c>
      <c r="O76" s="403" t="s">
        <v>9753</v>
      </c>
      <c r="P76" s="167" t="s">
        <v>9754</v>
      </c>
      <c r="Q76" s="418" t="s">
        <v>9749</v>
      </c>
      <c r="R76" s="410" t="s">
        <v>9755</v>
      </c>
      <c r="S76" s="407" t="s">
        <v>9756</v>
      </c>
      <c r="T76" s="198" t="s">
        <v>9757</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9758</v>
      </c>
      <c r="B77" s="167" t="s">
        <v>9759</v>
      </c>
      <c r="C77" s="403" t="s">
        <v>9760</v>
      </c>
      <c r="D77" s="167" t="s">
        <v>9761</v>
      </c>
      <c r="E77" s="403" t="s">
        <v>9762</v>
      </c>
      <c r="F77" s="167" t="s">
        <v>9763</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9764</v>
      </c>
      <c r="N77" s="198" t="s">
        <v>9765</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9766</v>
      </c>
      <c r="R77" s="410" t="s">
        <v>9767</v>
      </c>
      <c r="S77" s="407" t="s">
        <v>9768</v>
      </c>
      <c r="T77" s="167" t="s">
        <v>9769</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9770</v>
      </c>
      <c r="B78" s="167" t="s">
        <v>9771</v>
      </c>
      <c r="C78" s="403" t="s">
        <v>9772</v>
      </c>
      <c r="D78" s="167" t="s">
        <v>9773</v>
      </c>
      <c r="E78" s="403" t="s">
        <v>9774</v>
      </c>
      <c r="F78" s="167" t="s">
        <v>9775</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9776</v>
      </c>
      <c r="N78" s="198" t="s">
        <v>9777</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9778</v>
      </c>
      <c r="R78" s="410" t="s">
        <v>9779</v>
      </c>
      <c r="S78" s="407" t="s">
        <v>9780</v>
      </c>
      <c r="T78" s="167" t="s">
        <v>9781</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9782</v>
      </c>
      <c r="B79" s="167" t="s">
        <v>9783</v>
      </c>
      <c r="C79" s="403" t="s">
        <v>9784</v>
      </c>
      <c r="D79" s="167" t="s">
        <v>9785</v>
      </c>
      <c r="E79" s="403" t="s">
        <v>9786</v>
      </c>
      <c r="F79" s="167" t="s">
        <v>9787</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9788</v>
      </c>
      <c r="N79" s="198" t="s">
        <v>9789</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9790</v>
      </c>
      <c r="R79" s="410" t="s">
        <v>9791</v>
      </c>
      <c r="S79" s="407" t="s">
        <v>9792</v>
      </c>
      <c r="T79" s="167" t="s">
        <v>9793</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9794</v>
      </c>
      <c r="B80" s="198" t="s">
        <v>9795</v>
      </c>
      <c r="C80" s="407" t="s">
        <v>9796</v>
      </c>
      <c r="D80" s="198" t="s">
        <v>9797</v>
      </c>
      <c r="E80" s="407" t="s">
        <v>9798</v>
      </c>
      <c r="F80" s="198" t="s">
        <v>9799</v>
      </c>
      <c r="G80" s="407" t="s">
        <v>9800</v>
      </c>
      <c r="H80" s="198" t="s">
        <v>9801</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9802</v>
      </c>
      <c r="N80" s="198" t="s">
        <v>9803</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9804</v>
      </c>
      <c r="S80" s="407" t="s">
        <v>9805</v>
      </c>
      <c r="T80" s="198" t="s">
        <v>9806</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9807</v>
      </c>
      <c r="B81" s="198" t="s">
        <v>9808</v>
      </c>
      <c r="C81" s="407" t="s">
        <v>9809</v>
      </c>
      <c r="D81" s="198" t="s">
        <v>9810</v>
      </c>
      <c r="E81" s="407" t="s">
        <v>9811</v>
      </c>
      <c r="F81" s="198" t="s">
        <v>9812</v>
      </c>
      <c r="G81" s="407" t="s">
        <v>9813</v>
      </c>
      <c r="H81" s="198" t="s">
        <v>9814</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9815</v>
      </c>
      <c r="N81" s="198" t="s">
        <v>9816</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9817</v>
      </c>
      <c r="R81" s="413" t="s">
        <v>9818</v>
      </c>
      <c r="S81" s="407" t="s">
        <v>9819</v>
      </c>
      <c r="T81" s="198" t="s">
        <v>9820</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9821</v>
      </c>
      <c r="B82" s="167" t="s">
        <v>9822</v>
      </c>
      <c r="C82" s="403" t="s">
        <v>9823</v>
      </c>
      <c r="D82" s="167" t="s">
        <v>9824</v>
      </c>
      <c r="E82" s="403" t="s">
        <v>9825</v>
      </c>
      <c r="F82" s="167" t="s">
        <v>9826</v>
      </c>
      <c r="G82" s="403" t="s">
        <v>9821</v>
      </c>
      <c r="H82" s="167" t="s">
        <v>9822</v>
      </c>
      <c r="I82" s="407"/>
      <c r="J82" s="198"/>
      <c r="K82" s="403" t="s">
        <v>9827</v>
      </c>
      <c r="L82" s="167" t="s">
        <v>9828</v>
      </c>
      <c r="M82" s="408" t="s">
        <v>9829</v>
      </c>
      <c r="N82" s="155" t="s">
        <v>9830</v>
      </c>
      <c r="O82" s="403" t="s">
        <v>9825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9831</v>
      </c>
      <c r="R82" s="49" t="s">
        <v>9832</v>
      </c>
      <c r="S82" s="403" t="s">
        <v>9833</v>
      </c>
      <c r="T82" s="167" t="s">
        <v>9834</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9835</v>
      </c>
      <c r="B83" s="167" t="s">
        <v>9836</v>
      </c>
      <c r="C83" s="403" t="s">
        <v>9837</v>
      </c>
      <c r="D83" s="167" t="s">
        <v>9838</v>
      </c>
      <c r="E83" s="403" t="s">
        <v>9839</v>
      </c>
      <c r="F83" s="167" t="s">
        <v>9840</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9841</v>
      </c>
      <c r="N83" s="155" t="s">
        <v>9842</v>
      </c>
      <c r="O83" s="403" t="s">
        <v>9843</v>
      </c>
      <c r="P83" s="198" t="s">
        <v>9844</v>
      </c>
      <c r="Q83" s="429" t="s">
        <v>9845</v>
      </c>
      <c r="R83" s="49" t="s">
        <v>9846</v>
      </c>
      <c r="S83" s="403" t="s">
        <v>9847</v>
      </c>
      <c r="T83" s="167" t="s">
        <v>9848</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9849</v>
      </c>
      <c r="B84" s="167" t="s">
        <v>9850</v>
      </c>
      <c r="C84" s="403" t="s">
        <v>9851</v>
      </c>
      <c r="D84" s="167" t="s">
        <v>9852</v>
      </c>
      <c r="E84" s="403" t="s">
        <v>9853</v>
      </c>
      <c r="F84" s="167" t="s">
        <v>9854</v>
      </c>
      <c r="G84" s="407"/>
      <c r="H84" s="198"/>
      <c r="I84" s="407"/>
      <c r="J84" s="198"/>
      <c r="K84" s="407"/>
      <c r="L84" s="198"/>
      <c r="M84" s="403" t="s">
        <v>9855</v>
      </c>
      <c r="N84" s="167" t="s">
        <v>9856</v>
      </c>
      <c r="O84" s="407"/>
      <c r="P84" s="198"/>
      <c r="Q84" s="430"/>
      <c r="R84" s="431"/>
      <c r="S84" s="403" t="s">
        <v>9857</v>
      </c>
      <c r="T84" s="167" t="s">
        <v>9858</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9859</v>
      </c>
      <c r="B1" s="84" t="s">
        <v>9860</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9861</v>
      </c>
      <c r="N1" s="81" t="s">
        <v>9862</v>
      </c>
      <c r="O1" s="397" t="s">
        <v>9863</v>
      </c>
      <c r="P1" s="84" t="s">
        <v>9864</v>
      </c>
      <c r="Q1" s="434" t="s">
        <v>9865</v>
      </c>
      <c r="R1" s="81" t="s">
        <v>9866</v>
      </c>
      <c r="S1" s="399" t="s">
        <v>9867</v>
      </c>
      <c r="T1" s="88" t="s">
        <v>9868</v>
      </c>
      <c r="U1" s="397" t="s">
        <v>9869</v>
      </c>
      <c r="V1" s="84" t="s">
        <v>9870</v>
      </c>
      <c r="W1" s="435"/>
      <c r="X1" s="435"/>
    </row>
    <row r="2">
      <c r="A2" s="403" t="s">
        <v>9871</v>
      </c>
      <c r="B2" s="167" t="s">
        <v>9872</v>
      </c>
      <c r="C2" s="403" t="s">
        <v>9873</v>
      </c>
      <c r="D2" s="167" t="s">
        <v>9874</v>
      </c>
      <c r="E2" s="403" t="s">
        <v>9875</v>
      </c>
      <c r="F2" s="167" t="s">
        <v>9876</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9877</v>
      </c>
      <c r="K2" s="407" t="str">
        <f>IFERROR(__xludf.DUMMYFUNCTION("GOOGLETRANSLATE(A2,""zh-tw"",""KO"")"),"맛있는 우유")</f>
        <v>맛있는 우유</v>
      </c>
      <c r="L2" s="167" t="s">
        <v>9878</v>
      </c>
      <c r="M2" s="407" t="s">
        <v>9879</v>
      </c>
      <c r="N2" s="198" t="s">
        <v>9880</v>
      </c>
      <c r="O2" s="403" t="s">
        <v>9881</v>
      </c>
      <c r="P2" s="167" t="s">
        <v>9882</v>
      </c>
      <c r="Q2" s="408" t="s">
        <v>9883</v>
      </c>
      <c r="R2" s="155" t="s">
        <v>9884</v>
      </c>
      <c r="S2" s="407" t="s">
        <v>9885</v>
      </c>
      <c r="T2" s="167" t="s">
        <v>9886</v>
      </c>
      <c r="U2" s="403" t="s">
        <v>9887</v>
      </c>
      <c r="V2" s="167" t="s">
        <v>9888</v>
      </c>
      <c r="W2" s="8"/>
      <c r="X2" s="8"/>
    </row>
    <row r="3">
      <c r="A3" s="403" t="s">
        <v>9889</v>
      </c>
      <c r="B3" s="167" t="s">
        <v>9890</v>
      </c>
      <c r="C3" s="403" t="s">
        <v>9891</v>
      </c>
      <c r="D3" s="167" t="s">
        <v>9892</v>
      </c>
      <c r="E3" s="403" t="s">
        <v>9893</v>
      </c>
      <c r="F3" s="167" t="s">
        <v>9894</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9895</v>
      </c>
      <c r="K3" s="407" t="str">
        <f>IFERROR(__xludf.DUMMYFUNCTION("GOOGLETRANSLATE(A3,""zh-tw"",""KO"")"),"당근 우유")</f>
        <v>당근 우유</v>
      </c>
      <c r="L3" s="167" t="s">
        <v>9896</v>
      </c>
      <c r="M3" s="407" t="s">
        <v>9897</v>
      </c>
      <c r="N3" s="198" t="s">
        <v>9898</v>
      </c>
      <c r="O3" s="403" t="s">
        <v>9899</v>
      </c>
      <c r="P3" s="167" t="s">
        <v>9900</v>
      </c>
      <c r="Q3" s="408" t="s">
        <v>9901</v>
      </c>
      <c r="R3" s="155" t="s">
        <v>9902</v>
      </c>
      <c r="S3" s="407" t="s">
        <v>9903</v>
      </c>
      <c r="T3" s="198" t="s">
        <v>9904</v>
      </c>
      <c r="U3" s="403" t="s">
        <v>9905</v>
      </c>
      <c r="V3" s="167" t="s">
        <v>9906</v>
      </c>
      <c r="W3" s="8"/>
      <c r="X3" s="8"/>
    </row>
    <row r="4">
      <c r="A4" s="403" t="s">
        <v>9907</v>
      </c>
      <c r="B4" s="167" t="s">
        <v>9908</v>
      </c>
      <c r="C4" s="403" t="s">
        <v>9909</v>
      </c>
      <c r="D4" s="167" t="s">
        <v>9910</v>
      </c>
      <c r="E4" s="403" t="s">
        <v>9911</v>
      </c>
      <c r="F4" s="167" t="s">
        <v>9912</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9913</v>
      </c>
      <c r="K4" s="403" t="s">
        <v>9914</v>
      </c>
      <c r="L4" s="198" t="str">
        <f>IFERROR(__xludf.DUMMYFUNCTION("GOOGLETRANSLATE(B4,""zh-tw"",""KO"")"),"스태미나를 75 회복하고 공격력을 50% 증가시킵니다.")</f>
        <v>스태미나를 75 회복하고 공격력을 50% 증가시킵니다.</v>
      </c>
      <c r="M4" s="407" t="s">
        <v>9915</v>
      </c>
      <c r="N4" s="198" t="s">
        <v>9916</v>
      </c>
      <c r="O4" s="403" t="s">
        <v>9917</v>
      </c>
      <c r="P4" s="167" t="s">
        <v>9918</v>
      </c>
      <c r="Q4" s="408" t="s">
        <v>9919</v>
      </c>
      <c r="R4" s="155" t="s">
        <v>9920</v>
      </c>
      <c r="S4" s="407" t="s">
        <v>9921</v>
      </c>
      <c r="T4" s="198" t="s">
        <v>9922</v>
      </c>
      <c r="U4" s="403" t="s">
        <v>9923</v>
      </c>
      <c r="V4" s="167" t="s">
        <v>9924</v>
      </c>
      <c r="W4" s="8"/>
      <c r="X4" s="8"/>
    </row>
    <row r="5">
      <c r="A5" s="403" t="s">
        <v>9925</v>
      </c>
      <c r="B5" s="167" t="s">
        <v>9926</v>
      </c>
      <c r="C5" s="403" t="s">
        <v>9927</v>
      </c>
      <c r="D5" s="167" t="s">
        <v>9928</v>
      </c>
      <c r="E5" s="403" t="s">
        <v>9929</v>
      </c>
      <c r="F5" s="167" t="s">
        <v>9930</v>
      </c>
      <c r="G5" s="403" t="str">
        <f>IFERROR(__xludf.DUMMYFUNCTION("GOOGLETRANSLATE(A5,""zh-tw"",""zh"")"),"蜜瓜味牛奶")</f>
        <v>蜜瓜味牛奶</v>
      </c>
      <c r="H5" s="167" t="str">
        <f>IFERROR(__xludf.DUMMYFUNCTION("GOOGLETRANSLATE(B5,""zh-tw"",""zh"")"),"回复体力75，提高50%魔力")</f>
        <v>回复体力75，提高50%魔力</v>
      </c>
      <c r="I5" s="403" t="s">
        <v>9931</v>
      </c>
      <c r="J5" s="167" t="s">
        <v>9932</v>
      </c>
      <c r="K5" s="403" t="s">
        <v>9933</v>
      </c>
      <c r="L5" s="198" t="str">
        <f>IFERROR(__xludf.DUMMYFUNCTION("GOOGLETRANSLATE(B5,""zh-tw"",""KO"")"),"체력을 75 회복하고 마법 공격력을 50% 증가시킵니다.")</f>
        <v>체력을 75 회복하고 마법 공격력을 50% 증가시킵니다.</v>
      </c>
      <c r="M5" s="407" t="s">
        <v>9934</v>
      </c>
      <c r="N5" s="198" t="s">
        <v>9935</v>
      </c>
      <c r="O5" s="403" t="s">
        <v>9936</v>
      </c>
      <c r="P5" s="167" t="s">
        <v>9937</v>
      </c>
      <c r="Q5" s="408" t="s">
        <v>9938</v>
      </c>
      <c r="R5" s="155" t="s">
        <v>9939</v>
      </c>
      <c r="S5" s="407" t="s">
        <v>9940</v>
      </c>
      <c r="T5" s="198" t="s">
        <v>9941</v>
      </c>
      <c r="U5" s="403" t="s">
        <v>9942</v>
      </c>
      <c r="V5" s="167" t="s">
        <v>9943</v>
      </c>
      <c r="W5" s="8"/>
      <c r="X5" s="8"/>
    </row>
    <row r="6">
      <c r="A6" s="403" t="s">
        <v>9944</v>
      </c>
      <c r="B6" s="167" t="s">
        <v>9945</v>
      </c>
      <c r="C6" s="403" t="s">
        <v>9946</v>
      </c>
      <c r="D6" s="167" t="s">
        <v>9947</v>
      </c>
      <c r="E6" s="403" t="s">
        <v>9948</v>
      </c>
      <c r="F6" s="167" t="s">
        <v>9949</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9950</v>
      </c>
      <c r="K6" s="407" t="str">
        <f>IFERROR(__xludf.DUMMYFUNCTION("GOOGLETRANSLATE(A6,""zh-tw"",""KO"")"),"바나나맛 우유")</f>
        <v>바나나맛 우유</v>
      </c>
      <c r="L6" s="167" t="s">
        <v>9951</v>
      </c>
      <c r="M6" s="407" t="s">
        <v>9952</v>
      </c>
      <c r="N6" s="198" t="s">
        <v>9953</v>
      </c>
      <c r="O6" s="403" t="s">
        <v>9954</v>
      </c>
      <c r="P6" s="167" t="s">
        <v>9955</v>
      </c>
      <c r="Q6" s="408" t="s">
        <v>9956</v>
      </c>
      <c r="R6" s="155" t="s">
        <v>9957</v>
      </c>
      <c r="S6" s="407" t="s">
        <v>9958</v>
      </c>
      <c r="T6" s="198" t="s">
        <v>9959</v>
      </c>
      <c r="U6" s="403" t="s">
        <v>9960</v>
      </c>
      <c r="V6" s="167" t="s">
        <v>9961</v>
      </c>
      <c r="W6" s="8"/>
      <c r="X6" s="8"/>
    </row>
    <row r="7">
      <c r="A7" s="403" t="s">
        <v>9962</v>
      </c>
      <c r="B7" s="167" t="s">
        <v>9963</v>
      </c>
      <c r="C7" s="403" t="s">
        <v>9964</v>
      </c>
      <c r="D7" s="167" t="s">
        <v>9965</v>
      </c>
      <c r="E7" s="403" t="s">
        <v>9966</v>
      </c>
      <c r="F7" s="167" t="s">
        <v>9967</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9968</v>
      </c>
      <c r="K7" s="403" t="s">
        <v>9969</v>
      </c>
      <c r="L7" s="198" t="str">
        <f>IFERROR(__xludf.DUMMYFUNCTION("GOOGLETRANSLATE(B7,""zh-tw"",""KO"")"),"스태미나 78을 회복하고 무적 효과를 부여합니다.
(아직 구현되지 않음)")</f>
        <v>스태미나 78을 회복하고 무적 효과를 부여합니다.
(아직 구현되지 않음)</v>
      </c>
      <c r="M7" s="407" t="s">
        <v>9970</v>
      </c>
      <c r="N7" s="198" t="s">
        <v>9971</v>
      </c>
      <c r="O7" s="403" t="s">
        <v>9972</v>
      </c>
      <c r="P7" s="167" t="s">
        <v>9973</v>
      </c>
      <c r="Q7" s="408" t="s">
        <v>9974</v>
      </c>
      <c r="R7" s="155" t="s">
        <v>9975</v>
      </c>
      <c r="S7" s="419" t="s">
        <v>9966</v>
      </c>
      <c r="T7" s="198" t="s">
        <v>9976</v>
      </c>
      <c r="U7" s="403" t="s">
        <v>9977</v>
      </c>
      <c r="V7" s="167" t="s">
        <v>9978</v>
      </c>
      <c r="W7" s="8"/>
      <c r="X7" s="8"/>
    </row>
    <row r="8">
      <c r="A8" s="403" t="s">
        <v>9979</v>
      </c>
      <c r="B8" s="167" t="s">
        <v>9980</v>
      </c>
      <c r="C8" s="403" t="s">
        <v>9981</v>
      </c>
      <c r="D8" s="167" t="s">
        <v>9982</v>
      </c>
      <c r="E8" s="403" t="s">
        <v>9983</v>
      </c>
      <c r="F8" s="167" t="s">
        <v>9984</v>
      </c>
      <c r="G8" s="403" t="str">
        <f>IFERROR(__xludf.DUMMYFUNCTION("GOOGLETRANSLATE(A8,""zh-tw"",""zh"")"),"逆流可乐")</f>
        <v>逆流可乐</v>
      </c>
      <c r="H8" s="167" t="str">
        <f>IFERROR(__xludf.DUMMYFUNCTION("GOOGLETRANSLATE(B8,""zh-tw"",""zh"")"),"(战斗效果未实装)")</f>
        <v>(战斗效果未实装)</v>
      </c>
      <c r="I8" s="403" t="s">
        <v>9983</v>
      </c>
      <c r="J8" s="167" t="s">
        <v>9985</v>
      </c>
      <c r="K8" s="403" t="s">
        <v>9986</v>
      </c>
      <c r="L8" s="198" t="str">
        <f>IFERROR(__xludf.DUMMYFUNCTION("GOOGLETRANSLATE(B8,""zh-tw"",""KO"")"),"(전투 효과는 아직 구현되지 않았습니다)")</f>
        <v>(전투 효과는 아직 구현되지 않았습니다)</v>
      </c>
      <c r="M8" s="407" t="s">
        <v>9987</v>
      </c>
      <c r="N8" s="198" t="s">
        <v>9988</v>
      </c>
      <c r="O8" s="403" t="s">
        <v>9983</v>
      </c>
      <c r="P8" s="167" t="s">
        <v>9989</v>
      </c>
      <c r="Q8" s="408" t="s">
        <v>9983</v>
      </c>
      <c r="R8" s="155" t="s">
        <v>9990</v>
      </c>
      <c r="S8" s="407" t="s">
        <v>9991</v>
      </c>
      <c r="T8" s="198" t="s">
        <v>9992</v>
      </c>
      <c r="U8" s="403" t="s">
        <v>9993</v>
      </c>
      <c r="V8" s="167" t="s">
        <v>9994</v>
      </c>
      <c r="W8" s="8"/>
      <c r="X8" s="8"/>
    </row>
    <row r="9">
      <c r="A9" s="403" t="s">
        <v>9995</v>
      </c>
      <c r="B9" s="167" t="s">
        <v>9996</v>
      </c>
      <c r="C9" s="403" t="s">
        <v>9997</v>
      </c>
      <c r="D9" s="167" t="s">
        <v>9998</v>
      </c>
      <c r="E9" s="403" t="s">
        <v>9999</v>
      </c>
      <c r="F9" s="167" t="s">
        <v>10000</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10001</v>
      </c>
      <c r="K9" s="403" t="s">
        <v>10002</v>
      </c>
      <c r="L9" s="167" t="s">
        <v>10003</v>
      </c>
      <c r="M9" s="407" t="s">
        <v>10004</v>
      </c>
      <c r="N9" s="198" t="s">
        <v>10005</v>
      </c>
      <c r="O9" s="403" t="s">
        <v>10006</v>
      </c>
      <c r="P9" s="167" t="s">
        <v>10007</v>
      </c>
      <c r="Q9" s="408" t="s">
        <v>10008</v>
      </c>
      <c r="R9" s="155" t="s">
        <v>10009</v>
      </c>
      <c r="S9" s="403" t="s">
        <v>10010</v>
      </c>
      <c r="T9" s="198" t="s">
        <v>10011</v>
      </c>
      <c r="U9" s="403" t="s">
        <v>10012</v>
      </c>
      <c r="V9" s="167" t="s">
        <v>10013</v>
      </c>
      <c r="W9" s="8"/>
      <c r="X9" s="8"/>
    </row>
    <row r="10">
      <c r="A10" s="403" t="s">
        <v>10014</v>
      </c>
      <c r="B10" s="167" t="s">
        <v>10015</v>
      </c>
      <c r="C10" s="403" t="s">
        <v>10016</v>
      </c>
      <c r="D10" s="167" t="s">
        <v>10017</v>
      </c>
      <c r="E10" s="403" t="s">
        <v>10018</v>
      </c>
      <c r="F10" s="167" t="s">
        <v>10019</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10020</v>
      </c>
      <c r="K10" s="403" t="s">
        <v>10021</v>
      </c>
      <c r="L10" s="167" t="s">
        <v>10022</v>
      </c>
      <c r="M10" s="407" t="s">
        <v>10023</v>
      </c>
      <c r="N10" s="198" t="s">
        <v>10024</v>
      </c>
      <c r="O10" s="403" t="s">
        <v>10025</v>
      </c>
      <c r="P10" s="167" t="s">
        <v>10026</v>
      </c>
      <c r="Q10" s="408" t="s">
        <v>10027</v>
      </c>
      <c r="R10" s="155" t="s">
        <v>10028</v>
      </c>
      <c r="S10" s="403" t="s">
        <v>10029</v>
      </c>
      <c r="T10" s="198" t="s">
        <v>10030</v>
      </c>
      <c r="U10" s="403" t="s">
        <v>10031</v>
      </c>
      <c r="V10" s="167" t="s">
        <v>10032</v>
      </c>
      <c r="W10" s="8"/>
      <c r="X10" s="8"/>
    </row>
    <row r="11">
      <c r="A11" s="403" t="s">
        <v>10033</v>
      </c>
      <c r="B11" s="167" t="s">
        <v>10034</v>
      </c>
      <c r="C11" s="403" t="s">
        <v>10035</v>
      </c>
      <c r="D11" s="167" t="s">
        <v>1058</v>
      </c>
      <c r="E11" s="403" t="s">
        <v>10036</v>
      </c>
      <c r="F11" s="167" t="s">
        <v>10037</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10038</v>
      </c>
      <c r="K11" s="403" t="s">
        <v>10039</v>
      </c>
      <c r="L11" s="198" t="str">
        <f>IFERROR(__xludf.DUMMYFUNCTION("GOOGLETRANSLATE(B11,""zh-tw"",""KO"")"),"해당 효과는 아직 적용되지 않았습니다.")</f>
        <v>해당 효과는 아직 적용되지 않았습니다.</v>
      </c>
      <c r="M11" s="407" t="s">
        <v>10040</v>
      </c>
      <c r="N11" s="198" t="s">
        <v>10041</v>
      </c>
      <c r="O11" s="403" t="s">
        <v>10042</v>
      </c>
      <c r="P11" s="167" t="s">
        <v>5437</v>
      </c>
      <c r="Q11" s="408" t="s">
        <v>10043</v>
      </c>
      <c r="R11" s="155" t="s">
        <v>10044</v>
      </c>
      <c r="S11" s="407" t="s">
        <v>10045</v>
      </c>
      <c r="T11" s="198" t="s">
        <v>10046</v>
      </c>
      <c r="U11" s="403" t="s">
        <v>10047</v>
      </c>
      <c r="V11" s="167" t="s">
        <v>1647</v>
      </c>
      <c r="W11" s="8"/>
      <c r="X11" s="8"/>
    </row>
    <row r="12">
      <c r="A12" s="403" t="s">
        <v>10048</v>
      </c>
      <c r="B12" s="167" t="s">
        <v>10049</v>
      </c>
      <c r="C12" s="403" t="s">
        <v>10050</v>
      </c>
      <c r="D12" s="167" t="s">
        <v>10051</v>
      </c>
      <c r="E12" s="403" t="s">
        <v>10052</v>
      </c>
      <c r="F12" s="167" t="s">
        <v>10053</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10054</v>
      </c>
      <c r="J12" s="167" t="s">
        <v>10055</v>
      </c>
      <c r="K12" s="407" t="str">
        <f>IFERROR(__xludf.DUMMYFUNCTION("GOOGLETRANSLATE(A12,""zh-tw"",""KO"")"),"천상의 돌 조각들")</f>
        <v>천상의 돌 조각들</v>
      </c>
      <c r="L12" s="167" t="s">
        <v>10056</v>
      </c>
      <c r="M12" s="407" t="s">
        <v>10057</v>
      </c>
      <c r="N12" s="198" t="s">
        <v>10058</v>
      </c>
      <c r="O12" s="403" t="s">
        <v>10059</v>
      </c>
      <c r="P12" s="167" t="s">
        <v>10060</v>
      </c>
      <c r="Q12" s="408" t="s">
        <v>10061</v>
      </c>
      <c r="R12" s="167" t="s">
        <v>10062</v>
      </c>
      <c r="S12" s="403" t="s">
        <v>10063</v>
      </c>
      <c r="T12" s="167" t="s">
        <v>10064</v>
      </c>
      <c r="U12" s="403" t="s">
        <v>10065</v>
      </c>
      <c r="V12" s="167" t="s">
        <v>10066</v>
      </c>
      <c r="W12" s="8"/>
      <c r="X12" s="8"/>
    </row>
    <row r="13">
      <c r="A13" s="403" t="s">
        <v>10067</v>
      </c>
      <c r="B13" s="167" t="s">
        <v>10068</v>
      </c>
      <c r="C13" s="403" t="s">
        <v>10069</v>
      </c>
      <c r="D13" s="167" t="s">
        <v>10070</v>
      </c>
      <c r="E13" s="403" t="s">
        <v>10071</v>
      </c>
      <c r="F13" s="167" t="s">
        <v>10072</v>
      </c>
      <c r="G13" s="403" t="str">
        <f>IFERROR(__xludf.DUMMYFUNCTION("GOOGLETRANSLATE(A13,""zh-tw"",""zh"")"),"卢恩符文A")</f>
        <v>卢恩符文A</v>
      </c>
      <c r="H13" s="167" t="s">
        <v>10073</v>
      </c>
      <c r="I13" s="407" t="str">
        <f>IFERROR(__xludf.DUMMYFUNCTION("GOOGLETRANSLATE(A13,""zh-tw"",""es-MX"")"),"Runa A")</f>
        <v>Runa A</v>
      </c>
      <c r="J13" s="167" t="s">
        <v>10074</v>
      </c>
      <c r="K13" s="403" t="s">
        <v>10075</v>
      </c>
      <c r="L13" s="167" t="s">
        <v>10076</v>
      </c>
      <c r="M13" s="407" t="s">
        <v>10077</v>
      </c>
      <c r="N13" s="198" t="s">
        <v>10078</v>
      </c>
      <c r="O13" s="403" t="s">
        <v>10079</v>
      </c>
      <c r="P13" s="167" t="s">
        <v>10080</v>
      </c>
      <c r="Q13" s="403" t="s">
        <v>10081</v>
      </c>
      <c r="R13" s="155" t="s">
        <v>10082</v>
      </c>
      <c r="S13" s="403" t="s">
        <v>10083</v>
      </c>
      <c r="T13" s="198" t="s">
        <v>10084</v>
      </c>
      <c r="U13" s="403" t="s">
        <v>10071</v>
      </c>
      <c r="V13" s="167" t="s">
        <v>10085</v>
      </c>
      <c r="W13" s="8"/>
      <c r="X13" s="8"/>
    </row>
    <row r="14">
      <c r="A14" s="403" t="s">
        <v>10086</v>
      </c>
      <c r="B14" s="167" t="s">
        <v>10087</v>
      </c>
      <c r="C14" s="403" t="s">
        <v>10088</v>
      </c>
      <c r="D14" s="167" t="s">
        <v>10089</v>
      </c>
      <c r="E14" s="403" t="s">
        <v>10090</v>
      </c>
      <c r="F14" s="167" t="s">
        <v>10091</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10092</v>
      </c>
      <c r="K14" s="403" t="s">
        <v>10093</v>
      </c>
      <c r="L14" s="167" t="s">
        <v>10094</v>
      </c>
      <c r="M14" s="407" t="s">
        <v>10095</v>
      </c>
      <c r="N14" s="198" t="s">
        <v>10096</v>
      </c>
      <c r="O14" s="403" t="s">
        <v>10097</v>
      </c>
      <c r="P14" s="167" t="s">
        <v>10098</v>
      </c>
      <c r="Q14" s="403" t="s">
        <v>10099</v>
      </c>
      <c r="R14" s="155" t="s">
        <v>10100</v>
      </c>
      <c r="S14" s="403" t="s">
        <v>10101</v>
      </c>
      <c r="T14" s="198" t="s">
        <v>10102</v>
      </c>
      <c r="U14" s="403" t="s">
        <v>10090</v>
      </c>
      <c r="V14" s="167" t="s">
        <v>10103</v>
      </c>
      <c r="W14" s="8"/>
      <c r="X14" s="8"/>
    </row>
    <row r="15">
      <c r="A15" s="403" t="s">
        <v>10104</v>
      </c>
      <c r="B15" s="167" t="s">
        <v>10105</v>
      </c>
      <c r="C15" s="403" t="s">
        <v>10106</v>
      </c>
      <c r="D15" s="167" t="s">
        <v>10107</v>
      </c>
      <c r="E15" s="403" t="s">
        <v>10108</v>
      </c>
      <c r="F15" s="167" t="s">
        <v>10109</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10110</v>
      </c>
      <c r="K15" s="403" t="s">
        <v>10111</v>
      </c>
      <c r="L15" s="167" t="s">
        <v>10112</v>
      </c>
      <c r="M15" s="407" t="s">
        <v>10113</v>
      </c>
      <c r="N15" s="198" t="s">
        <v>10114</v>
      </c>
      <c r="O15" s="403" t="s">
        <v>10115</v>
      </c>
      <c r="P15" s="167" t="s">
        <v>10116</v>
      </c>
      <c r="Q15" s="403" t="s">
        <v>10117</v>
      </c>
      <c r="R15" s="155" t="s">
        <v>10118</v>
      </c>
      <c r="S15" s="403" t="s">
        <v>10119</v>
      </c>
      <c r="T15" s="198" t="s">
        <v>10120</v>
      </c>
      <c r="U15" s="403" t="s">
        <v>10108</v>
      </c>
      <c r="V15" s="167" t="s">
        <v>10121</v>
      </c>
      <c r="W15" s="8"/>
      <c r="X15" s="8"/>
    </row>
    <row r="16">
      <c r="A16" s="408" t="s">
        <v>10122</v>
      </c>
      <c r="B16" s="198" t="s">
        <v>10123</v>
      </c>
      <c r="C16" s="407" t="s">
        <v>10124</v>
      </c>
      <c r="D16" s="198" t="s">
        <v>10125</v>
      </c>
      <c r="E16" s="407" t="s">
        <v>10126</v>
      </c>
      <c r="F16" s="198" t="s">
        <v>10127</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10128</v>
      </c>
      <c r="N16" s="198" t="s">
        <v>10129</v>
      </c>
      <c r="O16" s="407" t="s">
        <v>10126</v>
      </c>
      <c r="P16" s="198" t="s">
        <v>10127</v>
      </c>
      <c r="Q16" s="403" t="s">
        <v>10130</v>
      </c>
      <c r="R16" s="198" t="s">
        <v>10131</v>
      </c>
      <c r="S16" s="403" t="s">
        <v>10132</v>
      </c>
      <c r="T16" s="167" t="s">
        <v>10133</v>
      </c>
      <c r="U16" s="403" t="s">
        <v>10126</v>
      </c>
      <c r="V16" s="167" t="s">
        <v>10134</v>
      </c>
      <c r="W16" s="8"/>
      <c r="X16" s="8"/>
    </row>
    <row r="17">
      <c r="A17" s="403" t="s">
        <v>10135</v>
      </c>
      <c r="B17" s="167" t="s">
        <v>10136</v>
      </c>
      <c r="C17" s="403" t="s">
        <v>10137</v>
      </c>
      <c r="D17" s="167" t="s">
        <v>10138</v>
      </c>
      <c r="E17" s="403" t="s">
        <v>10139</v>
      </c>
      <c r="F17" s="167" t="s">
        <v>10140</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10141</v>
      </c>
      <c r="K17" s="403" t="s">
        <v>10142</v>
      </c>
      <c r="L17" s="198" t="str">
        <f>IFERROR(__xludf.DUMMYFUNCTION("GOOGLETRANSLATE(B17,""zh-tw"",""KO"")"),"가샤폰 소환기")</f>
        <v>가샤폰 소환기</v>
      </c>
      <c r="M17" s="407" t="s">
        <v>10143</v>
      </c>
      <c r="N17" s="198" t="s">
        <v>10144</v>
      </c>
      <c r="O17" s="403" t="s">
        <v>10145</v>
      </c>
      <c r="P17" s="167" t="s">
        <v>10146</v>
      </c>
      <c r="Q17" s="408" t="s">
        <v>10139</v>
      </c>
      <c r="R17" s="155" t="s">
        <v>10147</v>
      </c>
      <c r="S17" s="407" t="s">
        <v>10148</v>
      </c>
      <c r="T17" s="198" t="s">
        <v>10149</v>
      </c>
      <c r="U17" s="403" t="s">
        <v>10150</v>
      </c>
      <c r="V17" s="167" t="s">
        <v>10151</v>
      </c>
      <c r="W17" s="8"/>
      <c r="X17" s="8"/>
    </row>
    <row r="18">
      <c r="A18" s="403" t="s">
        <v>10152</v>
      </c>
      <c r="B18" s="167" t="s">
        <v>10153</v>
      </c>
      <c r="C18" s="403" t="s">
        <v>10154</v>
      </c>
      <c r="D18" s="167" t="s">
        <v>10155</v>
      </c>
      <c r="E18" s="403" t="s">
        <v>10156</v>
      </c>
      <c r="F18" s="167" t="s">
        <v>10157</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10158</v>
      </c>
      <c r="K18" s="403" t="s">
        <v>10159</v>
      </c>
      <c r="L18" s="202" t="s">
        <v>10160</v>
      </c>
      <c r="M18" s="407" t="s">
        <v>10161</v>
      </c>
      <c r="N18" s="198" t="s">
        <v>10162</v>
      </c>
      <c r="O18" s="403" t="s">
        <v>10163</v>
      </c>
      <c r="P18" s="167" t="s">
        <v>10164</v>
      </c>
      <c r="Q18" s="408" t="s">
        <v>10156</v>
      </c>
      <c r="R18" s="167" t="s">
        <v>10165</v>
      </c>
      <c r="S18" s="407" t="s">
        <v>10166</v>
      </c>
      <c r="T18" s="198" t="s">
        <v>10167</v>
      </c>
      <c r="U18" s="403" t="s">
        <v>10168</v>
      </c>
      <c r="V18" s="167" t="s">
        <v>10169</v>
      </c>
      <c r="W18" s="8"/>
      <c r="X18" s="8"/>
    </row>
    <row r="19">
      <c r="A19" s="403" t="s">
        <v>10170</v>
      </c>
      <c r="B19" s="167" t="s">
        <v>10171</v>
      </c>
      <c r="C19" s="403" t="s">
        <v>10172</v>
      </c>
      <c r="D19" s="167" t="s">
        <v>10173</v>
      </c>
      <c r="E19" s="403" t="s">
        <v>10174</v>
      </c>
      <c r="F19" s="167" t="s">
        <v>10175</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10176</v>
      </c>
      <c r="K19" s="407" t="str">
        <f>IFERROR(__xludf.DUMMYFUNCTION("GOOGLETRANSLATE(A19,""zh-tw"",""KO"")"),"타로 카드 - 힘")</f>
        <v>타로 카드 - 힘</v>
      </c>
      <c r="L19" s="167" t="s">
        <v>10177</v>
      </c>
      <c r="M19" s="407" t="s">
        <v>10178</v>
      </c>
      <c r="N19" s="198" t="s">
        <v>10179</v>
      </c>
      <c r="O19" s="403" t="s">
        <v>10180</v>
      </c>
      <c r="P19" s="167" t="s">
        <v>10181</v>
      </c>
      <c r="Q19" s="408" t="s">
        <v>10174</v>
      </c>
      <c r="R19" s="155" t="s">
        <v>10182</v>
      </c>
      <c r="S19" s="407" t="s">
        <v>10183</v>
      </c>
      <c r="T19" s="198" t="s">
        <v>10184</v>
      </c>
      <c r="U19" s="403" t="s">
        <v>10185</v>
      </c>
      <c r="V19" s="167" t="s">
        <v>10186</v>
      </c>
      <c r="W19" s="8"/>
      <c r="X19" s="8"/>
    </row>
    <row r="20">
      <c r="A20" s="403" t="s">
        <v>10187</v>
      </c>
      <c r="B20" s="167" t="s">
        <v>10188</v>
      </c>
      <c r="C20" s="403" t="s">
        <v>10189</v>
      </c>
      <c r="D20" s="167" t="s">
        <v>10190</v>
      </c>
      <c r="E20" s="403" t="s">
        <v>10191</v>
      </c>
      <c r="F20" s="167" t="s">
        <v>10192</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10193</v>
      </c>
      <c r="K20" s="407" t="str">
        <f>IFERROR(__xludf.DUMMYFUNCTION("GOOGLETRANSLATE(A20,""zh-tw"",""KO"")"),"타로 - 황제 카드")</f>
        <v>타로 - 황제 카드</v>
      </c>
      <c r="L20" s="167" t="s">
        <v>10194</v>
      </c>
      <c r="M20" s="407" t="s">
        <v>10195</v>
      </c>
      <c r="N20" s="198" t="s">
        <v>10196</v>
      </c>
      <c r="O20" s="403" t="s">
        <v>10197</v>
      </c>
      <c r="P20" s="167" t="s">
        <v>10198</v>
      </c>
      <c r="Q20" s="408" t="s">
        <v>10191</v>
      </c>
      <c r="R20" s="155" t="s">
        <v>10199</v>
      </c>
      <c r="S20" s="407" t="s">
        <v>10200</v>
      </c>
      <c r="T20" s="198" t="s">
        <v>10201</v>
      </c>
      <c r="U20" s="403" t="s">
        <v>10202</v>
      </c>
      <c r="V20" s="167" t="s">
        <v>10203</v>
      </c>
      <c r="W20" s="8"/>
      <c r="X20" s="8"/>
    </row>
    <row r="21">
      <c r="A21" s="403" t="s">
        <v>10204</v>
      </c>
      <c r="B21" s="167" t="s">
        <v>10205</v>
      </c>
      <c r="C21" s="403" t="str">
        <f>IFERROR(__xludf.DUMMYFUNCTION("GOOGLETRANSLATE(A21,""zh-tw"",""ja"")"),"タロット - 星")</f>
        <v>タロット - 星</v>
      </c>
      <c r="D21" s="167" t="s">
        <v>10206</v>
      </c>
      <c r="E21" s="403" t="s">
        <v>10207</v>
      </c>
      <c r="F21" s="167" t="s">
        <v>10208</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10209</v>
      </c>
      <c r="K21" s="407" t="str">
        <f>IFERROR(__xludf.DUMMYFUNCTION("GOOGLETRANSLATE(A21,""zh-tw"",""KO"")"),"타로 - 별")</f>
        <v>타로 - 별</v>
      </c>
      <c r="L21" s="167" t="s">
        <v>10210</v>
      </c>
      <c r="M21" s="407" t="s">
        <v>10211</v>
      </c>
      <c r="N21" s="198" t="s">
        <v>10212</v>
      </c>
      <c r="O21" s="403" t="s">
        <v>10213</v>
      </c>
      <c r="P21" s="167" t="s">
        <v>10214</v>
      </c>
      <c r="Q21" s="408" t="s">
        <v>10207</v>
      </c>
      <c r="R21" s="155" t="s">
        <v>10215</v>
      </c>
      <c r="S21" s="407" t="s">
        <v>10216</v>
      </c>
      <c r="T21" s="167" t="s">
        <v>10217</v>
      </c>
      <c r="U21" s="403" t="s">
        <v>10218</v>
      </c>
      <c r="V21" s="167" t="s">
        <v>10219</v>
      </c>
      <c r="W21" s="8"/>
      <c r="X21" s="8"/>
    </row>
    <row r="22">
      <c r="A22" s="403" t="s">
        <v>10220</v>
      </c>
      <c r="B22" s="167" t="s">
        <v>10221</v>
      </c>
      <c r="C22" s="403" t="s">
        <v>10222</v>
      </c>
      <c r="D22" s="167" t="s">
        <v>10223</v>
      </c>
      <c r="E22" s="403" t="s">
        <v>10224</v>
      </c>
      <c r="F22" s="167" t="s">
        <v>10225</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IFERROR(__xludf.DUMMYFUNCTION("GOOGLETRANSLATE(A22,""zh-tw"",""es-MX"")"),"Carta del Tarot - El Carro")</f>
        <v>Carta del Tarot - El Carro</v>
      </c>
      <c r="J22" s="167" t="s">
        <v>10226</v>
      </c>
      <c r="K22" s="403" t="s">
        <v>10227</v>
      </c>
      <c r="L22" s="198" t="str">
        <f>IFERROR(__xludf.DUMMYFUNCTION("GOOGLETRANSLATE(B22,""zh-tw"",""KO"")"),"고양이 소녀 상점 카트를 소환하세요")</f>
        <v>고양이 소녀 상점 카트를 소환하세요</v>
      </c>
      <c r="M22" s="407" t="s">
        <v>10228</v>
      </c>
      <c r="N22" s="198" t="s">
        <v>10229</v>
      </c>
      <c r="O22" s="403" t="s">
        <v>10230</v>
      </c>
      <c r="P22" s="167" t="s">
        <v>10231</v>
      </c>
      <c r="Q22" s="408" t="s">
        <v>10224</v>
      </c>
      <c r="R22" s="155" t="s">
        <v>10232</v>
      </c>
      <c r="S22" s="407" t="s">
        <v>10233</v>
      </c>
      <c r="T22" s="198" t="s">
        <v>10234</v>
      </c>
      <c r="U22" s="403" t="s">
        <v>10235</v>
      </c>
      <c r="V22" s="167" t="s">
        <v>10236</v>
      </c>
      <c r="W22" s="8"/>
      <c r="X22" s="8"/>
    </row>
    <row r="23">
      <c r="A23" s="403" t="s">
        <v>10237</v>
      </c>
      <c r="B23" s="167" t="s">
        <v>10238</v>
      </c>
      <c r="C23" s="403" t="s">
        <v>10239</v>
      </c>
      <c r="D23" s="167" t="s">
        <v>10240</v>
      </c>
      <c r="E23" s="403" t="s">
        <v>10241</v>
      </c>
      <c r="F23" s="167" t="s">
        <v>10242</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10243</v>
      </c>
      <c r="K23" s="403" t="s">
        <v>10244</v>
      </c>
      <c r="L23" s="167" t="s">
        <v>10245</v>
      </c>
      <c r="M23" s="407" t="s">
        <v>10246</v>
      </c>
      <c r="N23" s="198" t="s">
        <v>10247</v>
      </c>
      <c r="O23" s="403" t="s">
        <v>10248</v>
      </c>
      <c r="P23" s="167" t="s">
        <v>10249</v>
      </c>
      <c r="Q23" s="408" t="s">
        <v>10241</v>
      </c>
      <c r="R23" s="155" t="s">
        <v>10250</v>
      </c>
      <c r="S23" s="407" t="s">
        <v>10251</v>
      </c>
      <c r="T23" s="198" t="s">
        <v>10252</v>
      </c>
      <c r="U23" s="403" t="s">
        <v>10253</v>
      </c>
      <c r="V23" s="167" t="s">
        <v>10254</v>
      </c>
      <c r="W23" s="8"/>
      <c r="X23" s="8"/>
    </row>
    <row r="24">
      <c r="A24" s="403" t="s">
        <v>10255</v>
      </c>
      <c r="B24" s="167" t="s">
        <v>10256</v>
      </c>
      <c r="C24" s="403" t="s">
        <v>10257</v>
      </c>
      <c r="D24" s="167" t="s">
        <v>10258</v>
      </c>
      <c r="E24" s="403" t="s">
        <v>10259</v>
      </c>
      <c r="F24" s="167" t="s">
        <v>10260</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10261</v>
      </c>
      <c r="K24" s="403" t="s">
        <v>10262</v>
      </c>
      <c r="L24" s="167" t="s">
        <v>10263</v>
      </c>
      <c r="M24" s="407" t="s">
        <v>10264</v>
      </c>
      <c r="N24" s="198" t="s">
        <v>10265</v>
      </c>
      <c r="O24" s="403" t="s">
        <v>10266</v>
      </c>
      <c r="P24" s="167" t="s">
        <v>10267</v>
      </c>
      <c r="Q24" s="408" t="s">
        <v>10259</v>
      </c>
      <c r="R24" s="155" t="s">
        <v>10268</v>
      </c>
      <c r="S24" s="407" t="s">
        <v>10269</v>
      </c>
      <c r="T24" s="198" t="s">
        <v>10270</v>
      </c>
      <c r="U24" s="403" t="s">
        <v>10271</v>
      </c>
      <c r="V24" s="167" t="s">
        <v>10272</v>
      </c>
      <c r="W24" s="8"/>
      <c r="X24" s="8"/>
    </row>
    <row r="25">
      <c r="A25" s="403" t="s">
        <v>10273</v>
      </c>
      <c r="B25" s="167" t="s">
        <v>10274</v>
      </c>
      <c r="C25" s="403" t="s">
        <v>10275</v>
      </c>
      <c r="D25" s="167" t="s">
        <v>10276</v>
      </c>
      <c r="E25" s="403" t="s">
        <v>10277</v>
      </c>
      <c r="F25" s="167" t="s">
        <v>10278</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10279</v>
      </c>
      <c r="K25" s="407" t="str">
        <f>IFERROR(__xludf.DUMMYFUNCTION("GOOGLETRANSLATE(A25,""zh-tw"",""KO"")"),"타로 - 세계")</f>
        <v>타로 - 세계</v>
      </c>
      <c r="L25" s="167" t="s">
        <v>10280</v>
      </c>
      <c r="M25" s="407" t="s">
        <v>10281</v>
      </c>
      <c r="N25" s="198" t="s">
        <v>10282</v>
      </c>
      <c r="O25" s="403" t="s">
        <v>10283</v>
      </c>
      <c r="P25" s="167" t="s">
        <v>10284</v>
      </c>
      <c r="Q25" s="408" t="s">
        <v>10277</v>
      </c>
      <c r="R25" s="155" t="s">
        <v>10285</v>
      </c>
      <c r="S25" s="407" t="s">
        <v>10286</v>
      </c>
      <c r="T25" s="198" t="s">
        <v>10287</v>
      </c>
      <c r="U25" s="403" t="s">
        <v>10288</v>
      </c>
      <c r="V25" s="167" t="s">
        <v>10289</v>
      </c>
      <c r="W25" s="8"/>
      <c r="X25" s="8"/>
    </row>
    <row r="26">
      <c r="A26" s="403" t="s">
        <v>10290</v>
      </c>
      <c r="B26" s="167" t="s">
        <v>10291</v>
      </c>
      <c r="C26" s="403" t="s">
        <v>10292</v>
      </c>
      <c r="D26" s="198" t="str">
        <f>IFERROR(__xludf.DUMMYFUNCTION("GOOGLETRANSLATE(B26,""zh-tw"",""ja"")"),"一定時間内に1回復活することができます。")</f>
        <v>一定時間内に1回復活することができます。</v>
      </c>
      <c r="E26" s="403" t="s">
        <v>10293</v>
      </c>
      <c r="F26" s="167" t="s">
        <v>10294</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10295</v>
      </c>
      <c r="K26" s="436" t="s">
        <v>10296</v>
      </c>
      <c r="L26" s="167" t="s">
        <v>10297</v>
      </c>
      <c r="M26" s="407" t="s">
        <v>10298</v>
      </c>
      <c r="N26" s="198" t="s">
        <v>10299</v>
      </c>
      <c r="O26" s="403" t="s">
        <v>10300</v>
      </c>
      <c r="P26" s="167" t="s">
        <v>10301</v>
      </c>
      <c r="Q26" s="408" t="s">
        <v>10293</v>
      </c>
      <c r="R26" s="155" t="s">
        <v>10302</v>
      </c>
      <c r="S26" s="407" t="s">
        <v>10303</v>
      </c>
      <c r="T26" s="198" t="s">
        <v>10304</v>
      </c>
      <c r="U26" s="403" t="s">
        <v>10305</v>
      </c>
      <c r="V26" s="167" t="s">
        <v>10306</v>
      </c>
      <c r="W26" s="8"/>
      <c r="X26" s="8"/>
    </row>
    <row r="27">
      <c r="A27" s="408" t="s">
        <v>10307</v>
      </c>
      <c r="B27" s="167" t="s">
        <v>10308</v>
      </c>
      <c r="C27" s="408" t="s">
        <v>10309</v>
      </c>
      <c r="D27" s="167" t="s">
        <v>10310</v>
      </c>
      <c r="E27" s="408" t="s">
        <v>10311</v>
      </c>
      <c r="F27" s="155" t="s">
        <v>10312</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10313</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10314</v>
      </c>
      <c r="N27" s="198" t="s">
        <v>10315</v>
      </c>
      <c r="O27" s="403" t="s">
        <v>10316</v>
      </c>
      <c r="P27" s="167" t="s">
        <v>10317</v>
      </c>
      <c r="Q27" s="408" t="s">
        <v>10311</v>
      </c>
      <c r="R27" s="155" t="s">
        <v>10318</v>
      </c>
      <c r="S27" s="407" t="s">
        <v>10319</v>
      </c>
      <c r="T27" s="198" t="s">
        <v>10320</v>
      </c>
      <c r="U27" s="403" t="s">
        <v>10321</v>
      </c>
      <c r="V27" s="167" t="s">
        <v>10322</v>
      </c>
      <c r="W27" s="8"/>
      <c r="X27" s="8"/>
    </row>
    <row r="28">
      <c r="A28" s="403" t="s">
        <v>10323</v>
      </c>
      <c r="B28" s="167" t="s">
        <v>10324</v>
      </c>
      <c r="C28" s="403" t="str">
        <f>IFERROR(__xludf.DUMMYFUNCTION("GOOGLETRANSLATE(A28,""zh-tw"",""ja"")"),"ジャック・ボム")</f>
        <v>ジャック・ボム</v>
      </c>
      <c r="D28" s="167" t="s">
        <v>10325</v>
      </c>
      <c r="E28" s="403" t="s">
        <v>10326</v>
      </c>
      <c r="F28" s="167" t="s">
        <v>10327</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10328</v>
      </c>
      <c r="K28" s="403" t="s">
        <v>10329</v>
      </c>
      <c r="L28" s="198" t="str">
        <f>IFERROR(__xludf.DUMMYFUNCTION("GOOGLETRANSLATE(B28,""zh-tw"",""KO"")"),"폭탄 (방어 무시)")</f>
        <v>폭탄 (방어 무시)</v>
      </c>
      <c r="M28" s="407" t="s">
        <v>10330</v>
      </c>
      <c r="N28" s="198" t="s">
        <v>10331</v>
      </c>
      <c r="O28" s="403" t="s">
        <v>10332</v>
      </c>
      <c r="P28" s="167" t="s">
        <v>10333</v>
      </c>
      <c r="Q28" s="408" t="s">
        <v>10326</v>
      </c>
      <c r="R28" s="155" t="s">
        <v>10334</v>
      </c>
      <c r="S28" s="407" t="s">
        <v>10335</v>
      </c>
      <c r="T28" s="198" t="s">
        <v>10336</v>
      </c>
      <c r="U28" s="403" t="s">
        <v>10337</v>
      </c>
      <c r="V28" s="167" t="s">
        <v>10338</v>
      </c>
      <c r="W28" s="8"/>
      <c r="X28" s="8"/>
    </row>
    <row r="29">
      <c r="A29" s="403" t="s">
        <v>10339</v>
      </c>
      <c r="B29" s="167" t="s">
        <v>10340</v>
      </c>
      <c r="C29" s="403" t="s">
        <v>10341</v>
      </c>
      <c r="D29" s="167" t="s">
        <v>10342</v>
      </c>
      <c r="E29" s="403" t="s">
        <v>10343</v>
      </c>
      <c r="F29" s="167" t="s">
        <v>10344</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10345</v>
      </c>
      <c r="K29" s="407" t="str">
        <f>IFERROR(__xludf.DUMMYFUNCTION("GOOGLETRANSLATE(A29,""zh-tw"",""KO"")"),"프로스트 잭 밤")</f>
        <v>프로스트 잭 밤</v>
      </c>
      <c r="L29" s="167" t="s">
        <v>10346</v>
      </c>
      <c r="M29" s="407" t="s">
        <v>10347</v>
      </c>
      <c r="N29" s="198" t="s">
        <v>10348</v>
      </c>
      <c r="O29" s="403" t="s">
        <v>10349</v>
      </c>
      <c r="P29" s="167" t="s">
        <v>10350</v>
      </c>
      <c r="Q29" s="408" t="s">
        <v>10343</v>
      </c>
      <c r="R29" s="155" t="s">
        <v>10351</v>
      </c>
      <c r="S29" s="407" t="s">
        <v>10352</v>
      </c>
      <c r="T29" s="198" t="s">
        <v>10353</v>
      </c>
      <c r="U29" s="403" t="s">
        <v>10354</v>
      </c>
      <c r="V29" s="167" t="s">
        <v>10355</v>
      </c>
      <c r="W29" s="8"/>
      <c r="X29" s="8"/>
    </row>
    <row r="30">
      <c r="A30" s="403" t="s">
        <v>10356</v>
      </c>
      <c r="B30" s="167" t="s">
        <v>10357</v>
      </c>
      <c r="C30" s="403" t="s">
        <v>10358</v>
      </c>
      <c r="D30" s="167" t="s">
        <v>10359</v>
      </c>
      <c r="E30" s="403" t="s">
        <v>10360</v>
      </c>
      <c r="F30" s="167" t="s">
        <v>10361</v>
      </c>
      <c r="G30" s="403" t="str">
        <f>IFERROR(__xludf.DUMMYFUNCTION("GOOGLETRANSLATE(A30,""zh-tw"",""zh"")"),"猛毒杰克爆弹")</f>
        <v>猛毒杰克爆弹</v>
      </c>
      <c r="H30" s="167" t="str">
        <f>IFERROR(__xludf.DUMMYFUNCTION("GOOGLETRANSLATE(B30,""zh-tw"",""zh"")"),"毒属性炸弹")</f>
        <v>毒属性炸弹</v>
      </c>
      <c r="I30" s="403" t="s">
        <v>10360</v>
      </c>
      <c r="J30" s="167" t="s">
        <v>10362</v>
      </c>
      <c r="K30" s="403" t="s">
        <v>10363</v>
      </c>
      <c r="L30" s="167" t="s">
        <v>10364</v>
      </c>
      <c r="M30" s="407" t="s">
        <v>10365</v>
      </c>
      <c r="N30" s="198" t="s">
        <v>10366</v>
      </c>
      <c r="O30" s="403" t="s">
        <v>10367</v>
      </c>
      <c r="P30" s="167" t="s">
        <v>10368</v>
      </c>
      <c r="Q30" s="408" t="s">
        <v>10360</v>
      </c>
      <c r="R30" s="155" t="s">
        <v>10369</v>
      </c>
      <c r="S30" s="407" t="s">
        <v>10370</v>
      </c>
      <c r="T30" s="198" t="s">
        <v>10371</v>
      </c>
      <c r="U30" s="403" t="s">
        <v>10360</v>
      </c>
      <c r="V30" s="167" t="s">
        <v>10372</v>
      </c>
      <c r="W30" s="8"/>
      <c r="X30" s="8"/>
    </row>
    <row r="31">
      <c r="A31" s="403" t="s">
        <v>10373</v>
      </c>
      <c r="B31" s="167" t="s">
        <v>10374</v>
      </c>
      <c r="C31" s="403" t="s">
        <v>10375</v>
      </c>
      <c r="D31" s="167" t="s">
        <v>10376</v>
      </c>
      <c r="E31" s="403" t="s">
        <v>10377</v>
      </c>
      <c r="F31" s="167" t="s">
        <v>10378</v>
      </c>
      <c r="G31" s="403" t="str">
        <f>IFERROR(__xludf.DUMMYFUNCTION("GOOGLETRANSLATE(A31,""zh-tw"",""zh"")"),"封存的时计")</f>
        <v>封存的时计</v>
      </c>
      <c r="H31" s="167" t="str">
        <f>IFERROR(__xludf.DUMMYFUNCTION("GOOGLETRANSLATE(B31,""zh-tw"",""zh"")"),"范围暂停")</f>
        <v>范围暂停</v>
      </c>
      <c r="I31" s="403" t="s">
        <v>10379</v>
      </c>
      <c r="J31" s="167" t="s">
        <v>10380</v>
      </c>
      <c r="K31" s="403" t="s">
        <v>10381</v>
      </c>
      <c r="L31" s="167" t="s">
        <v>10382</v>
      </c>
      <c r="M31" s="407" t="s">
        <v>10383</v>
      </c>
      <c r="N31" s="198" t="s">
        <v>10384</v>
      </c>
      <c r="O31" s="403" t="s">
        <v>10385</v>
      </c>
      <c r="P31" s="167" t="s">
        <v>10386</v>
      </c>
      <c r="Q31" s="408" t="s">
        <v>10387</v>
      </c>
      <c r="R31" s="155" t="s">
        <v>10388</v>
      </c>
      <c r="S31" s="407" t="s">
        <v>10389</v>
      </c>
      <c r="T31" s="198" t="s">
        <v>10390</v>
      </c>
      <c r="U31" s="403" t="s">
        <v>10391</v>
      </c>
      <c r="V31" s="167" t="s">
        <v>10392</v>
      </c>
      <c r="W31" s="8"/>
      <c r="X31" s="8"/>
    </row>
    <row r="32">
      <c r="A32" s="403" t="s">
        <v>10393</v>
      </c>
      <c r="B32" s="167" t="s">
        <v>10394</v>
      </c>
      <c r="C32" s="403" t="str">
        <f>IFERROR(__xludf.DUMMYFUNCTION("GOOGLETRANSLATE(A32,""zh-tw"",""ja"")"),"寿司プリン")</f>
        <v>寿司プリン</v>
      </c>
      <c r="D32" s="167" t="s">
        <v>10395</v>
      </c>
      <c r="E32" s="403" t="s">
        <v>10396</v>
      </c>
      <c r="F32" s="167" t="s">
        <v>10397</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10398</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10399</v>
      </c>
      <c r="N32" s="198" t="s">
        <v>10400</v>
      </c>
      <c r="O32" s="403" t="s">
        <v>10396</v>
      </c>
      <c r="P32" s="167" t="s">
        <v>10401</v>
      </c>
      <c r="Q32" s="408" t="s">
        <v>10396</v>
      </c>
      <c r="R32" s="155" t="s">
        <v>10402</v>
      </c>
      <c r="S32" s="407" t="s">
        <v>10403</v>
      </c>
      <c r="T32" s="198" t="s">
        <v>10404</v>
      </c>
      <c r="U32" s="403" t="s">
        <v>10405</v>
      </c>
      <c r="V32" s="167" t="s">
        <v>10406</v>
      </c>
      <c r="W32" s="8"/>
      <c r="X32" s="8"/>
    </row>
    <row r="33">
      <c r="A33" s="403" t="s">
        <v>10407</v>
      </c>
      <c r="B33" s="167" t="s">
        <v>10408</v>
      </c>
      <c r="C33" s="403" t="str">
        <f>IFERROR(__xludf.DUMMYFUNCTION("GOOGLETRANSLATE(A33,""zh-tw"",""ja"")"),"ポラロイド 1～35")</f>
        <v>ポラロイド 1～35</v>
      </c>
      <c r="D33" s="167" t="s">
        <v>10409</v>
      </c>
      <c r="E33" s="403" t="s">
        <v>10410</v>
      </c>
      <c r="F33" s="167" t="s">
        <v>10411</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10412</v>
      </c>
      <c r="K33" s="407" t="str">
        <f>IFERROR(__xludf.DUMMYFUNCTION("GOOGLETRANSLATE(A33,""zh-tw"",""KO"")"),"폴라로이드 1~35")</f>
        <v>폴라로이드 1~35</v>
      </c>
      <c r="L33" s="198" t="str">
        <f>IFERROR(__xludf.DUMMYFUNCTION("GOOGLETRANSLATE(B33,""zh-tw"",""KO"")"),"고화질 사진을 보세요")</f>
        <v>고화질 사진을 보세요</v>
      </c>
      <c r="M33" s="407" t="s">
        <v>10413</v>
      </c>
      <c r="N33" s="198" t="s">
        <v>10414</v>
      </c>
      <c r="O33" s="403" t="s">
        <v>10415</v>
      </c>
      <c r="P33" s="167" t="s">
        <v>10416</v>
      </c>
      <c r="Q33" s="408" t="s">
        <v>10410</v>
      </c>
      <c r="R33" s="155" t="s">
        <v>10417</v>
      </c>
      <c r="S33" s="407" t="s">
        <v>10410</v>
      </c>
      <c r="T33" s="198" t="s">
        <v>10418</v>
      </c>
      <c r="U33" s="403" t="s">
        <v>10410</v>
      </c>
      <c r="V33" s="167" t="s">
        <v>10419</v>
      </c>
      <c r="W33" s="8"/>
      <c r="X33" s="8"/>
    </row>
    <row r="34">
      <c r="A34" s="408" t="s">
        <v>10420</v>
      </c>
      <c r="B34" s="198" t="s">
        <v>10421</v>
      </c>
      <c r="C34" s="403" t="s">
        <v>10422</v>
      </c>
      <c r="D34" s="167" t="s">
        <v>10423</v>
      </c>
      <c r="E34" s="403" t="s">
        <v>10424</v>
      </c>
      <c r="F34" s="167" t="s">
        <v>10425</v>
      </c>
      <c r="G34" s="403" t="str">
        <f>IFERROR(__xludf.DUMMYFUNCTION("GOOGLETRANSLATE(A34,""zh-tw"",""zh"")"),"茶会拍立得收藏集")</f>
        <v>茶会拍立得收藏集</v>
      </c>
      <c r="H34" s="167" t="str">
        <f>IFERROR(__xludf.DUMMYFUNCTION("GOOGLETRANSLATE(B34,""zh-tw"",""zh"")"),"完成后提升幸运值")</f>
        <v>完成后提升幸运值</v>
      </c>
      <c r="I34" s="403" t="s">
        <v>10424</v>
      </c>
      <c r="J34" s="167" t="s">
        <v>10426</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10427</v>
      </c>
      <c r="N34" s="198" t="s">
        <v>10428</v>
      </c>
      <c r="O34" s="403" t="s">
        <v>10429</v>
      </c>
      <c r="P34" s="167" t="s">
        <v>10430</v>
      </c>
      <c r="Q34" s="403" t="s">
        <v>10431</v>
      </c>
      <c r="R34" s="167" t="s">
        <v>10432</v>
      </c>
      <c r="S34" s="419" t="s">
        <v>10433</v>
      </c>
      <c r="T34" s="198" t="s">
        <v>10434</v>
      </c>
      <c r="U34" s="403" t="s">
        <v>10435</v>
      </c>
      <c r="V34" s="167" t="s">
        <v>10436</v>
      </c>
      <c r="W34" s="8"/>
      <c r="X34" s="8"/>
    </row>
    <row r="35">
      <c r="A35" s="403" t="s">
        <v>10437</v>
      </c>
      <c r="B35" s="167" t="s">
        <v>10438</v>
      </c>
      <c r="C35" s="403" t="s">
        <v>10439</v>
      </c>
      <c r="D35" s="167" t="s">
        <v>10440</v>
      </c>
      <c r="E35" s="403" t="s">
        <v>10433</v>
      </c>
      <c r="F35" s="167" t="s">
        <v>10441</v>
      </c>
      <c r="G35" s="403" t="str">
        <f>IFERROR(__xludf.DUMMYFUNCTION("GOOGLETRANSLATE(A35,""zh-tw"",""zh"")"),"魔力小凝胶")</f>
        <v>魔力小凝胶</v>
      </c>
      <c r="H35" s="167" t="str">
        <f>IFERROR(__xludf.DUMMYFUNCTION("GOOGLETRANSLATE(B35,""zh-tw"",""zh"")"),"扩充格子")</f>
        <v>扩充格子</v>
      </c>
      <c r="I35" s="403" t="s">
        <v>10442</v>
      </c>
      <c r="J35" s="167" t="s">
        <v>10443</v>
      </c>
      <c r="K35" s="404" t="s">
        <v>10444</v>
      </c>
      <c r="L35" s="198" t="str">
        <f>IFERROR(__xludf.DUMMYFUNCTION("GOOGLETRANSLATE(B35,""zh-tw"",""KO"")"),"그리드를 확장하세요")</f>
        <v>그리드를 확장하세요</v>
      </c>
      <c r="M35" s="407" t="s">
        <v>10445</v>
      </c>
      <c r="N35" s="198" t="s">
        <v>10446</v>
      </c>
      <c r="O35" s="403" t="s">
        <v>10447</v>
      </c>
      <c r="P35" s="167" t="s">
        <v>10448</v>
      </c>
      <c r="Q35" s="408" t="s">
        <v>10449</v>
      </c>
      <c r="R35" s="155" t="s">
        <v>10450</v>
      </c>
      <c r="S35" s="407" t="s">
        <v>10451</v>
      </c>
      <c r="T35" s="198" t="s">
        <v>10452</v>
      </c>
      <c r="U35" s="403" t="s">
        <v>10453</v>
      </c>
      <c r="V35" s="167" t="s">
        <v>10454</v>
      </c>
      <c r="W35" s="8"/>
      <c r="X35" s="8"/>
    </row>
    <row r="36">
      <c r="A36" s="403" t="s">
        <v>10455</v>
      </c>
      <c r="B36" s="167" t="s">
        <v>10456</v>
      </c>
      <c r="C36" s="403" t="s">
        <v>10457</v>
      </c>
      <c r="D36" s="167" t="s">
        <v>10458</v>
      </c>
      <c r="E36" s="403" t="s">
        <v>10459</v>
      </c>
      <c r="F36" s="167" t="s">
        <v>10460</v>
      </c>
      <c r="G36" s="403" t="str">
        <f>IFERROR(__xludf.DUMMYFUNCTION("GOOGLETRANSLATE(A36,""zh-tw"",""zh"")"),"百合同人本")</f>
        <v>百合同人本</v>
      </c>
      <c r="H36" s="167" t="str">
        <f>IFERROR(__xludf.DUMMYFUNCTION("GOOGLETRANSLATE(B36,""zh-tw"",""zh"")"),"提升性欲
(战车商店贩售)")</f>
        <v>提升性欲
(战车商店贩售)</v>
      </c>
      <c r="I36" s="403" t="s">
        <v>10461</v>
      </c>
      <c r="J36" s="167" t="s">
        <v>10462</v>
      </c>
      <c r="K36" s="407" t="str">
        <f>IFERROR(__xludf.DUMMYFUNCTION("GOOGLETRANSLATE(A36,""zh-tw"",""KO"")"),"바이헤헤헤헤헤")</f>
        <v>바이헤헤헤헤헤</v>
      </c>
      <c r="L36" s="167" t="s">
        <v>10463</v>
      </c>
      <c r="M36" s="407" t="s">
        <v>10464</v>
      </c>
      <c r="N36" s="155" t="s">
        <v>10465</v>
      </c>
      <c r="O36" s="403" t="s">
        <v>10466</v>
      </c>
      <c r="P36" s="167" t="s">
        <v>10467</v>
      </c>
      <c r="Q36" s="408" t="s">
        <v>10468</v>
      </c>
      <c r="R36" s="155" t="s">
        <v>10469</v>
      </c>
      <c r="S36" s="407" t="s">
        <v>10468</v>
      </c>
      <c r="T36" s="198" t="s">
        <v>10470</v>
      </c>
      <c r="U36" s="403" t="s">
        <v>10459</v>
      </c>
      <c r="V36" s="167" t="s">
        <v>10471</v>
      </c>
      <c r="W36" s="8"/>
      <c r="X36" s="8"/>
    </row>
    <row r="37">
      <c r="A37" s="403" t="s">
        <v>10472</v>
      </c>
      <c r="B37" s="167" t="s">
        <v>10456</v>
      </c>
      <c r="C37" s="403" t="s">
        <v>10473</v>
      </c>
      <c r="D37" s="167" t="s">
        <v>10474</v>
      </c>
      <c r="E37" s="403" t="s">
        <v>10475</v>
      </c>
      <c r="F37" s="167" t="s">
        <v>10460</v>
      </c>
      <c r="G37" s="403" t="str">
        <f>IFERROR(__xludf.DUMMYFUNCTION("GOOGLETRANSLATE(A37,""zh-tw"",""zh"")"),"萌萌同人本")</f>
        <v>萌萌同人本</v>
      </c>
      <c r="H37" s="167" t="str">
        <f>IFERROR(__xludf.DUMMYFUNCTION("GOOGLETRANSLATE(B37,""zh-tw"",""zh"")"),"提升性欲
(战车商店贩售)")</f>
        <v>提升性欲
(战车商店贩售)</v>
      </c>
      <c r="I37" s="403" t="s">
        <v>10476</v>
      </c>
      <c r="J37" s="167" t="s">
        <v>10462</v>
      </c>
      <c r="K37" s="404" t="s">
        <v>10444</v>
      </c>
      <c r="L37" s="198" t="str">
        <f>IFERROR(__xludf.DUMMYFUNCTION("GOOGLETRANSLATE(B37,""zh-tw"",""KO"")"),"성욕을 증진시켜 줍니다
(탱크샵에서 구입 가능)")</f>
        <v>성욕을 증진시켜 줍니다
(탱크샵에서 구입 가능)</v>
      </c>
      <c r="M37" s="407" t="s">
        <v>10477</v>
      </c>
      <c r="N37" s="155" t="s">
        <v>10465</v>
      </c>
      <c r="O37" s="403" t="s">
        <v>10447</v>
      </c>
      <c r="P37" s="167" t="s">
        <v>10448</v>
      </c>
      <c r="Q37" s="408" t="s">
        <v>10478</v>
      </c>
      <c r="R37" s="155" t="s">
        <v>10469</v>
      </c>
      <c r="S37" s="407" t="s">
        <v>10478</v>
      </c>
      <c r="T37" s="198" t="s">
        <v>10470</v>
      </c>
      <c r="U37" s="403" t="s">
        <v>10475</v>
      </c>
      <c r="V37" s="167" t="s">
        <v>10471</v>
      </c>
      <c r="W37" s="8"/>
      <c r="X37" s="8"/>
    </row>
    <row r="38">
      <c r="A38" s="403" t="s">
        <v>10479</v>
      </c>
      <c r="B38" s="167" t="s">
        <v>10480</v>
      </c>
      <c r="C38" s="403" t="s">
        <v>10481</v>
      </c>
      <c r="D38" s="167" t="s">
        <v>10482</v>
      </c>
      <c r="E38" s="403" t="s">
        <v>10483</v>
      </c>
      <c r="F38" s="167" t="s">
        <v>10484</v>
      </c>
      <c r="G38" s="403" t="str">
        <f>IFERROR(__xludf.DUMMYFUNCTION("GOOGLETRANSLATE(A38,""zh-tw"",""zh"")"),"电风扇")</f>
        <v>电风扇</v>
      </c>
      <c r="H38" s="167" t="str">
        <f>IFERROR(__xludf.DUMMYFUNCTION("GOOGLETRANSLATE(B38,""zh-tw"",""zh"")"),"炎热剧情道具
(战车商店贩售)")</f>
        <v>炎热剧情道具
(战车商店贩售)</v>
      </c>
      <c r="I38" s="403" t="s">
        <v>10485</v>
      </c>
      <c r="J38" s="167" t="s">
        <v>10486</v>
      </c>
      <c r="K38" s="407" t="str">
        <f>IFERROR(__xludf.DUMMYFUNCTION("GOOGLETRANSLATE(A38,""zh-tw"",""KO"")"),"선풍기")</f>
        <v>선풍기</v>
      </c>
      <c r="L38" s="167" t="s">
        <v>10463</v>
      </c>
      <c r="M38" s="407" t="s">
        <v>10487</v>
      </c>
      <c r="N38" s="198" t="s">
        <v>10488</v>
      </c>
      <c r="O38" s="403" t="s">
        <v>10466</v>
      </c>
      <c r="P38" s="167" t="s">
        <v>10467</v>
      </c>
      <c r="Q38" s="408" t="s">
        <v>10489</v>
      </c>
      <c r="R38" s="155" t="s">
        <v>10490</v>
      </c>
      <c r="S38" s="407" t="s">
        <v>10491</v>
      </c>
      <c r="T38" s="198" t="s">
        <v>10492</v>
      </c>
      <c r="U38" s="403" t="s">
        <v>10493</v>
      </c>
      <c r="V38" s="167" t="s">
        <v>10494</v>
      </c>
      <c r="W38" s="8"/>
      <c r="X38" s="8"/>
    </row>
    <row r="39">
      <c r="A39" s="408" t="s">
        <v>10495</v>
      </c>
      <c r="B39" s="198" t="s">
        <v>10496</v>
      </c>
      <c r="C39" s="403" t="s">
        <v>10497</v>
      </c>
      <c r="D39" s="167" t="s">
        <v>10498</v>
      </c>
      <c r="E39" s="407" t="s">
        <v>10499</v>
      </c>
      <c r="F39" s="198" t="s">
        <v>10500</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10501</v>
      </c>
      <c r="J39" s="167" t="s">
        <v>10502</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10503</v>
      </c>
      <c r="N39" s="198" t="s">
        <v>10504</v>
      </c>
      <c r="O39" s="403" t="s">
        <v>10505</v>
      </c>
      <c r="P39" s="167" t="s">
        <v>10506</v>
      </c>
      <c r="Q39" s="408" t="s">
        <v>10507</v>
      </c>
      <c r="R39" s="167" t="s">
        <v>10508</v>
      </c>
      <c r="S39" s="407" t="s">
        <v>10509</v>
      </c>
      <c r="T39" s="198" t="s">
        <v>10510</v>
      </c>
      <c r="U39" s="403" t="s">
        <v>10511</v>
      </c>
      <c r="V39" s="167" t="s">
        <v>10512</v>
      </c>
      <c r="W39" s="8"/>
      <c r="X39" s="8"/>
    </row>
    <row r="40">
      <c r="A40" s="403" t="s">
        <v>10513</v>
      </c>
      <c r="B40" s="167" t="s">
        <v>10514</v>
      </c>
      <c r="C40" s="403" t="s">
        <v>10515</v>
      </c>
      <c r="D40" s="167" t="s">
        <v>10516</v>
      </c>
      <c r="E40" s="403" t="s">
        <v>10517</v>
      </c>
      <c r="F40" s="167" t="s">
        <v>10518</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10519</v>
      </c>
      <c r="J40" s="167" t="s">
        <v>10520</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10521</v>
      </c>
      <c r="N40" s="198" t="s">
        <v>10522</v>
      </c>
      <c r="O40" s="403" t="s">
        <v>10523</v>
      </c>
      <c r="P40" s="167" t="s">
        <v>10524</v>
      </c>
      <c r="Q40" s="408" t="s">
        <v>10525</v>
      </c>
      <c r="R40" s="155" t="s">
        <v>10526</v>
      </c>
      <c r="S40" s="407" t="s">
        <v>10527</v>
      </c>
      <c r="T40" s="198" t="s">
        <v>10528</v>
      </c>
      <c r="U40" s="403" t="s">
        <v>10529</v>
      </c>
      <c r="V40" s="167" t="s">
        <v>10530</v>
      </c>
      <c r="W40" s="8"/>
      <c r="X40" s="8"/>
    </row>
    <row r="41">
      <c r="A41" s="403" t="s">
        <v>10531</v>
      </c>
      <c r="B41" s="167" t="s">
        <v>10532</v>
      </c>
      <c r="C41" s="403" t="s">
        <v>10533</v>
      </c>
      <c r="D41" s="198" t="str">
        <f>IFERROR(__xludf.DUMMYFUNCTION("GOOGLETRANSLATE(B41,""zh-tw"",""ja"")"),"現時点では（宝石を）引き換える方法はありません。")</f>
        <v>現時点では（宝石を）引き換える方法はありません。</v>
      </c>
      <c r="E41" s="403" t="s">
        <v>10534</v>
      </c>
      <c r="F41" s="167" t="s">
        <v>10535</v>
      </c>
      <c r="G41" s="403" t="str">
        <f>IFERROR(__xludf.DUMMYFUNCTION("GOOGLETRANSLATE(A41,""zh-tw"",""zh"")"),"蓝辉石")</f>
        <v>蓝辉石</v>
      </c>
      <c r="H41" s="167" t="str">
        <f>IFERROR(__xludf.DUMMYFUNCTION("GOOGLETRANSLATE(B41,""zh-tw"",""zh"")"),"目前没有兑换方式
(宝石)")</f>
        <v>目前没有兑换方式
(宝石)</v>
      </c>
      <c r="I41" s="403" t="s">
        <v>10536</v>
      </c>
      <c r="J41" s="167" t="s">
        <v>10537</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10538</v>
      </c>
      <c r="N41" s="198" t="s">
        <v>10539</v>
      </c>
      <c r="O41" s="404" t="s">
        <v>10540</v>
      </c>
      <c r="P41" s="202" t="s">
        <v>10541</v>
      </c>
      <c r="Q41" s="403" t="s">
        <v>10542</v>
      </c>
      <c r="R41" s="155" t="s">
        <v>10543</v>
      </c>
      <c r="S41" s="419" t="s">
        <v>10534</v>
      </c>
      <c r="T41" s="198" t="s">
        <v>10544</v>
      </c>
      <c r="U41" s="403" t="s">
        <v>10545</v>
      </c>
      <c r="V41" s="167" t="s">
        <v>10546</v>
      </c>
      <c r="W41" s="8"/>
      <c r="X41" s="8"/>
    </row>
    <row r="42">
      <c r="A42" s="403" t="s">
        <v>10547</v>
      </c>
      <c r="B42" s="167" t="s">
        <v>10532</v>
      </c>
      <c r="C42" s="403" t="s">
        <v>10548</v>
      </c>
      <c r="D42" s="167" t="s">
        <v>10549</v>
      </c>
      <c r="E42" s="403" t="s">
        <v>10550</v>
      </c>
      <c r="F42" s="167" t="s">
        <v>1381</v>
      </c>
      <c r="G42" s="403" t="str">
        <f>IFERROR(__xludf.DUMMYFUNCTION("GOOGLETRANSLATE(A42,""zh-tw"",""zh"")"),"火菱石")</f>
        <v>火菱石</v>
      </c>
      <c r="H42" s="167" t="str">
        <f>IFERROR(__xludf.DUMMYFUNCTION("GOOGLETRANSLATE(B42,""zh-tw"",""zh"")"),"目前没有兑换方式
(宝石)")</f>
        <v>目前没有兑换方式
(宝石)</v>
      </c>
      <c r="I42" s="403" t="s">
        <v>10551</v>
      </c>
      <c r="J42" s="167" t="s">
        <v>10552</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10553</v>
      </c>
      <c r="N42" s="198" t="s">
        <v>10539</v>
      </c>
      <c r="O42" s="403" t="s">
        <v>10554</v>
      </c>
      <c r="P42" s="167" t="s">
        <v>10555</v>
      </c>
      <c r="Q42" s="403" t="s">
        <v>10556</v>
      </c>
      <c r="R42" s="155" t="s">
        <v>3095</v>
      </c>
      <c r="S42" s="419" t="s">
        <v>10550</v>
      </c>
      <c r="T42" s="198" t="s">
        <v>10557</v>
      </c>
      <c r="U42" s="403" t="s">
        <v>10558</v>
      </c>
      <c r="V42" s="167" t="s">
        <v>1647</v>
      </c>
      <c r="W42" s="8"/>
      <c r="X42" s="8"/>
    </row>
    <row r="43">
      <c r="A43" s="403" t="s">
        <v>10559</v>
      </c>
      <c r="B43" s="167" t="s">
        <v>10560</v>
      </c>
      <c r="C43" s="403" t="s">
        <v>10561</v>
      </c>
      <c r="D43" s="167" t="s">
        <v>10562</v>
      </c>
      <c r="E43" s="403" t="s">
        <v>10563</v>
      </c>
      <c r="F43" s="167" t="s">
        <v>10564</v>
      </c>
      <c r="G43" s="403" t="str">
        <f>IFERROR(__xludf.DUMMYFUNCTION("GOOGLETRANSLATE(A43,""zh-tw"",""zh"")"),"银坷拉")</f>
        <v>银坷拉</v>
      </c>
      <c r="H43" s="167" t="str">
        <f>IFERROR(__xludf.DUMMYFUNCTION("GOOGLETRANSLATE(B43,""zh-tw"",""zh"")"),"诱饵/粉尘爆炸")</f>
        <v>诱饵/粉尘爆炸</v>
      </c>
      <c r="I43" s="403" t="s">
        <v>10563</v>
      </c>
      <c r="J43" s="167" t="s">
        <v>10565</v>
      </c>
      <c r="K43" s="407" t="str">
        <f>IFERROR(__xludf.DUMMYFUNCTION("GOOGLETRANSLATE(A43,""zh-tw"",""KO"")"),"인 켈라")</f>
        <v>인 켈라</v>
      </c>
      <c r="L43" s="198" t="str">
        <f>IFERROR(__xludf.DUMMYFUNCTION("GOOGLETRANSLATE(B43,""zh-tw"",""KO"")"),"미끼/먼지 폭발")</f>
        <v>미끼/먼지 폭발</v>
      </c>
      <c r="M43" s="407" t="s">
        <v>10566</v>
      </c>
      <c r="N43" s="198" t="s">
        <v>10567</v>
      </c>
      <c r="O43" s="403" t="s">
        <v>10563</v>
      </c>
      <c r="P43" s="167" t="s">
        <v>10568</v>
      </c>
      <c r="Q43" s="403" t="s">
        <v>10563</v>
      </c>
      <c r="R43" s="167" t="s">
        <v>10569</v>
      </c>
      <c r="S43" s="407" t="s">
        <v>10563</v>
      </c>
      <c r="T43" s="198" t="s">
        <v>10570</v>
      </c>
      <c r="U43" s="403" t="s">
        <v>10563</v>
      </c>
      <c r="V43" s="167" t="s">
        <v>10571</v>
      </c>
      <c r="W43" s="8"/>
      <c r="X43" s="8"/>
    </row>
    <row r="44">
      <c r="A44" s="403" t="s">
        <v>10572</v>
      </c>
      <c r="B44" s="167" t="s">
        <v>10573</v>
      </c>
      <c r="C44" s="403" t="s">
        <v>10574</v>
      </c>
      <c r="D44" s="167" t="s">
        <v>10575</v>
      </c>
      <c r="E44" s="403" t="s">
        <v>10576</v>
      </c>
      <c r="F44" s="167" t="s">
        <v>10577</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10578</v>
      </c>
      <c r="J44" s="167" t="s">
        <v>10579</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10580</v>
      </c>
      <c r="N44" s="198" t="s">
        <v>10581</v>
      </c>
      <c r="O44" s="403" t="s">
        <v>10582</v>
      </c>
      <c r="P44" s="167" t="s">
        <v>10583</v>
      </c>
      <c r="Q44" s="403" t="s">
        <v>10584</v>
      </c>
      <c r="R44" s="167" t="s">
        <v>10585</v>
      </c>
      <c r="S44" s="407" t="s">
        <v>10586</v>
      </c>
      <c r="T44" s="198" t="s">
        <v>10587</v>
      </c>
      <c r="U44" s="403" t="s">
        <v>10588</v>
      </c>
      <c r="V44" s="167" t="s">
        <v>10589</v>
      </c>
      <c r="W44" s="8"/>
      <c r="X44" s="8"/>
    </row>
    <row r="45">
      <c r="A45" s="403" t="s">
        <v>10590</v>
      </c>
      <c r="B45" s="167" t="s">
        <v>10591</v>
      </c>
      <c r="C45" s="403" t="s">
        <v>10592</v>
      </c>
      <c r="D45" s="167" t="s">
        <v>10593</v>
      </c>
      <c r="E45" s="403" t="s">
        <v>10594</v>
      </c>
      <c r="F45" s="167" t="s">
        <v>10595</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10596</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10597</v>
      </c>
      <c r="N45" s="198" t="s">
        <v>10598</v>
      </c>
      <c r="O45" s="403" t="s">
        <v>10599</v>
      </c>
      <c r="P45" s="167" t="s">
        <v>10600</v>
      </c>
      <c r="Q45" s="403" t="s">
        <v>10601</v>
      </c>
      <c r="R45" s="167" t="s">
        <v>10602</v>
      </c>
      <c r="S45" s="407" t="s">
        <v>10603</v>
      </c>
      <c r="T45" s="198" t="s">
        <v>10604</v>
      </c>
      <c r="U45" s="403" t="s">
        <v>10605</v>
      </c>
      <c r="V45" s="167" t="s">
        <v>10606</v>
      </c>
      <c r="W45" s="8"/>
      <c r="X45" s="8"/>
    </row>
    <row r="46">
      <c r="A46" s="403" t="s">
        <v>10607</v>
      </c>
      <c r="B46" s="167" t="s">
        <v>10608</v>
      </c>
      <c r="C46" s="403" t="s">
        <v>10609</v>
      </c>
      <c r="D46" s="167" t="s">
        <v>10610</v>
      </c>
      <c r="E46" s="403" t="s">
        <v>10611</v>
      </c>
      <c r="F46" s="167" t="s">
        <v>10612</v>
      </c>
      <c r="G46" s="403" t="str">
        <f>IFERROR(__xludf.DUMMYFUNCTION("GOOGLETRANSLATE(A46,""zh-tw"",""zh"")"),"红髓液")</f>
        <v>红髓液</v>
      </c>
      <c r="H46" s="167" t="str">
        <f>IFERROR(__xludf.DUMMYFUNCTION("GOOGLETRANSLATE(B46,""zh-tw"",""zh"")"),"使用于治疗妹妹")</f>
        <v>使用于治疗妹妹</v>
      </c>
      <c r="I46" s="403" t="s">
        <v>10613</v>
      </c>
      <c r="J46" s="167" t="s">
        <v>10614</v>
      </c>
      <c r="K46" s="407" t="str">
        <f>IFERROR(__xludf.DUMMYFUNCTION("GOOGLETRANSLATE(A46,""zh-tw"",""KO"")"),"적골수액")</f>
        <v>적골수액</v>
      </c>
      <c r="L46" s="198" t="str">
        <f>IFERROR(__xludf.DUMMYFUNCTION("GOOGLETRANSLATE(B46,""zh-tw"",""KO"")"),"제 여동생을 치료해 주곤 했어요.")</f>
        <v>제 여동생을 치료해 주곤 했어요.</v>
      </c>
      <c r="M46" s="407" t="s">
        <v>10615</v>
      </c>
      <c r="N46" s="198" t="s">
        <v>10616</v>
      </c>
      <c r="O46" s="403" t="s">
        <v>10617</v>
      </c>
      <c r="P46" s="167" t="s">
        <v>10618</v>
      </c>
      <c r="Q46" s="403" t="s">
        <v>10619</v>
      </c>
      <c r="R46" s="167" t="s">
        <v>10620</v>
      </c>
      <c r="S46" s="407" t="s">
        <v>10621</v>
      </c>
      <c r="T46" s="198" t="s">
        <v>10622</v>
      </c>
      <c r="U46" s="403" t="s">
        <v>10623</v>
      </c>
      <c r="V46" s="167" t="s">
        <v>10624</v>
      </c>
      <c r="W46" s="8"/>
      <c r="X46" s="8"/>
    </row>
    <row r="47">
      <c r="A47" s="403" t="s">
        <v>10625</v>
      </c>
      <c r="B47" s="167" t="s">
        <v>10626</v>
      </c>
      <c r="C47" s="403" t="s">
        <v>10627</v>
      </c>
      <c r="D47" s="167" t="s">
        <v>10628</v>
      </c>
      <c r="E47" s="403" t="s">
        <v>10629</v>
      </c>
      <c r="F47" s="167" t="s">
        <v>10630</v>
      </c>
      <c r="G47" s="403" t="str">
        <f>IFERROR(__xludf.DUMMYFUNCTION("GOOGLETRANSLATE(A47,""zh-tw"",""zh"")"),"什么都行券")</f>
        <v>什么都行券</v>
      </c>
      <c r="H47" s="167" t="str">
        <f>IFERROR(__xludf.DUMMYFUNCTION("GOOGLETRANSLATE(B47,""zh-tw"",""zh"")"),"使用于SLG相关的事件")</f>
        <v>使用于SLG相关的事件</v>
      </c>
      <c r="I47" s="403" t="s">
        <v>10631</v>
      </c>
      <c r="J47" s="167" t="s">
        <v>10632</v>
      </c>
      <c r="K47" s="407" t="str">
        <f>IFERROR(__xludf.DUMMYFUNCTION("GOOGLETRANSLATE(A47,""zh-tw"",""KO"")"),"쿠폰")</f>
        <v>쿠폰</v>
      </c>
      <c r="L47" s="198" t="str">
        <f>IFERROR(__xludf.DUMMYFUNCTION("GOOGLETRANSLATE(B47,""zh-tw"",""KO"")"),"SLG 관련 이벤트")</f>
        <v>SLG 관련 이벤트</v>
      </c>
      <c r="M47" s="407" t="s">
        <v>10633</v>
      </c>
      <c r="N47" s="198" t="s">
        <v>10634</v>
      </c>
      <c r="O47" s="403" t="s">
        <v>10635</v>
      </c>
      <c r="P47" s="167" t="s">
        <v>10636</v>
      </c>
      <c r="Q47" s="403" t="s">
        <v>10637</v>
      </c>
      <c r="R47" s="167" t="s">
        <v>10638</v>
      </c>
      <c r="S47" s="407" t="s">
        <v>10639</v>
      </c>
      <c r="T47" s="198" t="s">
        <v>10640</v>
      </c>
      <c r="U47" s="403" t="s">
        <v>10641</v>
      </c>
      <c r="V47" s="167" t="s">
        <v>10642</v>
      </c>
      <c r="W47" s="8"/>
      <c r="X47" s="8"/>
    </row>
    <row r="48">
      <c r="A48" s="407" t="s">
        <v>10643</v>
      </c>
      <c r="B48" s="198" t="s">
        <v>10644</v>
      </c>
      <c r="C48" s="407" t="s">
        <v>10645</v>
      </c>
      <c r="D48" s="198" t="s">
        <v>10646</v>
      </c>
      <c r="E48" s="407" t="s">
        <v>10647</v>
      </c>
      <c r="F48" s="198" t="s">
        <v>10648</v>
      </c>
      <c r="G48" s="407" t="s">
        <v>10649</v>
      </c>
      <c r="H48" s="198" t="s">
        <v>10650</v>
      </c>
      <c r="I48" s="407" t="str">
        <f>IFERROR(__xludf.DUMMYFUNCTION("GOOGLETRANSLATE(A48,""zh-tw"",""es-MX"")"),"Cinta de vídeo de terror")</f>
        <v>Cinta de vídeo de terror</v>
      </c>
      <c r="J48" s="167" t="s">
        <v>10651</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10652</v>
      </c>
      <c r="N48" s="198" t="s">
        <v>10653</v>
      </c>
      <c r="O48" s="403" t="s">
        <v>10654</v>
      </c>
      <c r="P48" s="167" t="s">
        <v>10655</v>
      </c>
      <c r="Q48" s="437" t="s">
        <v>10656</v>
      </c>
      <c r="R48" s="438" t="s">
        <v>10657</v>
      </c>
      <c r="S48" s="407" t="s">
        <v>10658</v>
      </c>
      <c r="T48" s="198" t="s">
        <v>10659</v>
      </c>
      <c r="U48" s="403" t="s">
        <v>10660</v>
      </c>
      <c r="V48" s="167" t="s">
        <v>10661</v>
      </c>
      <c r="W48" s="8"/>
      <c r="X48" s="8"/>
    </row>
    <row r="49">
      <c r="A49" s="407" t="s">
        <v>10662</v>
      </c>
      <c r="B49" s="198" t="s">
        <v>10644</v>
      </c>
      <c r="C49" s="407" t="s">
        <v>10663</v>
      </c>
      <c r="D49" s="198" t="s">
        <v>10646</v>
      </c>
      <c r="E49" s="407" t="s">
        <v>10664</v>
      </c>
      <c r="F49" s="198" t="s">
        <v>10648</v>
      </c>
      <c r="G49" s="407" t="s">
        <v>10665</v>
      </c>
      <c r="H49" s="198" t="s">
        <v>10650</v>
      </c>
      <c r="I49" s="403" t="s">
        <v>10666</v>
      </c>
      <c r="J49" s="167" t="s">
        <v>10651</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10667</v>
      </c>
      <c r="N49" s="198" t="s">
        <v>10653</v>
      </c>
      <c r="O49" s="403" t="s">
        <v>10668</v>
      </c>
      <c r="P49" s="167" t="s">
        <v>10655</v>
      </c>
      <c r="Q49" s="437" t="s">
        <v>10669</v>
      </c>
      <c r="R49" s="438" t="s">
        <v>10657</v>
      </c>
      <c r="S49" s="407" t="s">
        <v>10670</v>
      </c>
      <c r="T49" s="198" t="s">
        <v>10659</v>
      </c>
      <c r="U49" s="403" t="s">
        <v>10671</v>
      </c>
      <c r="V49" s="167" t="s">
        <v>10661</v>
      </c>
      <c r="W49" s="8"/>
      <c r="X49" s="8"/>
    </row>
    <row r="50">
      <c r="A50" s="407" t="s">
        <v>10672</v>
      </c>
      <c r="B50" s="198" t="s">
        <v>10673</v>
      </c>
      <c r="C50" s="407" t="s">
        <v>10674</v>
      </c>
      <c r="D50" s="198" t="s">
        <v>10675</v>
      </c>
      <c r="E50" s="407" t="s">
        <v>10676</v>
      </c>
      <c r="F50" s="198" t="s">
        <v>10677</v>
      </c>
      <c r="G50" s="407" t="s">
        <v>10678</v>
      </c>
      <c r="H50" s="198" t="s">
        <v>10679</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10680</v>
      </c>
      <c r="N50" s="198" t="s">
        <v>10681</v>
      </c>
      <c r="O50" s="407" t="s">
        <v>10682</v>
      </c>
      <c r="P50" s="198" t="s">
        <v>10683</v>
      </c>
      <c r="Q50" s="439" t="s">
        <v>10684</v>
      </c>
      <c r="R50" s="440" t="s">
        <v>10685</v>
      </c>
      <c r="S50" s="407" t="s">
        <v>10686</v>
      </c>
      <c r="T50" s="198" t="s">
        <v>10687</v>
      </c>
      <c r="U50" s="407" t="s">
        <v>10688</v>
      </c>
      <c r="V50" s="198" t="s">
        <v>10689</v>
      </c>
      <c r="W50" s="8"/>
      <c r="X50" s="8"/>
    </row>
    <row r="51">
      <c r="A51" s="407" t="s">
        <v>10690</v>
      </c>
      <c r="B51" s="198" t="s">
        <v>10691</v>
      </c>
      <c r="C51" s="407" t="s">
        <v>10692</v>
      </c>
      <c r="D51" s="198" t="s">
        <v>10693</v>
      </c>
      <c r="E51" s="407" t="s">
        <v>10694</v>
      </c>
      <c r="F51" s="198" t="s">
        <v>10695</v>
      </c>
      <c r="G51" s="407" t="s">
        <v>10696</v>
      </c>
      <c r="H51" s="198" t="s">
        <v>10697</v>
      </c>
      <c r="I51" s="407"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407" t="str">
        <f>IFERROR(__xludf.DUMMYFUNCTION("GOOGLETRANSLATE(A51,""zh-tw"",""KO"")"),"타로 - 탑 카드")</f>
        <v>타로 - 탑 카드</v>
      </c>
      <c r="L51" s="198" t="str">
        <f>IFERROR(__xludf.DUMMYFUNCTION("GOOGLETRANSLATE(B51,""zh-tw"",""KO"")"),"심연에서의 사용
봉인의 기둥 소환
여러 장을 동시에 사용할 수 없습니다.")</f>
        <v>심연에서의 사용
봉인의 기둥 소환
여러 장을 동시에 사용할 수 없습니다.</v>
      </c>
      <c r="M51" s="407" t="s">
        <v>10698</v>
      </c>
      <c r="N51" s="198" t="s">
        <v>10699</v>
      </c>
      <c r="O51" s="407" t="s">
        <v>10700</v>
      </c>
      <c r="P51" s="198" t="s">
        <v>10701</v>
      </c>
      <c r="Q51" s="439" t="s">
        <v>10694</v>
      </c>
      <c r="R51" s="211" t="s">
        <v>10702</v>
      </c>
      <c r="S51" s="407" t="s">
        <v>10703</v>
      </c>
      <c r="T51" s="198" t="s">
        <v>10704</v>
      </c>
      <c r="U51" s="407" t="s">
        <v>10705</v>
      </c>
      <c r="V51" s="198" t="s">
        <v>10706</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10707</v>
      </c>
      <c r="B1" s="443" t="s">
        <v>580</v>
      </c>
      <c r="C1" s="444" t="s">
        <v>10708</v>
      </c>
      <c r="F1" s="201" t="s">
        <v>10709</v>
      </c>
      <c r="G1" s="443" t="s">
        <v>580</v>
      </c>
      <c r="H1" s="445" t="s">
        <v>10710</v>
      </c>
      <c r="K1" s="201" t="s">
        <v>10711</v>
      </c>
      <c r="L1" s="443" t="s">
        <v>580</v>
      </c>
      <c r="M1" s="446" t="s">
        <v>10712</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10713</v>
      </c>
      <c r="AF1" s="443" t="s">
        <v>10714</v>
      </c>
      <c r="AG1" s="448" t="s">
        <v>10715</v>
      </c>
      <c r="AJ1" s="449" t="s">
        <v>10716</v>
      </c>
      <c r="AK1" s="443" t="s">
        <v>580</v>
      </c>
      <c r="AL1" s="444" t="s">
        <v>10717</v>
      </c>
      <c r="AO1" s="450" t="s">
        <v>10718</v>
      </c>
      <c r="AP1" s="451" t="s">
        <v>580</v>
      </c>
      <c r="AQ1" s="142" t="s">
        <v>10719</v>
      </c>
      <c r="AT1" s="201" t="s">
        <v>10720</v>
      </c>
      <c r="AU1" s="443" t="s">
        <v>580</v>
      </c>
      <c r="AV1" s="447" t="s">
        <v>10721</v>
      </c>
      <c r="AY1" s="201"/>
      <c r="AZ1" s="443"/>
      <c r="BA1" s="447"/>
      <c r="BD1" s="447"/>
      <c r="BE1" s="447"/>
      <c r="BF1" s="447"/>
      <c r="BG1" s="447"/>
      <c r="BH1" s="447"/>
    </row>
    <row r="2" ht="75.0" customHeight="1">
      <c r="A2" s="201" t="s">
        <v>10722</v>
      </c>
      <c r="B2" s="443" t="s">
        <v>1436</v>
      </c>
      <c r="F2" s="201" t="s">
        <v>10723</v>
      </c>
      <c r="G2" s="443" t="s">
        <v>1436</v>
      </c>
      <c r="K2" s="201" t="s">
        <v>10724</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(우연에 의한 유발).")</f>
        <v>내 여동생은 음식이 너무 매워서 울었어요 (우연에 의한 유발).</v>
      </c>
      <c r="AA2" s="443" t="s">
        <v>1436</v>
      </c>
      <c r="AE2" s="201" t="s">
        <v>10725</v>
      </c>
      <c r="AF2" s="443" t="s">
        <v>10726</v>
      </c>
      <c r="AJ2" s="449" t="s">
        <v>10727</v>
      </c>
      <c r="AK2" s="443" t="s">
        <v>1436</v>
      </c>
      <c r="AO2" s="452" t="s">
        <v>10728</v>
      </c>
      <c r="AP2" s="453" t="s">
        <v>1436</v>
      </c>
      <c r="AT2" s="201" t="s">
        <v>10729</v>
      </c>
      <c r="AU2" s="443" t="s">
        <v>1436</v>
      </c>
      <c r="AY2" s="201"/>
      <c r="AZ2" s="443"/>
      <c r="BD2" s="447"/>
      <c r="BE2" s="447"/>
      <c r="BF2" s="447"/>
      <c r="BG2" s="447"/>
      <c r="BH2" s="447"/>
    </row>
    <row r="3">
      <c r="A3" s="454" t="s">
        <v>10730</v>
      </c>
      <c r="B3" s="455" t="s">
        <v>9860</v>
      </c>
      <c r="F3" s="454" t="str">
        <f>IFERROR(__xludf.DUMMYFUNCTION("GOOGLETRANSLATE(A3,""zh-tw"",""ja"")"),"料理名")</f>
        <v>料理名</v>
      </c>
      <c r="G3" s="455" t="str">
        <f>IFERROR(__xludf.DUMMYFUNCTION("GOOGLETRANSLATE(B3,""zh-tw"",""ja"")"),"効果")</f>
        <v>効果</v>
      </c>
      <c r="K3" s="454" t="s">
        <v>10731</v>
      </c>
      <c r="L3" s="455" t="s">
        <v>10732</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10733</v>
      </c>
      <c r="AF3" s="456" t="s">
        <v>9862</v>
      </c>
      <c r="AJ3" s="458" t="s">
        <v>10734</v>
      </c>
      <c r="AK3" s="457" t="s">
        <v>10735</v>
      </c>
      <c r="AO3" s="86" t="s">
        <v>10736</v>
      </c>
      <c r="AP3" s="85" t="s">
        <v>7954</v>
      </c>
      <c r="AT3" s="454" t="s">
        <v>10737</v>
      </c>
      <c r="AU3" s="455" t="s">
        <v>9868</v>
      </c>
      <c r="AY3" s="454"/>
      <c r="AZ3" s="455"/>
      <c r="BD3" s="447"/>
      <c r="BE3" s="447"/>
      <c r="BF3" s="447"/>
      <c r="BG3" s="447"/>
      <c r="BH3" s="447"/>
    </row>
    <row r="4">
      <c r="A4" s="149" t="s">
        <v>10738</v>
      </c>
      <c r="B4" s="459"/>
      <c r="C4" s="460" t="s">
        <v>10739</v>
      </c>
      <c r="D4" s="142"/>
      <c r="E4" s="142"/>
      <c r="F4" s="149" t="s">
        <v>10740</v>
      </c>
      <c r="G4" s="459"/>
      <c r="H4" s="460" t="s">
        <v>10741</v>
      </c>
      <c r="I4" s="142"/>
      <c r="J4" s="142"/>
      <c r="K4" s="242" t="s">
        <v>10742</v>
      </c>
      <c r="L4" s="459"/>
      <c r="M4" s="167" t="s">
        <v>10743</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10744</v>
      </c>
      <c r="AC4" s="142"/>
      <c r="AD4" s="142"/>
      <c r="AE4" s="461" t="s">
        <v>10745</v>
      </c>
      <c r="AF4" s="222"/>
      <c r="AG4" s="460" t="s">
        <v>10746</v>
      </c>
      <c r="AH4" s="462"/>
      <c r="AI4" s="462"/>
      <c r="AJ4" s="463" t="s">
        <v>10747</v>
      </c>
      <c r="AK4" s="457"/>
      <c r="AL4" s="167" t="s">
        <v>10748</v>
      </c>
      <c r="AM4" s="198"/>
      <c r="AN4" s="198"/>
      <c r="AO4" s="197" t="s">
        <v>10749</v>
      </c>
      <c r="AP4" s="459"/>
      <c r="AQ4" s="198" t="s">
        <v>10750</v>
      </c>
      <c r="AR4" s="142"/>
      <c r="AS4" s="142"/>
      <c r="AT4" s="149" t="s">
        <v>10742</v>
      </c>
      <c r="AU4" s="464"/>
      <c r="AV4" s="198" t="s">
        <v>10751</v>
      </c>
      <c r="AW4" s="76"/>
      <c r="AX4" s="76"/>
      <c r="AY4" s="149"/>
      <c r="AZ4" s="464"/>
      <c r="BA4" s="198"/>
      <c r="BB4" s="76"/>
      <c r="BC4" s="76"/>
      <c r="BD4" s="76"/>
      <c r="BE4" s="76"/>
      <c r="BF4" s="76"/>
      <c r="BG4" s="76"/>
      <c r="BH4" s="76"/>
    </row>
    <row r="5">
      <c r="A5" s="149" t="s">
        <v>10752</v>
      </c>
      <c r="B5" s="459"/>
      <c r="C5" s="460" t="s">
        <v>10753</v>
      </c>
      <c r="D5" s="460" t="s">
        <v>10754</v>
      </c>
      <c r="E5" s="142"/>
      <c r="F5" s="149" t="s">
        <v>10755</v>
      </c>
      <c r="G5" s="459"/>
      <c r="H5" s="460" t="s">
        <v>10756</v>
      </c>
      <c r="I5" s="460" t="s">
        <v>10757</v>
      </c>
      <c r="J5" s="142"/>
      <c r="K5" s="235" t="s">
        <v>10758</v>
      </c>
      <c r="L5" s="459"/>
      <c r="M5" s="167" t="s">
        <v>10759</v>
      </c>
      <c r="N5" s="167" t="s">
        <v>10760</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10761</v>
      </c>
      <c r="AD5" s="198"/>
      <c r="AE5" s="461" t="s">
        <v>10762</v>
      </c>
      <c r="AF5" s="222"/>
      <c r="AG5" s="460" t="s">
        <v>10763</v>
      </c>
      <c r="AH5" s="460" t="s">
        <v>10764</v>
      </c>
      <c r="AI5" s="462"/>
      <c r="AJ5" s="463" t="s">
        <v>10765</v>
      </c>
      <c r="AK5" s="457"/>
      <c r="AL5" s="167" t="s">
        <v>10766</v>
      </c>
      <c r="AM5" s="167" t="s">
        <v>10767</v>
      </c>
      <c r="AN5" s="198"/>
      <c r="AO5" s="197" t="s">
        <v>10768</v>
      </c>
      <c r="AP5" s="459"/>
      <c r="AQ5" s="198" t="s">
        <v>10769</v>
      </c>
      <c r="AR5" s="198" t="s">
        <v>10770</v>
      </c>
      <c r="AS5" s="142"/>
      <c r="AT5" s="149" t="s">
        <v>10771</v>
      </c>
      <c r="AU5" s="464"/>
      <c r="AV5" s="198" t="s">
        <v>10772</v>
      </c>
      <c r="AW5" s="167" t="s">
        <v>10773</v>
      </c>
      <c r="AX5" s="76"/>
      <c r="AY5" s="149"/>
      <c r="AZ5" s="464"/>
      <c r="BA5" s="198"/>
      <c r="BB5" s="167"/>
      <c r="BC5" s="76"/>
      <c r="BD5" s="76"/>
      <c r="BE5" s="76"/>
      <c r="BF5" s="76"/>
      <c r="BG5" s="76"/>
      <c r="BH5" s="76"/>
    </row>
    <row r="6">
      <c r="A6" s="149" t="s">
        <v>10774</v>
      </c>
      <c r="B6" s="459"/>
      <c r="C6" s="460" t="s">
        <v>7822</v>
      </c>
      <c r="D6" s="460" t="s">
        <v>10775</v>
      </c>
      <c r="E6" s="142"/>
      <c r="F6" s="149" t="s">
        <v>10776</v>
      </c>
      <c r="G6" s="459"/>
      <c r="H6" s="460" t="s">
        <v>7823</v>
      </c>
      <c r="I6" s="460" t="s">
        <v>10777</v>
      </c>
      <c r="J6" s="142"/>
      <c r="K6" s="242" t="s">
        <v>10778</v>
      </c>
      <c r="L6" s="459"/>
      <c r="M6" s="167" t="s">
        <v>7824</v>
      </c>
      <c r="N6" s="167" t="s">
        <v>10779</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10780</v>
      </c>
      <c r="AF6" s="222"/>
      <c r="AG6" s="460" t="s">
        <v>7825</v>
      </c>
      <c r="AH6" s="460" t="s">
        <v>10781</v>
      </c>
      <c r="AI6" s="462"/>
      <c r="AJ6" s="463" t="s">
        <v>10782</v>
      </c>
      <c r="AK6" s="457"/>
      <c r="AL6" s="167" t="s">
        <v>7826</v>
      </c>
      <c r="AM6" s="167" t="s">
        <v>10783</v>
      </c>
      <c r="AN6" s="198"/>
      <c r="AO6" s="197" t="s">
        <v>10784</v>
      </c>
      <c r="AP6" s="459"/>
      <c r="AQ6" s="198" t="s">
        <v>7827</v>
      </c>
      <c r="AR6" s="198" t="s">
        <v>10785</v>
      </c>
      <c r="AS6" s="142"/>
      <c r="AT6" s="149" t="s">
        <v>10786</v>
      </c>
      <c r="AU6" s="464"/>
      <c r="AV6" s="198" t="s">
        <v>7828</v>
      </c>
      <c r="AW6" s="198" t="s">
        <v>10787</v>
      </c>
      <c r="AX6" s="76"/>
      <c r="AY6" s="149"/>
      <c r="AZ6" s="464"/>
      <c r="BA6" s="198"/>
      <c r="BB6" s="198"/>
      <c r="BC6" s="76"/>
      <c r="BD6" s="76"/>
      <c r="BE6" s="76"/>
      <c r="BF6" s="76"/>
      <c r="BG6" s="76"/>
      <c r="BH6" s="76"/>
    </row>
    <row r="7">
      <c r="A7" s="149" t="s">
        <v>10788</v>
      </c>
      <c r="B7" s="459"/>
      <c r="C7" s="460" t="s">
        <v>7822</v>
      </c>
      <c r="D7" s="142"/>
      <c r="E7" s="142"/>
      <c r="F7" s="149" t="s">
        <v>10789</v>
      </c>
      <c r="G7" s="459"/>
      <c r="H7" s="460" t="s">
        <v>7823</v>
      </c>
      <c r="I7" s="142"/>
      <c r="J7" s="142"/>
      <c r="K7" s="242" t="s">
        <v>10790</v>
      </c>
      <c r="L7" s="459"/>
      <c r="M7" s="167" t="s">
        <v>7824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10791</v>
      </c>
      <c r="AF7" s="222"/>
      <c r="AG7" s="460" t="s">
        <v>7825</v>
      </c>
      <c r="AH7" s="462"/>
      <c r="AI7" s="462"/>
      <c r="AJ7" s="463" t="s">
        <v>10792</v>
      </c>
      <c r="AK7" s="457"/>
      <c r="AL7" s="167" t="s">
        <v>7826</v>
      </c>
      <c r="AM7" s="198"/>
      <c r="AN7" s="198"/>
      <c r="AO7" s="197" t="s">
        <v>10793</v>
      </c>
      <c r="AP7" s="459"/>
      <c r="AQ7" s="198" t="s">
        <v>7827</v>
      </c>
      <c r="AR7" s="142"/>
      <c r="AS7" s="142"/>
      <c r="AT7" s="149" t="s">
        <v>10794</v>
      </c>
      <c r="AU7" s="464"/>
      <c r="AV7" s="198" t="s">
        <v>7828</v>
      </c>
      <c r="AW7" s="76"/>
      <c r="AX7" s="76"/>
      <c r="AY7" s="149"/>
      <c r="AZ7" s="464"/>
      <c r="BA7" s="198"/>
      <c r="BB7" s="76"/>
      <c r="BC7" s="76"/>
      <c r="BD7" s="76"/>
      <c r="BE7" s="76"/>
      <c r="BF7" s="76"/>
      <c r="BG7" s="76"/>
      <c r="BH7" s="76"/>
    </row>
    <row r="8">
      <c r="A8" s="149" t="s">
        <v>10795</v>
      </c>
      <c r="B8" s="459"/>
      <c r="C8" s="460" t="s">
        <v>10796</v>
      </c>
      <c r="F8" s="149" t="s">
        <v>10797</v>
      </c>
      <c r="G8" s="459"/>
      <c r="H8" s="460" t="s">
        <v>1058</v>
      </c>
      <c r="I8" s="142"/>
      <c r="J8" s="142"/>
      <c r="K8" s="242" t="s">
        <v>10798</v>
      </c>
      <c r="L8" s="459"/>
      <c r="M8" s="167" t="s">
        <v>10799</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10800</v>
      </c>
      <c r="AA8" s="457"/>
      <c r="AB8" s="167" t="s">
        <v>1067</v>
      </c>
      <c r="AE8" s="461" t="s">
        <v>10801</v>
      </c>
      <c r="AF8" s="222"/>
      <c r="AG8" s="460" t="s">
        <v>10802</v>
      </c>
      <c r="AJ8" s="463" t="s">
        <v>10803</v>
      </c>
      <c r="AK8" s="457"/>
      <c r="AL8" s="167" t="s">
        <v>10804</v>
      </c>
      <c r="AO8" s="197" t="s">
        <v>10805</v>
      </c>
      <c r="AP8" s="459"/>
      <c r="AQ8" s="198" t="s">
        <v>1389</v>
      </c>
      <c r="AR8" s="142"/>
      <c r="AS8" s="142"/>
      <c r="AT8" s="149" t="s">
        <v>10806</v>
      </c>
      <c r="AU8" s="464"/>
      <c r="AV8" s="198" t="s">
        <v>1392</v>
      </c>
      <c r="AW8" s="76"/>
      <c r="AX8" s="76"/>
      <c r="AY8" s="149"/>
      <c r="AZ8" s="464"/>
      <c r="BA8" s="198"/>
      <c r="BB8" s="76"/>
      <c r="BC8" s="76"/>
      <c r="BD8" s="76"/>
      <c r="BE8" s="76"/>
      <c r="BF8" s="76"/>
      <c r="BG8" s="76"/>
      <c r="BH8" s="76"/>
    </row>
    <row r="9">
      <c r="A9" s="149" t="s">
        <v>10807</v>
      </c>
      <c r="B9" s="459"/>
      <c r="C9" s="460" t="s">
        <v>10808</v>
      </c>
      <c r="D9" s="142"/>
      <c r="E9" s="142"/>
      <c r="F9" s="149" t="s">
        <v>10809</v>
      </c>
      <c r="G9" s="459"/>
      <c r="H9" s="460" t="s">
        <v>10808</v>
      </c>
      <c r="I9" s="142"/>
      <c r="J9" s="142"/>
      <c r="K9" s="242" t="s">
        <v>10810</v>
      </c>
      <c r="L9" s="459"/>
      <c r="M9" s="167" t="s">
        <v>10811</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10812</v>
      </c>
      <c r="AA9" s="457"/>
      <c r="AB9" s="198" t="str">
        <f>IFERROR(__xludf.DUMMYFUNCTION("GOOGLETRANSLATE(C9,""zh-tw"",""KO"")"),"물고기")</f>
        <v>물고기</v>
      </c>
      <c r="AC9" s="198"/>
      <c r="AD9" s="198"/>
      <c r="AE9" s="461" t="s">
        <v>10813</v>
      </c>
      <c r="AF9" s="222"/>
      <c r="AG9" s="460" t="s">
        <v>10814</v>
      </c>
      <c r="AH9" s="462"/>
      <c r="AI9" s="462"/>
      <c r="AJ9" s="463" t="s">
        <v>10815</v>
      </c>
      <c r="AK9" s="457"/>
      <c r="AL9" s="167" t="s">
        <v>10816</v>
      </c>
      <c r="AM9" s="198"/>
      <c r="AN9" s="198"/>
      <c r="AO9" s="197" t="s">
        <v>10817</v>
      </c>
      <c r="AP9" s="459"/>
      <c r="AQ9" s="198" t="s">
        <v>10818</v>
      </c>
      <c r="AR9" s="142"/>
      <c r="AS9" s="142"/>
      <c r="AT9" s="149" t="s">
        <v>10819</v>
      </c>
      <c r="AU9" s="464"/>
      <c r="AV9" s="198" t="s">
        <v>10820</v>
      </c>
      <c r="AW9" s="76"/>
      <c r="AX9" s="76"/>
      <c r="AY9" s="149"/>
      <c r="AZ9" s="464"/>
      <c r="BA9" s="198"/>
      <c r="BB9" s="76"/>
      <c r="BC9" s="76"/>
      <c r="BD9" s="76"/>
      <c r="BE9" s="76"/>
      <c r="BF9" s="76"/>
      <c r="BG9" s="76"/>
      <c r="BH9" s="76"/>
    </row>
    <row r="10">
      <c r="A10" s="149" t="s">
        <v>10821</v>
      </c>
      <c r="B10" s="459"/>
      <c r="C10" s="460" t="s">
        <v>10822</v>
      </c>
      <c r="D10" s="460" t="s">
        <v>10822</v>
      </c>
      <c r="E10" s="460" t="s">
        <v>10822</v>
      </c>
      <c r="F10" s="149" t="s">
        <v>10823</v>
      </c>
      <c r="G10" s="459"/>
      <c r="H10" s="460" t="s">
        <v>10824</v>
      </c>
      <c r="I10" s="460" t="s">
        <v>10824</v>
      </c>
      <c r="J10" s="460" t="s">
        <v>10824</v>
      </c>
      <c r="K10" s="242" t="s">
        <v>10825</v>
      </c>
      <c r="L10" s="459"/>
      <c r="M10" s="167" t="s">
        <v>10826</v>
      </c>
      <c r="N10" s="167" t="s">
        <v>10826</v>
      </c>
      <c r="O10" s="167" t="s">
        <v>10826</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10827</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10828</v>
      </c>
      <c r="AF10" s="222"/>
      <c r="AG10" s="460" t="s">
        <v>10829</v>
      </c>
      <c r="AH10" s="460" t="s">
        <v>10829</v>
      </c>
      <c r="AI10" s="460" t="s">
        <v>10829</v>
      </c>
      <c r="AJ10" s="463" t="s">
        <v>10830</v>
      </c>
      <c r="AK10" s="457"/>
      <c r="AL10" s="167" t="s">
        <v>10831</v>
      </c>
      <c r="AM10" s="167" t="s">
        <v>10831</v>
      </c>
      <c r="AN10" s="167" t="s">
        <v>10831</v>
      </c>
      <c r="AO10" s="197" t="s">
        <v>10832</v>
      </c>
      <c r="AP10" s="459"/>
      <c r="AQ10" s="198" t="s">
        <v>10833</v>
      </c>
      <c r="AR10" s="198" t="s">
        <v>10833</v>
      </c>
      <c r="AS10" s="198" t="s">
        <v>10833</v>
      </c>
      <c r="AT10" s="149" t="s">
        <v>10834</v>
      </c>
      <c r="AU10" s="464"/>
      <c r="AV10" s="198" t="s">
        <v>10835</v>
      </c>
      <c r="AW10" s="198" t="s">
        <v>10835</v>
      </c>
      <c r="AX10" s="198" t="s">
        <v>10835</v>
      </c>
      <c r="AY10" s="149"/>
      <c r="AZ10" s="464"/>
      <c r="BA10" s="198"/>
      <c r="BB10" s="198"/>
      <c r="BC10" s="198"/>
      <c r="BD10" s="198"/>
      <c r="BE10" s="198"/>
      <c r="BF10" s="198"/>
      <c r="BG10" s="198"/>
      <c r="BH10" s="198"/>
    </row>
    <row r="11">
      <c r="A11" s="178" t="s">
        <v>10836</v>
      </c>
      <c r="B11" s="459"/>
      <c r="C11" s="460" t="s">
        <v>10837</v>
      </c>
      <c r="D11" s="460" t="s">
        <v>7853</v>
      </c>
      <c r="E11" s="142"/>
      <c r="F11" s="149" t="s">
        <v>10838</v>
      </c>
      <c r="G11" s="459"/>
      <c r="H11" s="460" t="s">
        <v>10839</v>
      </c>
      <c r="I11" s="460" t="s">
        <v>10840</v>
      </c>
      <c r="J11" s="142"/>
      <c r="K11" s="242" t="s">
        <v>10841</v>
      </c>
      <c r="L11" s="459"/>
      <c r="M11" s="167" t="s">
        <v>10842</v>
      </c>
      <c r="N11" s="167" t="s">
        <v>7855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10843</v>
      </c>
      <c r="AA11" s="457"/>
      <c r="AB11" s="167" t="s">
        <v>10844</v>
      </c>
      <c r="AC11" s="198" t="str">
        <f>IFERROR(__xludf.DUMMYFUNCTION("GOOGLETRANSLATE(D11,""zh-tw"",""KO"")"),"감자")</f>
        <v>감자</v>
      </c>
      <c r="AD11" s="198"/>
      <c r="AE11" s="461" t="s">
        <v>10845</v>
      </c>
      <c r="AF11" s="222"/>
      <c r="AG11" s="460" t="s">
        <v>10846</v>
      </c>
      <c r="AH11" s="460" t="s">
        <v>7858</v>
      </c>
      <c r="AI11" s="462"/>
      <c r="AJ11" s="463" t="s">
        <v>10847</v>
      </c>
      <c r="AK11" s="457"/>
      <c r="AL11" s="167" t="s">
        <v>10848</v>
      </c>
      <c r="AM11" s="167" t="s">
        <v>7860</v>
      </c>
      <c r="AN11" s="198"/>
      <c r="AO11" s="153" t="s">
        <v>10841</v>
      </c>
      <c r="AP11" s="459"/>
      <c r="AQ11" s="198" t="s">
        <v>10849</v>
      </c>
      <c r="AR11" s="198" t="s">
        <v>7862</v>
      </c>
      <c r="AS11" s="142"/>
      <c r="AT11" s="149" t="s">
        <v>10841</v>
      </c>
      <c r="AU11" s="464"/>
      <c r="AV11" s="198" t="s">
        <v>10850</v>
      </c>
      <c r="AW11" s="198" t="s">
        <v>7864</v>
      </c>
      <c r="AX11" s="76"/>
      <c r="AY11" s="149"/>
      <c r="AZ11" s="464"/>
      <c r="BA11" s="198"/>
      <c r="BB11" s="198"/>
      <c r="BC11" s="76"/>
      <c r="BD11" s="76"/>
      <c r="BE11" s="76"/>
      <c r="BF11" s="76"/>
      <c r="BG11" s="76"/>
      <c r="BH11" s="76"/>
    </row>
    <row r="12">
      <c r="A12" s="149" t="s">
        <v>10851</v>
      </c>
      <c r="B12" s="459"/>
      <c r="C12" s="460" t="s">
        <v>10753</v>
      </c>
      <c r="D12" s="142"/>
      <c r="E12" s="142"/>
      <c r="F12" s="149" t="s">
        <v>10852</v>
      </c>
      <c r="G12" s="459"/>
      <c r="H12" s="460" t="s">
        <v>10756</v>
      </c>
      <c r="I12" s="142"/>
      <c r="J12" s="142"/>
      <c r="K12" s="242" t="s">
        <v>10853</v>
      </c>
      <c r="L12" s="459"/>
      <c r="M12" s="167" t="s">
        <v>10759</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10854</v>
      </c>
      <c r="AF12" s="222"/>
      <c r="AG12" s="460" t="s">
        <v>10763</v>
      </c>
      <c r="AH12" s="462"/>
      <c r="AI12" s="462"/>
      <c r="AJ12" s="463" t="s">
        <v>10855</v>
      </c>
      <c r="AK12" s="457"/>
      <c r="AL12" s="167" t="s">
        <v>10766</v>
      </c>
      <c r="AM12" s="198"/>
      <c r="AN12" s="198"/>
      <c r="AO12" s="197" t="s">
        <v>10856</v>
      </c>
      <c r="AP12" s="459"/>
      <c r="AQ12" s="198" t="s">
        <v>10769</v>
      </c>
      <c r="AR12" s="142"/>
      <c r="AS12" s="142"/>
      <c r="AT12" s="149" t="s">
        <v>10853</v>
      </c>
      <c r="AU12" s="464"/>
      <c r="AV12" s="198" t="s">
        <v>10772</v>
      </c>
      <c r="AW12" s="76"/>
      <c r="AX12" s="76"/>
      <c r="AY12" s="149"/>
      <c r="AZ12" s="464"/>
      <c r="BA12" s="198"/>
      <c r="BB12" s="76"/>
      <c r="BC12" s="76"/>
      <c r="BD12" s="76"/>
      <c r="BE12" s="76"/>
      <c r="BF12" s="76"/>
      <c r="BG12" s="76"/>
      <c r="BH12" s="76"/>
    </row>
    <row r="13">
      <c r="A13" s="149" t="s">
        <v>10857</v>
      </c>
      <c r="B13" s="459"/>
      <c r="C13" s="460" t="s">
        <v>10753</v>
      </c>
      <c r="D13" s="460" t="s">
        <v>10754</v>
      </c>
      <c r="E13" s="460" t="s">
        <v>10837</v>
      </c>
      <c r="F13" s="149" t="s">
        <v>10858</v>
      </c>
      <c r="G13" s="459"/>
      <c r="H13" s="460" t="s">
        <v>10756</v>
      </c>
      <c r="I13" s="460" t="s">
        <v>10757</v>
      </c>
      <c r="J13" s="460" t="s">
        <v>10839</v>
      </c>
      <c r="K13" s="235" t="s">
        <v>10859</v>
      </c>
      <c r="L13" s="459"/>
      <c r="M13" s="167" t="s">
        <v>10759</v>
      </c>
      <c r="N13" s="167" t="s">
        <v>10760</v>
      </c>
      <c r="O13" s="167" t="s">
        <v>10842</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10860</v>
      </c>
      <c r="AA13" s="457"/>
      <c r="AB13" s="198" t="str">
        <f>IFERROR(__xludf.DUMMYFUNCTION("GOOGLETRANSLATE(C13,""zh-tw"",""KO"")"),"흰쌀")</f>
        <v>흰쌀</v>
      </c>
      <c r="AC13" s="167" t="s">
        <v>10761</v>
      </c>
      <c r="AD13" s="167" t="s">
        <v>10844</v>
      </c>
      <c r="AE13" s="461" t="s">
        <v>10861</v>
      </c>
      <c r="AF13" s="222"/>
      <c r="AG13" s="460" t="s">
        <v>10763</v>
      </c>
      <c r="AH13" s="460" t="s">
        <v>10764</v>
      </c>
      <c r="AI13" s="460" t="s">
        <v>10846</v>
      </c>
      <c r="AJ13" s="463" t="s">
        <v>10862</v>
      </c>
      <c r="AK13" s="457"/>
      <c r="AL13" s="167" t="s">
        <v>10766</v>
      </c>
      <c r="AM13" s="167" t="s">
        <v>10767</v>
      </c>
      <c r="AN13" s="167" t="s">
        <v>10848</v>
      </c>
      <c r="AO13" s="197" t="s">
        <v>10863</v>
      </c>
      <c r="AP13" s="459"/>
      <c r="AQ13" s="198" t="s">
        <v>10769</v>
      </c>
      <c r="AR13" s="198" t="s">
        <v>10770</v>
      </c>
      <c r="AS13" s="198" t="s">
        <v>10849</v>
      </c>
      <c r="AT13" s="149" t="s">
        <v>10864</v>
      </c>
      <c r="AU13" s="464"/>
      <c r="AV13" s="198" t="s">
        <v>10772</v>
      </c>
      <c r="AW13" s="167" t="s">
        <v>10773</v>
      </c>
      <c r="AX13" s="198" t="s">
        <v>10850</v>
      </c>
      <c r="AY13" s="149"/>
      <c r="AZ13" s="464"/>
      <c r="BA13" s="198"/>
      <c r="BB13" s="167"/>
      <c r="BC13" s="198"/>
      <c r="BD13" s="198"/>
      <c r="BE13" s="198"/>
      <c r="BF13" s="198"/>
      <c r="BG13" s="198"/>
      <c r="BH13" s="198"/>
    </row>
    <row r="14">
      <c r="A14" s="149" t="s">
        <v>10865</v>
      </c>
      <c r="B14" s="443" t="s">
        <v>580</v>
      </c>
      <c r="C14" s="460" t="s">
        <v>7031</v>
      </c>
      <c r="D14" s="142"/>
      <c r="E14" s="142"/>
      <c r="F14" s="149" t="s">
        <v>10866</v>
      </c>
      <c r="G14" s="443" t="s">
        <v>580</v>
      </c>
      <c r="H14" s="460" t="s">
        <v>10867</v>
      </c>
      <c r="I14" s="142"/>
      <c r="J14" s="142"/>
      <c r="K14" s="242" t="s">
        <v>10868</v>
      </c>
      <c r="L14" s="443" t="s">
        <v>580</v>
      </c>
      <c r="M14" s="167" t="s">
        <v>7036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10869</v>
      </c>
      <c r="AA14" s="457" t="s">
        <v>580</v>
      </c>
      <c r="AB14" s="167" t="s">
        <v>10870</v>
      </c>
      <c r="AC14" s="198"/>
      <c r="AD14" s="198"/>
      <c r="AE14" s="461" t="s">
        <v>10871</v>
      </c>
      <c r="AF14" s="456" t="s">
        <v>10714</v>
      </c>
      <c r="AG14" s="460" t="s">
        <v>10872</v>
      </c>
      <c r="AH14" s="462"/>
      <c r="AI14" s="462"/>
      <c r="AJ14" s="463" t="s">
        <v>10873</v>
      </c>
      <c r="AK14" s="457" t="s">
        <v>580</v>
      </c>
      <c r="AL14" s="167" t="s">
        <v>10874</v>
      </c>
      <c r="AM14" s="198"/>
      <c r="AN14" s="198"/>
      <c r="AO14" s="197" t="s">
        <v>10875</v>
      </c>
      <c r="AP14" s="443" t="s">
        <v>580</v>
      </c>
      <c r="AQ14" s="198" t="s">
        <v>7042</v>
      </c>
      <c r="AR14" s="142"/>
      <c r="AS14" s="142"/>
      <c r="AT14" s="149" t="s">
        <v>10876</v>
      </c>
      <c r="AU14" s="443" t="s">
        <v>580</v>
      </c>
      <c r="AV14" s="198" t="s">
        <v>7044</v>
      </c>
      <c r="AW14" s="76"/>
      <c r="AX14" s="76"/>
      <c r="AY14" s="149"/>
      <c r="AZ14" s="443"/>
      <c r="BA14" s="198"/>
      <c r="BB14" s="76"/>
      <c r="BC14" s="76"/>
      <c r="BD14" s="76"/>
      <c r="BE14" s="76"/>
      <c r="BF14" s="76"/>
      <c r="BG14" s="76"/>
      <c r="BH14" s="76"/>
    </row>
    <row r="15">
      <c r="A15" s="149" t="s">
        <v>10877</v>
      </c>
      <c r="B15" s="443" t="s">
        <v>580</v>
      </c>
      <c r="C15" s="460" t="s">
        <v>10837</v>
      </c>
      <c r="D15" s="142"/>
      <c r="E15" s="142"/>
      <c r="F15" s="149" t="s">
        <v>10878</v>
      </c>
      <c r="G15" s="443" t="s">
        <v>580</v>
      </c>
      <c r="H15" s="460" t="s">
        <v>10839</v>
      </c>
      <c r="I15" s="142"/>
      <c r="J15" s="142"/>
      <c r="K15" s="242" t="s">
        <v>10879</v>
      </c>
      <c r="L15" s="443" t="s">
        <v>580</v>
      </c>
      <c r="M15" s="167" t="s">
        <v>10842</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조각")</f>
        <v>구운 고기 조각</v>
      </c>
      <c r="AA15" s="457" t="s">
        <v>580</v>
      </c>
      <c r="AB15" s="167" t="s">
        <v>10844</v>
      </c>
      <c r="AC15" s="198"/>
      <c r="AD15" s="198"/>
      <c r="AE15" s="461" t="s">
        <v>10880</v>
      </c>
      <c r="AF15" s="456" t="s">
        <v>10714</v>
      </c>
      <c r="AG15" s="460" t="s">
        <v>10846</v>
      </c>
      <c r="AH15" s="462"/>
      <c r="AI15" s="462"/>
      <c r="AJ15" s="463" t="s">
        <v>10881</v>
      </c>
      <c r="AK15" s="457" t="s">
        <v>580</v>
      </c>
      <c r="AL15" s="167" t="s">
        <v>10848</v>
      </c>
      <c r="AM15" s="198"/>
      <c r="AN15" s="198"/>
      <c r="AO15" s="197" t="s">
        <v>10882</v>
      </c>
      <c r="AP15" s="443" t="s">
        <v>580</v>
      </c>
      <c r="AQ15" s="198" t="s">
        <v>10849</v>
      </c>
      <c r="AR15" s="142"/>
      <c r="AS15" s="142"/>
      <c r="AT15" s="149" t="s">
        <v>10883</v>
      </c>
      <c r="AU15" s="443" t="s">
        <v>580</v>
      </c>
      <c r="AV15" s="198" t="s">
        <v>10850</v>
      </c>
      <c r="AW15" s="76"/>
      <c r="AX15" s="76"/>
      <c r="AY15" s="149"/>
      <c r="AZ15" s="443"/>
      <c r="BA15" s="198"/>
      <c r="BB15" s="76"/>
      <c r="BC15" s="76"/>
      <c r="BD15" s="76"/>
      <c r="BE15" s="76"/>
      <c r="BF15" s="76"/>
      <c r="BG15" s="76"/>
      <c r="BH15" s="76"/>
    </row>
    <row r="16">
      <c r="A16" s="149" t="s">
        <v>10884</v>
      </c>
      <c r="B16" s="443" t="s">
        <v>580</v>
      </c>
      <c r="C16" s="460" t="s">
        <v>10837</v>
      </c>
      <c r="D16" s="460" t="s">
        <v>10837</v>
      </c>
      <c r="E16" s="142"/>
      <c r="F16" s="149" t="s">
        <v>10885</v>
      </c>
      <c r="G16" s="443" t="s">
        <v>580</v>
      </c>
      <c r="H16" s="460" t="s">
        <v>10839</v>
      </c>
      <c r="I16" s="460" t="s">
        <v>10839</v>
      </c>
      <c r="J16" s="142"/>
      <c r="K16" s="242" t="s">
        <v>10886</v>
      </c>
      <c r="L16" s="443" t="s">
        <v>580</v>
      </c>
      <c r="M16" s="167" t="s">
        <v>10842</v>
      </c>
      <c r="N16" s="167" t="s">
        <v>10842</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10887</v>
      </c>
      <c r="AA16" s="457" t="s">
        <v>580</v>
      </c>
      <c r="AB16" s="167" t="s">
        <v>10844</v>
      </c>
      <c r="AC16" s="167" t="s">
        <v>10844</v>
      </c>
      <c r="AD16" s="198"/>
      <c r="AE16" s="461" t="s">
        <v>10888</v>
      </c>
      <c r="AF16" s="456" t="s">
        <v>10714</v>
      </c>
      <c r="AG16" s="460" t="s">
        <v>10846</v>
      </c>
      <c r="AH16" s="460" t="s">
        <v>10846</v>
      </c>
      <c r="AI16" s="462"/>
      <c r="AJ16" s="463" t="s">
        <v>10889</v>
      </c>
      <c r="AK16" s="457" t="s">
        <v>580</v>
      </c>
      <c r="AL16" s="167" t="s">
        <v>10848</v>
      </c>
      <c r="AM16" s="167" t="s">
        <v>10848</v>
      </c>
      <c r="AN16" s="198"/>
      <c r="AO16" s="197" t="s">
        <v>10890</v>
      </c>
      <c r="AP16" s="443" t="s">
        <v>580</v>
      </c>
      <c r="AQ16" s="198" t="s">
        <v>10849</v>
      </c>
      <c r="AR16" s="198" t="s">
        <v>10849</v>
      </c>
      <c r="AS16" s="142"/>
      <c r="AT16" s="149" t="s">
        <v>10891</v>
      </c>
      <c r="AU16" s="443" t="s">
        <v>580</v>
      </c>
      <c r="AV16" s="198" t="s">
        <v>10850</v>
      </c>
      <c r="AW16" s="198" t="s">
        <v>10850</v>
      </c>
      <c r="AX16" s="76"/>
      <c r="AY16" s="149"/>
      <c r="AZ16" s="443"/>
      <c r="BA16" s="198"/>
      <c r="BB16" s="198"/>
      <c r="BC16" s="76"/>
      <c r="BD16" s="76"/>
      <c r="BE16" s="76"/>
      <c r="BF16" s="76"/>
      <c r="BG16" s="76"/>
      <c r="BH16" s="76"/>
    </row>
    <row r="17">
      <c r="A17" s="178" t="s">
        <v>10892</v>
      </c>
      <c r="B17" s="443" t="s">
        <v>580</v>
      </c>
      <c r="C17" s="460" t="s">
        <v>10837</v>
      </c>
      <c r="D17" s="460" t="s">
        <v>10837</v>
      </c>
      <c r="E17" s="460" t="s">
        <v>10837</v>
      </c>
      <c r="F17" s="149" t="s">
        <v>10893</v>
      </c>
      <c r="G17" s="443" t="s">
        <v>580</v>
      </c>
      <c r="H17" s="460" t="s">
        <v>10839</v>
      </c>
      <c r="I17" s="460" t="s">
        <v>10839</v>
      </c>
      <c r="J17" s="460" t="s">
        <v>10839</v>
      </c>
      <c r="K17" s="242" t="s">
        <v>10894</v>
      </c>
      <c r="L17" s="443" t="s">
        <v>580</v>
      </c>
      <c r="M17" s="167" t="s">
        <v>10842</v>
      </c>
      <c r="N17" s="167" t="s">
        <v>10842</v>
      </c>
      <c r="O17" s="167" t="s">
        <v>10842</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10895</v>
      </c>
      <c r="AA17" s="457" t="s">
        <v>580</v>
      </c>
      <c r="AB17" s="167" t="s">
        <v>10844</v>
      </c>
      <c r="AC17" s="202" t="s">
        <v>10844</v>
      </c>
      <c r="AD17" s="202" t="s">
        <v>10844</v>
      </c>
      <c r="AE17" s="461" t="str">
        <f>IFERROR(__xludf.DUMMYFUNCTION("GOOGLETRANSLATE(A17,""zh-tw"",""ru"")"),"Тушеная говядина")</f>
        <v>Тушеная говядина</v>
      </c>
      <c r="AF17" s="456" t="s">
        <v>10714</v>
      </c>
      <c r="AG17" s="460" t="s">
        <v>10846</v>
      </c>
      <c r="AH17" s="460" t="s">
        <v>10846</v>
      </c>
      <c r="AI17" s="460" t="s">
        <v>10846</v>
      </c>
      <c r="AJ17" s="463" t="s">
        <v>10896</v>
      </c>
      <c r="AK17" s="457" t="s">
        <v>580</v>
      </c>
      <c r="AL17" s="167" t="s">
        <v>10848</v>
      </c>
      <c r="AM17" s="167" t="s">
        <v>10848</v>
      </c>
      <c r="AN17" s="167" t="s">
        <v>10848</v>
      </c>
      <c r="AO17" s="153" t="s">
        <v>10897</v>
      </c>
      <c r="AP17" s="443" t="s">
        <v>580</v>
      </c>
      <c r="AQ17" s="198" t="s">
        <v>10849</v>
      </c>
      <c r="AR17" s="198" t="s">
        <v>10849</v>
      </c>
      <c r="AS17" s="198" t="s">
        <v>10849</v>
      </c>
      <c r="AT17" s="149" t="s">
        <v>10898</v>
      </c>
      <c r="AU17" s="443" t="s">
        <v>580</v>
      </c>
      <c r="AV17" s="198" t="s">
        <v>10850</v>
      </c>
      <c r="AW17" s="198" t="s">
        <v>10850</v>
      </c>
      <c r="AX17" s="198" t="s">
        <v>10850</v>
      </c>
      <c r="AY17" s="149"/>
      <c r="AZ17" s="443"/>
      <c r="BA17" s="198"/>
      <c r="BB17" s="198"/>
      <c r="BC17" s="198"/>
      <c r="BD17" s="198"/>
      <c r="BE17" s="198"/>
      <c r="BF17" s="198"/>
      <c r="BG17" s="198"/>
      <c r="BH17" s="198"/>
    </row>
    <row r="18">
      <c r="A18" s="149" t="s">
        <v>10899</v>
      </c>
      <c r="B18" s="443" t="s">
        <v>580</v>
      </c>
      <c r="C18" s="460" t="s">
        <v>10753</v>
      </c>
      <c r="D18" s="460" t="s">
        <v>10837</v>
      </c>
      <c r="E18" s="142"/>
      <c r="F18" s="149" t="s">
        <v>10900</v>
      </c>
      <c r="G18" s="443" t="s">
        <v>580</v>
      </c>
      <c r="H18" s="460" t="s">
        <v>10756</v>
      </c>
      <c r="I18" s="460" t="s">
        <v>10839</v>
      </c>
      <c r="J18" s="142"/>
      <c r="K18" s="242" t="s">
        <v>10901</v>
      </c>
      <c r="L18" s="443" t="s">
        <v>580</v>
      </c>
      <c r="M18" s="167" t="s">
        <v>10902</v>
      </c>
      <c r="N18" s="167" t="s">
        <v>10842</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10903</v>
      </c>
      <c r="AA18" s="457" t="s">
        <v>580</v>
      </c>
      <c r="AB18" s="198" t="str">
        <f>IFERROR(__xludf.DUMMYFUNCTION("GOOGLETRANSLATE(C18,""zh-tw"",""KO"")"),"흰쌀")</f>
        <v>흰쌀</v>
      </c>
      <c r="AC18" s="167" t="s">
        <v>10844</v>
      </c>
      <c r="AD18" s="198"/>
      <c r="AE18" s="461" t="s">
        <v>10904</v>
      </c>
      <c r="AF18" s="456" t="s">
        <v>10714</v>
      </c>
      <c r="AG18" s="460" t="s">
        <v>10763</v>
      </c>
      <c r="AH18" s="460" t="s">
        <v>10846</v>
      </c>
      <c r="AI18" s="462"/>
      <c r="AJ18" s="463" t="s">
        <v>10905</v>
      </c>
      <c r="AK18" s="457" t="s">
        <v>580</v>
      </c>
      <c r="AL18" s="167" t="s">
        <v>10766</v>
      </c>
      <c r="AM18" s="167" t="s">
        <v>10848</v>
      </c>
      <c r="AN18" s="198"/>
      <c r="AO18" s="197" t="s">
        <v>10906</v>
      </c>
      <c r="AP18" s="443" t="s">
        <v>580</v>
      </c>
      <c r="AQ18" s="198" t="s">
        <v>10769</v>
      </c>
      <c r="AR18" s="198" t="s">
        <v>10849</v>
      </c>
      <c r="AS18" s="142"/>
      <c r="AT18" s="149" t="s">
        <v>10907</v>
      </c>
      <c r="AU18" s="443" t="s">
        <v>580</v>
      </c>
      <c r="AV18" s="198" t="s">
        <v>10908</v>
      </c>
      <c r="AW18" s="198" t="s">
        <v>10850</v>
      </c>
      <c r="AX18" s="76"/>
      <c r="AY18" s="149"/>
      <c r="AZ18" s="443"/>
      <c r="BA18" s="198"/>
      <c r="BB18" s="198"/>
      <c r="BC18" s="76"/>
      <c r="BD18" s="76"/>
      <c r="BE18" s="76"/>
      <c r="BF18" s="76"/>
      <c r="BG18" s="76"/>
      <c r="BH18" s="76"/>
    </row>
    <row r="19">
      <c r="A19" s="149" t="s">
        <v>10909</v>
      </c>
      <c r="B19" s="459"/>
      <c r="C19" s="460" t="s">
        <v>10910</v>
      </c>
      <c r="D19" s="142"/>
      <c r="E19" s="142"/>
      <c r="F19" s="149" t="s">
        <v>10911</v>
      </c>
      <c r="G19" s="459"/>
      <c r="H19" s="460" t="s">
        <v>10912</v>
      </c>
      <c r="I19" s="142"/>
      <c r="J19" s="142"/>
      <c r="K19" s="235" t="s">
        <v>10913</v>
      </c>
      <c r="L19" s="459"/>
      <c r="M19" s="167" t="s">
        <v>10914</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10915</v>
      </c>
      <c r="AC19" s="198"/>
      <c r="AD19" s="198"/>
      <c r="AE19" s="461" t="s">
        <v>10745</v>
      </c>
      <c r="AF19" s="222"/>
      <c r="AG19" s="460" t="s">
        <v>10916</v>
      </c>
      <c r="AH19" s="462"/>
      <c r="AI19" s="462"/>
      <c r="AJ19" s="463" t="s">
        <v>10917</v>
      </c>
      <c r="AK19" s="457"/>
      <c r="AL19" s="167" t="s">
        <v>10918</v>
      </c>
      <c r="AM19" s="198"/>
      <c r="AN19" s="198"/>
      <c r="AO19" s="197" t="s">
        <v>10919</v>
      </c>
      <c r="AP19" s="459"/>
      <c r="AQ19" s="198" t="s">
        <v>10920</v>
      </c>
      <c r="AR19" s="142"/>
      <c r="AS19" s="142"/>
      <c r="AT19" s="149" t="s">
        <v>10921</v>
      </c>
      <c r="AU19" s="464"/>
      <c r="AV19" s="198" t="s">
        <v>10922</v>
      </c>
      <c r="AW19" s="76"/>
      <c r="AX19" s="76"/>
      <c r="AY19" s="149"/>
      <c r="AZ19" s="464"/>
      <c r="BA19" s="198"/>
      <c r="BB19" s="76"/>
      <c r="BC19" s="76"/>
      <c r="BD19" s="76"/>
      <c r="BE19" s="76"/>
      <c r="BF19" s="76"/>
      <c r="BG19" s="76"/>
      <c r="BH19" s="76"/>
    </row>
    <row r="20">
      <c r="A20" s="149" t="s">
        <v>10923</v>
      </c>
      <c r="B20" s="459"/>
      <c r="C20" s="460" t="s">
        <v>10739</v>
      </c>
      <c r="D20" s="460" t="s">
        <v>6940</v>
      </c>
      <c r="E20" s="142"/>
      <c r="F20" s="149" t="s">
        <v>10924</v>
      </c>
      <c r="G20" s="459"/>
      <c r="H20" s="460" t="s">
        <v>10741</v>
      </c>
      <c r="I20" s="460" t="s">
        <v>10925</v>
      </c>
      <c r="J20" s="142"/>
      <c r="K20" s="242" t="s">
        <v>10926</v>
      </c>
      <c r="L20" s="459"/>
      <c r="M20" s="167" t="s">
        <v>10743</v>
      </c>
      <c r="N20" s="167" t="s">
        <v>6945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10927</v>
      </c>
      <c r="AA20" s="457"/>
      <c r="AB20" s="167" t="s">
        <v>10744</v>
      </c>
      <c r="AC20" s="167" t="s">
        <v>10928</v>
      </c>
      <c r="AD20" s="198"/>
      <c r="AE20" s="461" t="s">
        <v>10929</v>
      </c>
      <c r="AF20" s="222"/>
      <c r="AG20" s="460" t="s">
        <v>10746</v>
      </c>
      <c r="AH20" s="460" t="s">
        <v>10930</v>
      </c>
      <c r="AI20" s="462"/>
      <c r="AJ20" s="463" t="s">
        <v>10931</v>
      </c>
      <c r="AK20" s="457"/>
      <c r="AL20" s="167" t="s">
        <v>10748</v>
      </c>
      <c r="AM20" s="167" t="s">
        <v>6949</v>
      </c>
      <c r="AN20" s="198"/>
      <c r="AO20" s="197" t="s">
        <v>10932</v>
      </c>
      <c r="AP20" s="459"/>
      <c r="AQ20" s="198" t="s">
        <v>10750</v>
      </c>
      <c r="AR20" s="198" t="s">
        <v>10933</v>
      </c>
      <c r="AS20" s="142"/>
      <c r="AT20" s="149" t="s">
        <v>10934</v>
      </c>
      <c r="AU20" s="464"/>
      <c r="AV20" s="198" t="s">
        <v>10751</v>
      </c>
      <c r="AW20" s="198" t="s">
        <v>10935</v>
      </c>
      <c r="AX20" s="76"/>
      <c r="AY20" s="149"/>
      <c r="AZ20" s="464"/>
      <c r="BA20" s="198"/>
      <c r="BB20" s="198"/>
      <c r="BC20" s="76"/>
      <c r="BD20" s="76"/>
      <c r="BE20" s="76"/>
      <c r="BF20" s="76"/>
      <c r="BG20" s="76"/>
      <c r="BH20" s="76"/>
    </row>
    <row r="21">
      <c r="A21" s="149" t="s">
        <v>10936</v>
      </c>
      <c r="B21" s="459"/>
      <c r="C21" s="460" t="s">
        <v>10739</v>
      </c>
      <c r="D21" s="460" t="s">
        <v>10937</v>
      </c>
      <c r="E21" s="142"/>
      <c r="F21" s="149" t="s">
        <v>10938</v>
      </c>
      <c r="G21" s="459"/>
      <c r="H21" s="460" t="s">
        <v>10741</v>
      </c>
      <c r="I21" s="460" t="s">
        <v>10939</v>
      </c>
      <c r="J21" s="142"/>
      <c r="K21" s="242" t="s">
        <v>10940</v>
      </c>
      <c r="L21" s="459"/>
      <c r="M21" s="167" t="s">
        <v>10743</v>
      </c>
      <c r="N21" s="167" t="s">
        <v>10941</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10744</v>
      </c>
      <c r="AC21" s="198" t="str">
        <f>IFERROR(__xludf.DUMMYFUNCTION("GOOGLETRANSLATE(D21,""zh-tw"",""KO"")"),"쓰레기")</f>
        <v>쓰레기</v>
      </c>
      <c r="AD21" s="198"/>
      <c r="AE21" s="461" t="s">
        <v>10942</v>
      </c>
      <c r="AF21" s="222"/>
      <c r="AG21" s="460" t="s">
        <v>10746</v>
      </c>
      <c r="AH21" s="460" t="s">
        <v>10943</v>
      </c>
      <c r="AI21" s="462"/>
      <c r="AJ21" s="463" t="s">
        <v>10944</v>
      </c>
      <c r="AK21" s="457"/>
      <c r="AL21" s="167" t="s">
        <v>10748</v>
      </c>
      <c r="AM21" s="167" t="s">
        <v>10945</v>
      </c>
      <c r="AN21" s="198"/>
      <c r="AO21" s="197" t="s">
        <v>10946</v>
      </c>
      <c r="AP21" s="459"/>
      <c r="AQ21" s="198" t="s">
        <v>10750</v>
      </c>
      <c r="AR21" s="198" t="s">
        <v>10947</v>
      </c>
      <c r="AS21" s="142"/>
      <c r="AT21" s="149" t="s">
        <v>10948</v>
      </c>
      <c r="AU21" s="464"/>
      <c r="AV21" s="198" t="s">
        <v>10751</v>
      </c>
      <c r="AW21" s="198" t="s">
        <v>10949</v>
      </c>
      <c r="AX21" s="76"/>
      <c r="AY21" s="149"/>
      <c r="AZ21" s="464"/>
      <c r="BA21" s="198"/>
      <c r="BB21" s="198"/>
      <c r="BC21" s="76"/>
      <c r="BD21" s="76"/>
      <c r="BE21" s="76"/>
      <c r="BF21" s="76"/>
      <c r="BG21" s="76"/>
      <c r="BH21" s="76"/>
    </row>
    <row r="22">
      <c r="A22" s="149" t="s">
        <v>10950</v>
      </c>
      <c r="B22" s="459"/>
      <c r="C22" s="460" t="s">
        <v>10910</v>
      </c>
      <c r="D22" s="460" t="s">
        <v>997</v>
      </c>
      <c r="E22" s="142"/>
      <c r="F22" s="149" t="s">
        <v>10951</v>
      </c>
      <c r="G22" s="459"/>
      <c r="H22" s="460" t="s">
        <v>10741</v>
      </c>
      <c r="I22" s="460" t="s">
        <v>1000</v>
      </c>
      <c r="J22" s="142"/>
      <c r="K22" s="242" t="s">
        <v>10952</v>
      </c>
      <c r="L22" s="459"/>
      <c r="M22" s="167" t="s">
        <v>10743</v>
      </c>
      <c r="N22" s="167" t="s">
        <v>10953</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10915</v>
      </c>
      <c r="AC22" s="167" t="s">
        <v>1009</v>
      </c>
      <c r="AD22" s="198"/>
      <c r="AE22" s="461" t="s">
        <v>10954</v>
      </c>
      <c r="AF22" s="222"/>
      <c r="AG22" s="460" t="s">
        <v>10916</v>
      </c>
      <c r="AH22" s="460" t="s">
        <v>1012</v>
      </c>
      <c r="AI22" s="462"/>
      <c r="AJ22" s="463" t="s">
        <v>10955</v>
      </c>
      <c r="AK22" s="457"/>
      <c r="AL22" s="167" t="s">
        <v>10918</v>
      </c>
      <c r="AM22" s="167" t="s">
        <v>10956</v>
      </c>
      <c r="AN22" s="198"/>
      <c r="AO22" s="197" t="s">
        <v>10957</v>
      </c>
      <c r="AP22" s="459"/>
      <c r="AQ22" s="198" t="s">
        <v>10750</v>
      </c>
      <c r="AR22" s="198" t="s">
        <v>10958</v>
      </c>
      <c r="AS22" s="142"/>
      <c r="AT22" s="149" t="s">
        <v>10959</v>
      </c>
      <c r="AU22" s="464"/>
      <c r="AV22" s="198" t="s">
        <v>10751</v>
      </c>
      <c r="AW22" s="198" t="s">
        <v>10960</v>
      </c>
      <c r="AX22" s="76"/>
      <c r="AY22" s="149"/>
      <c r="AZ22" s="464"/>
      <c r="BA22" s="198"/>
      <c r="BB22" s="198"/>
      <c r="BC22" s="76"/>
      <c r="BD22" s="76"/>
      <c r="BE22" s="76"/>
      <c r="BF22" s="76"/>
      <c r="BG22" s="76"/>
      <c r="BH22" s="76"/>
    </row>
    <row r="23">
      <c r="A23" s="149" t="s">
        <v>10961</v>
      </c>
      <c r="B23" s="459"/>
      <c r="C23" s="460" t="s">
        <v>10962</v>
      </c>
      <c r="D23" s="142"/>
      <c r="E23" s="142"/>
      <c r="F23" s="149" t="s">
        <v>10963</v>
      </c>
      <c r="G23" s="459"/>
      <c r="H23" s="460" t="s">
        <v>10964</v>
      </c>
      <c r="I23" s="142"/>
      <c r="J23" s="142"/>
      <c r="K23" s="235" t="s">
        <v>10965</v>
      </c>
      <c r="L23" s="459"/>
      <c r="M23" s="167" t="s">
        <v>10966</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10967</v>
      </c>
      <c r="AF23" s="222"/>
      <c r="AG23" s="460" t="s">
        <v>10968</v>
      </c>
      <c r="AH23" s="462"/>
      <c r="AI23" s="462"/>
      <c r="AJ23" s="463" t="s">
        <v>10969</v>
      </c>
      <c r="AK23" s="457"/>
      <c r="AL23" s="167" t="s">
        <v>10970</v>
      </c>
      <c r="AM23" s="198"/>
      <c r="AN23" s="198"/>
      <c r="AO23" s="197" t="s">
        <v>10971</v>
      </c>
      <c r="AP23" s="459"/>
      <c r="AQ23" s="198" t="s">
        <v>10972</v>
      </c>
      <c r="AR23" s="142"/>
      <c r="AS23" s="142"/>
      <c r="AT23" s="149" t="s">
        <v>10965</v>
      </c>
      <c r="AU23" s="464"/>
      <c r="AV23" s="198" t="s">
        <v>10966</v>
      </c>
      <c r="AW23" s="76"/>
      <c r="AX23" s="76"/>
      <c r="AY23" s="149"/>
      <c r="AZ23" s="464"/>
      <c r="BA23" s="198"/>
      <c r="BB23" s="76"/>
      <c r="BC23" s="76"/>
      <c r="BD23" s="76"/>
      <c r="BE23" s="76"/>
      <c r="BF23" s="76"/>
      <c r="BG23" s="76"/>
      <c r="BH23" s="76"/>
    </row>
    <row r="24">
      <c r="A24" s="149" t="s">
        <v>10973</v>
      </c>
      <c r="B24" s="459"/>
      <c r="C24" s="460" t="s">
        <v>7031</v>
      </c>
      <c r="D24" s="460" t="s">
        <v>7853</v>
      </c>
      <c r="E24" s="460" t="s">
        <v>10974</v>
      </c>
      <c r="F24" s="149" t="s">
        <v>10975</v>
      </c>
      <c r="G24" s="459"/>
      <c r="H24" s="460" t="s">
        <v>10867</v>
      </c>
      <c r="I24" s="460" t="s">
        <v>10976</v>
      </c>
      <c r="J24" s="460" t="s">
        <v>10977</v>
      </c>
      <c r="K24" s="242" t="s">
        <v>10978</v>
      </c>
      <c r="L24" s="459"/>
      <c r="M24" s="167" t="s">
        <v>7036</v>
      </c>
      <c r="N24" s="167" t="s">
        <v>7855</v>
      </c>
      <c r="O24" s="167" t="s">
        <v>10979</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10870</v>
      </c>
      <c r="AC24" s="198" t="str">
        <f>IFERROR(__xludf.DUMMYFUNCTION("GOOGLETRANSLATE(D24,""zh-tw"",""KO"")"),"감자")</f>
        <v>감자</v>
      </c>
      <c r="AD24" s="198" t="str">
        <f>IFERROR(__xludf.DUMMYFUNCTION("GOOGLETRANSLATE(E24,""zh-tw"",""KO"")"),"당근")</f>
        <v>당근</v>
      </c>
      <c r="AE24" s="461" t="s">
        <v>10980</v>
      </c>
      <c r="AF24" s="222"/>
      <c r="AG24" s="460" t="s">
        <v>10981</v>
      </c>
      <c r="AH24" s="460" t="s">
        <v>7858</v>
      </c>
      <c r="AI24" s="460" t="s">
        <v>10982</v>
      </c>
      <c r="AJ24" s="463" t="s">
        <v>10983</v>
      </c>
      <c r="AK24" s="457"/>
      <c r="AL24" s="167" t="s">
        <v>10874</v>
      </c>
      <c r="AM24" s="167" t="s">
        <v>7860</v>
      </c>
      <c r="AN24" s="167" t="s">
        <v>7860</v>
      </c>
      <c r="AO24" s="197" t="s">
        <v>10984</v>
      </c>
      <c r="AP24" s="459"/>
      <c r="AQ24" s="198" t="s">
        <v>7042</v>
      </c>
      <c r="AR24" s="198" t="s">
        <v>7862</v>
      </c>
      <c r="AS24" s="198" t="s">
        <v>10985</v>
      </c>
      <c r="AT24" s="149" t="s">
        <v>10978</v>
      </c>
      <c r="AU24" s="464"/>
      <c r="AV24" s="198" t="s">
        <v>7044</v>
      </c>
      <c r="AW24" s="198" t="s">
        <v>7864</v>
      </c>
      <c r="AX24" s="198" t="s">
        <v>10986</v>
      </c>
      <c r="AY24" s="149"/>
      <c r="AZ24" s="464"/>
      <c r="BA24" s="198"/>
      <c r="BB24" s="198"/>
      <c r="BC24" s="198"/>
      <c r="BD24" s="198"/>
      <c r="BE24" s="198"/>
      <c r="BF24" s="198"/>
      <c r="BG24" s="198"/>
      <c r="BH24" s="198"/>
    </row>
    <row r="25">
      <c r="A25" s="149" t="s">
        <v>10987</v>
      </c>
      <c r="B25" s="459"/>
      <c r="C25" s="460" t="s">
        <v>10988</v>
      </c>
      <c r="D25" s="142"/>
      <c r="E25" s="142"/>
      <c r="F25" s="149" t="s">
        <v>10989</v>
      </c>
      <c r="G25" s="459"/>
      <c r="H25" s="460" t="s">
        <v>10990</v>
      </c>
      <c r="I25" s="142"/>
      <c r="J25" s="142"/>
      <c r="K25" s="242" t="s">
        <v>10991</v>
      </c>
      <c r="L25" s="459"/>
      <c r="M25" s="167" t="s">
        <v>10992</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10993</v>
      </c>
      <c r="AA25" s="457"/>
      <c r="AB25" s="167" t="s">
        <v>10994</v>
      </c>
      <c r="AC25" s="198"/>
      <c r="AD25" s="198"/>
      <c r="AE25" s="461" t="s">
        <v>10995</v>
      </c>
      <c r="AF25" s="222"/>
      <c r="AG25" s="460" t="s">
        <v>10996</v>
      </c>
      <c r="AH25" s="462"/>
      <c r="AI25" s="462"/>
      <c r="AJ25" s="463" t="s">
        <v>10997</v>
      </c>
      <c r="AK25" s="457"/>
      <c r="AL25" s="167" t="s">
        <v>10998</v>
      </c>
      <c r="AM25" s="198"/>
      <c r="AN25" s="198"/>
      <c r="AO25" s="197" t="s">
        <v>10999</v>
      </c>
      <c r="AP25" s="459"/>
      <c r="AQ25" s="198" t="s">
        <v>11000</v>
      </c>
      <c r="AR25" s="142"/>
      <c r="AS25" s="142"/>
      <c r="AT25" s="149" t="s">
        <v>11001</v>
      </c>
      <c r="AU25" s="464"/>
      <c r="AV25" s="198" t="s">
        <v>11002</v>
      </c>
      <c r="AW25" s="76"/>
      <c r="AX25" s="76"/>
      <c r="AY25" s="149"/>
      <c r="AZ25" s="464"/>
      <c r="BA25" s="198"/>
      <c r="BB25" s="76"/>
      <c r="BC25" s="76"/>
      <c r="BD25" s="76"/>
      <c r="BE25" s="76"/>
      <c r="BF25" s="76"/>
      <c r="BG25" s="76"/>
      <c r="BH25" s="76"/>
    </row>
    <row r="26">
      <c r="A26" s="178" t="s">
        <v>11003</v>
      </c>
      <c r="B26" s="459"/>
      <c r="C26" s="460" t="s">
        <v>11004</v>
      </c>
      <c r="D26" s="460" t="s">
        <v>11004</v>
      </c>
      <c r="E26" s="460" t="s">
        <v>11004</v>
      </c>
      <c r="F26" s="149" t="s">
        <v>11005</v>
      </c>
      <c r="G26" s="459"/>
      <c r="H26" s="460" t="s">
        <v>10977</v>
      </c>
      <c r="I26" s="460" t="s">
        <v>10977</v>
      </c>
      <c r="J26" s="460" t="s">
        <v>10977</v>
      </c>
      <c r="K26" s="235" t="s">
        <v>11006</v>
      </c>
      <c r="L26" s="459"/>
      <c r="M26" s="167" t="s">
        <v>10979</v>
      </c>
      <c r="N26" s="167" t="s">
        <v>10979</v>
      </c>
      <c r="O26" s="167" t="s">
        <v>10979</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11007</v>
      </c>
      <c r="AA26" s="457"/>
      <c r="AB26" s="465" t="s">
        <v>11008</v>
      </c>
      <c r="AC26" s="465" t="s">
        <v>11008</v>
      </c>
      <c r="AD26" s="167" t="s">
        <v>11008</v>
      </c>
      <c r="AE26" s="461" t="s">
        <v>11009</v>
      </c>
      <c r="AF26" s="222"/>
      <c r="AG26" s="460" t="s">
        <v>11010</v>
      </c>
      <c r="AH26" s="460" t="s">
        <v>11010</v>
      </c>
      <c r="AI26" s="460" t="s">
        <v>11010</v>
      </c>
      <c r="AJ26" s="463" t="s">
        <v>11011</v>
      </c>
      <c r="AK26" s="457"/>
      <c r="AL26" s="167" t="s">
        <v>11012</v>
      </c>
      <c r="AM26" s="167" t="s">
        <v>11012</v>
      </c>
      <c r="AN26" s="167" t="s">
        <v>11012</v>
      </c>
      <c r="AO26" s="153" t="s">
        <v>11013</v>
      </c>
      <c r="AP26" s="459"/>
      <c r="AQ26" s="198" t="s">
        <v>10985</v>
      </c>
      <c r="AR26" s="198" t="s">
        <v>10985</v>
      </c>
      <c r="AS26" s="198" t="s">
        <v>10985</v>
      </c>
      <c r="AT26" s="149" t="s">
        <v>11014</v>
      </c>
      <c r="AU26" s="464"/>
      <c r="AV26" s="198" t="s">
        <v>10986</v>
      </c>
      <c r="AW26" s="198" t="s">
        <v>10986</v>
      </c>
      <c r="AX26" s="198" t="s">
        <v>10986</v>
      </c>
      <c r="AY26" s="149"/>
      <c r="AZ26" s="464"/>
      <c r="BA26" s="198"/>
      <c r="BB26" s="198"/>
      <c r="BC26" s="198"/>
      <c r="BD26" s="198"/>
      <c r="BE26" s="198"/>
      <c r="BF26" s="198"/>
      <c r="BG26" s="198"/>
      <c r="BH26" s="198"/>
    </row>
    <row r="27">
      <c r="A27" s="149" t="s">
        <v>11015</v>
      </c>
      <c r="B27" s="459"/>
      <c r="C27" s="460" t="s">
        <v>7853</v>
      </c>
      <c r="D27" s="142"/>
      <c r="E27" s="142"/>
      <c r="F27" s="149" t="s">
        <v>11016</v>
      </c>
      <c r="G27" s="459"/>
      <c r="H27" s="460" t="s">
        <v>10976</v>
      </c>
      <c r="I27" s="142"/>
      <c r="J27" s="142"/>
      <c r="K27" s="242" t="s">
        <v>11017</v>
      </c>
      <c r="L27" s="459"/>
      <c r="M27" s="167" t="s">
        <v>7855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11018</v>
      </c>
      <c r="AA27" s="457"/>
      <c r="AB27" s="198" t="str">
        <f>IFERROR(__xludf.DUMMYFUNCTION("GOOGLETRANSLATE(C27,""zh-tw"",""KO"")"),"감자")</f>
        <v>감자</v>
      </c>
      <c r="AC27" s="198"/>
      <c r="AD27" s="198"/>
      <c r="AE27" s="461" t="s">
        <v>11019</v>
      </c>
      <c r="AF27" s="222"/>
      <c r="AG27" s="460" t="s">
        <v>7858</v>
      </c>
      <c r="AH27" s="462"/>
      <c r="AI27" s="462"/>
      <c r="AJ27" s="463" t="s">
        <v>11020</v>
      </c>
      <c r="AK27" s="457"/>
      <c r="AL27" s="167" t="s">
        <v>7860</v>
      </c>
      <c r="AM27" s="198"/>
      <c r="AN27" s="198"/>
      <c r="AO27" s="197" t="s">
        <v>11021</v>
      </c>
      <c r="AP27" s="459"/>
      <c r="AQ27" s="198" t="s">
        <v>7862</v>
      </c>
      <c r="AR27" s="142"/>
      <c r="AS27" s="142"/>
      <c r="AT27" s="149" t="s">
        <v>11022</v>
      </c>
      <c r="AU27" s="464"/>
      <c r="AV27" s="198" t="s">
        <v>7864</v>
      </c>
      <c r="AW27" s="76"/>
      <c r="AX27" s="76"/>
      <c r="AY27" s="149"/>
      <c r="AZ27" s="464"/>
      <c r="BA27" s="198"/>
      <c r="BB27" s="76"/>
      <c r="BC27" s="76"/>
      <c r="BD27" s="76"/>
      <c r="BE27" s="76"/>
      <c r="BF27" s="76"/>
      <c r="BG27" s="76"/>
      <c r="BH27" s="76"/>
    </row>
    <row r="28">
      <c r="A28" s="149" t="s">
        <v>11023</v>
      </c>
      <c r="B28" s="459"/>
      <c r="C28" s="460" t="s">
        <v>10974</v>
      </c>
      <c r="D28" s="460" t="s">
        <v>11024</v>
      </c>
      <c r="E28" s="142"/>
      <c r="F28" s="149" t="s">
        <v>11025</v>
      </c>
      <c r="G28" s="459"/>
      <c r="H28" s="460" t="s">
        <v>10977</v>
      </c>
      <c r="I28" s="460" t="s">
        <v>11026</v>
      </c>
      <c r="J28" s="142"/>
      <c r="K28" s="242" t="s">
        <v>11027</v>
      </c>
      <c r="L28" s="459"/>
      <c r="M28" s="167" t="s">
        <v>10979</v>
      </c>
      <c r="N28" s="167" t="s">
        <v>10826</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11028</v>
      </c>
      <c r="AA28" s="457"/>
      <c r="AB28" s="198" t="str">
        <f>IFERROR(__xludf.DUMMYFUNCTION("GOOGLETRANSLATE(C28,""zh-tw"",""KO"")"),"당근")</f>
        <v>당근</v>
      </c>
      <c r="AC28" s="198" t="str">
        <f>IFERROR(__xludf.DUMMYFUNCTION("GOOGLETRANSLATE(D28,""zh-tw"",""KO"")"),"버섯")</f>
        <v>버섯</v>
      </c>
      <c r="AD28" s="198"/>
      <c r="AE28" s="461" t="s">
        <v>11029</v>
      </c>
      <c r="AF28" s="222"/>
      <c r="AG28" s="460" t="s">
        <v>10982</v>
      </c>
      <c r="AH28" s="460" t="s">
        <v>7702</v>
      </c>
      <c r="AI28" s="462"/>
      <c r="AJ28" s="463" t="s">
        <v>11030</v>
      </c>
      <c r="AK28" s="457"/>
      <c r="AL28" s="167" t="s">
        <v>11031</v>
      </c>
      <c r="AM28" s="198" t="str">
        <f>IFERROR(__xludf.DUMMYFUNCTION("GOOGLETRANSLATE(D28,""zh-tw"",""de"")"),"Pilze")</f>
        <v>Pilze</v>
      </c>
      <c r="AN28" s="198"/>
      <c r="AO28" s="197" t="s">
        <v>11032</v>
      </c>
      <c r="AP28" s="459"/>
      <c r="AQ28" s="198" t="s">
        <v>10985</v>
      </c>
      <c r="AR28" s="198" t="s">
        <v>10833</v>
      </c>
      <c r="AS28" s="142"/>
      <c r="AT28" s="149" t="s">
        <v>11033</v>
      </c>
      <c r="AU28" s="464"/>
      <c r="AV28" s="198" t="s">
        <v>10986</v>
      </c>
      <c r="AW28" s="198" t="s">
        <v>10835</v>
      </c>
      <c r="AX28" s="76"/>
      <c r="AY28" s="149"/>
      <c r="AZ28" s="464"/>
      <c r="BA28" s="198"/>
      <c r="BB28" s="198"/>
      <c r="BC28" s="76"/>
      <c r="BD28" s="76"/>
      <c r="BE28" s="76"/>
      <c r="BF28" s="76"/>
      <c r="BG28" s="76"/>
      <c r="BH28" s="76"/>
    </row>
    <row r="29">
      <c r="A29" s="149" t="s">
        <v>11034</v>
      </c>
      <c r="B29" s="459"/>
      <c r="C29" s="460" t="s">
        <v>11035</v>
      </c>
      <c r="D29" s="142"/>
      <c r="E29" s="142"/>
      <c r="F29" s="149" t="s">
        <v>11036</v>
      </c>
      <c r="G29" s="459"/>
      <c r="H29" s="460" t="s">
        <v>11037</v>
      </c>
      <c r="I29" s="142"/>
      <c r="J29" s="142"/>
      <c r="K29" s="242" t="s">
        <v>11038</v>
      </c>
      <c r="L29" s="459"/>
      <c r="M29" s="167" t="s">
        <v>11039</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10764</v>
      </c>
      <c r="AF29" s="222"/>
      <c r="AG29" s="460" t="s">
        <v>10764</v>
      </c>
      <c r="AH29" s="462"/>
      <c r="AI29" s="462"/>
      <c r="AJ29" s="463" t="s">
        <v>11040</v>
      </c>
      <c r="AK29" s="457"/>
      <c r="AL29" s="167" t="s">
        <v>11039</v>
      </c>
      <c r="AM29" s="198"/>
      <c r="AN29" s="198"/>
      <c r="AO29" s="197" t="s">
        <v>11038</v>
      </c>
      <c r="AP29" s="459"/>
      <c r="AQ29" s="198" t="s">
        <v>11041</v>
      </c>
      <c r="AR29" s="142"/>
      <c r="AS29" s="142"/>
      <c r="AT29" s="149" t="s">
        <v>11042</v>
      </c>
      <c r="AU29" s="464"/>
      <c r="AV29" s="198" t="s">
        <v>11043</v>
      </c>
      <c r="AW29" s="76"/>
      <c r="AX29" s="76"/>
      <c r="AY29" s="149"/>
      <c r="AZ29" s="464"/>
      <c r="BA29" s="198"/>
      <c r="BB29" s="76"/>
      <c r="BC29" s="76"/>
      <c r="BD29" s="76"/>
      <c r="BE29" s="76"/>
      <c r="BF29" s="76"/>
      <c r="BG29" s="76"/>
      <c r="BH29" s="76"/>
    </row>
    <row r="30">
      <c r="A30" s="149" t="s">
        <v>11044</v>
      </c>
      <c r="B30" s="459"/>
      <c r="C30" s="460" t="s">
        <v>11035</v>
      </c>
      <c r="D30" s="460" t="s">
        <v>11045</v>
      </c>
      <c r="E30" s="142"/>
      <c r="F30" s="149" t="s">
        <v>11046</v>
      </c>
      <c r="G30" s="459"/>
      <c r="H30" s="460" t="s">
        <v>11037</v>
      </c>
      <c r="I30" s="460" t="s">
        <v>11047</v>
      </c>
      <c r="J30" s="142"/>
      <c r="K30" s="242" t="s">
        <v>11048</v>
      </c>
      <c r="L30" s="459"/>
      <c r="M30" s="167" t="s">
        <v>11039</v>
      </c>
      <c r="N30" s="167" t="s">
        <v>11049</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11050</v>
      </c>
      <c r="AF30" s="222"/>
      <c r="AG30" s="460" t="s">
        <v>10764</v>
      </c>
      <c r="AH30" s="460" t="s">
        <v>11051</v>
      </c>
      <c r="AI30" s="462"/>
      <c r="AJ30" s="463" t="s">
        <v>11052</v>
      </c>
      <c r="AK30" s="457"/>
      <c r="AL30" s="167" t="s">
        <v>11039</v>
      </c>
      <c r="AM30" s="167" t="s">
        <v>11053</v>
      </c>
      <c r="AN30" s="198"/>
      <c r="AO30" s="197" t="s">
        <v>11054</v>
      </c>
      <c r="AP30" s="459"/>
      <c r="AQ30" s="198" t="s">
        <v>11041</v>
      </c>
      <c r="AR30" s="198" t="s">
        <v>11055</v>
      </c>
      <c r="AS30" s="142"/>
      <c r="AT30" s="149" t="s">
        <v>11056</v>
      </c>
      <c r="AU30" s="464"/>
      <c r="AV30" s="198" t="s">
        <v>11043</v>
      </c>
      <c r="AW30" s="198" t="s">
        <v>11057</v>
      </c>
      <c r="AX30" s="76"/>
      <c r="AY30" s="149"/>
      <c r="AZ30" s="464"/>
      <c r="BA30" s="198"/>
      <c r="BB30" s="198"/>
      <c r="BC30" s="76"/>
      <c r="BD30" s="76"/>
      <c r="BE30" s="76"/>
      <c r="BF30" s="76"/>
      <c r="BG30" s="76"/>
      <c r="BH30" s="76"/>
    </row>
    <row r="31">
      <c r="A31" s="149" t="s">
        <v>11058</v>
      </c>
      <c r="B31" s="459"/>
      <c r="C31" s="460" t="s">
        <v>11035</v>
      </c>
      <c r="D31" s="460" t="s">
        <v>11059</v>
      </c>
      <c r="E31" s="142"/>
      <c r="F31" s="149" t="s">
        <v>11060</v>
      </c>
      <c r="G31" s="459"/>
      <c r="H31" s="460" t="s">
        <v>11037</v>
      </c>
      <c r="I31" s="460" t="s">
        <v>11061</v>
      </c>
      <c r="J31" s="142"/>
      <c r="K31" s="242" t="s">
        <v>11062</v>
      </c>
      <c r="L31" s="459"/>
      <c r="M31" s="167" t="s">
        <v>11039</v>
      </c>
      <c r="N31" s="167" t="s">
        <v>11063</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11064</v>
      </c>
      <c r="AD31" s="198"/>
      <c r="AE31" s="461" t="s">
        <v>11065</v>
      </c>
      <c r="AF31" s="222"/>
      <c r="AG31" s="460" t="s">
        <v>10764</v>
      </c>
      <c r="AH31" s="460" t="s">
        <v>11066</v>
      </c>
      <c r="AI31" s="462"/>
      <c r="AJ31" s="463" t="s">
        <v>11067</v>
      </c>
      <c r="AK31" s="457"/>
      <c r="AL31" s="167" t="s">
        <v>11039</v>
      </c>
      <c r="AM31" s="167" t="s">
        <v>11068</v>
      </c>
      <c r="AN31" s="198"/>
      <c r="AO31" s="197" t="s">
        <v>11069</v>
      </c>
      <c r="AP31" s="459"/>
      <c r="AQ31" s="198" t="s">
        <v>11041</v>
      </c>
      <c r="AR31" s="198" t="s">
        <v>11070</v>
      </c>
      <c r="AS31" s="142"/>
      <c r="AT31" s="149" t="s">
        <v>11071</v>
      </c>
      <c r="AU31" s="464"/>
      <c r="AV31" s="198" t="s">
        <v>11043</v>
      </c>
      <c r="AW31" s="198" t="s">
        <v>11072</v>
      </c>
      <c r="AX31" s="76"/>
      <c r="AY31" s="149"/>
      <c r="AZ31" s="464"/>
      <c r="BA31" s="198"/>
      <c r="BB31" s="198"/>
      <c r="BC31" s="76"/>
      <c r="BD31" s="76"/>
      <c r="BE31" s="76"/>
      <c r="BF31" s="76"/>
      <c r="BG31" s="76"/>
      <c r="BH31" s="76"/>
    </row>
    <row r="32">
      <c r="A32" s="149" t="s">
        <v>11073</v>
      </c>
      <c r="B32" s="459"/>
      <c r="C32" s="460" t="s">
        <v>10753</v>
      </c>
      <c r="D32" s="460" t="s">
        <v>10754</v>
      </c>
      <c r="E32" s="460" t="s">
        <v>7664</v>
      </c>
      <c r="F32" s="149" t="s">
        <v>11074</v>
      </c>
      <c r="G32" s="459"/>
      <c r="H32" s="460" t="s">
        <v>10756</v>
      </c>
      <c r="I32" s="460" t="s">
        <v>10757</v>
      </c>
      <c r="J32" s="460" t="s">
        <v>11075</v>
      </c>
      <c r="K32" s="235" t="s">
        <v>11076</v>
      </c>
      <c r="L32" s="459"/>
      <c r="M32" s="167" t="s">
        <v>10759</v>
      </c>
      <c r="N32" s="167" t="s">
        <v>10760</v>
      </c>
      <c r="O32" s="167" t="s">
        <v>7668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10761</v>
      </c>
      <c r="AD32" s="167" t="s">
        <v>7671</v>
      </c>
      <c r="AE32" s="461" t="s">
        <v>11077</v>
      </c>
      <c r="AF32" s="222"/>
      <c r="AG32" s="460" t="s">
        <v>10763</v>
      </c>
      <c r="AH32" s="460" t="s">
        <v>10764</v>
      </c>
      <c r="AI32" s="460" t="s">
        <v>7673</v>
      </c>
      <c r="AJ32" s="463" t="s">
        <v>11078</v>
      </c>
      <c r="AK32" s="457"/>
      <c r="AL32" s="167" t="s">
        <v>10766</v>
      </c>
      <c r="AM32" s="167" t="s">
        <v>10767</v>
      </c>
      <c r="AN32" s="167" t="s">
        <v>11079</v>
      </c>
      <c r="AO32" s="197" t="s">
        <v>11080</v>
      </c>
      <c r="AP32" s="459"/>
      <c r="AQ32" s="198" t="s">
        <v>10769</v>
      </c>
      <c r="AR32" s="198" t="s">
        <v>10770</v>
      </c>
      <c r="AS32" s="198" t="s">
        <v>7679</v>
      </c>
      <c r="AT32" s="149" t="s">
        <v>11081</v>
      </c>
      <c r="AU32" s="464"/>
      <c r="AV32" s="198" t="s">
        <v>10772</v>
      </c>
      <c r="AW32" s="167" t="s">
        <v>10773</v>
      </c>
      <c r="AX32" s="198" t="s">
        <v>7682</v>
      </c>
      <c r="AY32" s="149"/>
      <c r="AZ32" s="464"/>
      <c r="BA32" s="198"/>
      <c r="BB32" s="167"/>
      <c r="BC32" s="198"/>
      <c r="BD32" s="198"/>
      <c r="BE32" s="198"/>
      <c r="BF32" s="198"/>
      <c r="BG32" s="198"/>
      <c r="BH32" s="198"/>
    </row>
    <row r="33">
      <c r="A33" s="149" t="s">
        <v>11082</v>
      </c>
      <c r="B33" s="459"/>
      <c r="C33" s="460" t="s">
        <v>10753</v>
      </c>
      <c r="D33" s="460" t="s">
        <v>7664</v>
      </c>
      <c r="E33" s="142"/>
      <c r="F33" s="149" t="s">
        <v>11083</v>
      </c>
      <c r="G33" s="459"/>
      <c r="H33" s="460" t="s">
        <v>10756</v>
      </c>
      <c r="I33" s="460" t="s">
        <v>11075</v>
      </c>
      <c r="J33" s="142"/>
      <c r="K33" s="242" t="s">
        <v>11084</v>
      </c>
      <c r="L33" s="459"/>
      <c r="M33" s="167" t="s">
        <v>10759</v>
      </c>
      <c r="N33" s="167" t="s">
        <v>11085</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11086</v>
      </c>
      <c r="AA33" s="457"/>
      <c r="AB33" s="198" t="str">
        <f>IFERROR(__xludf.DUMMYFUNCTION("GOOGLETRANSLATE(C33,""zh-tw"",""KO"")"),"흰쌀")</f>
        <v>흰쌀</v>
      </c>
      <c r="AC33" s="202" t="s">
        <v>7671</v>
      </c>
      <c r="AD33" s="198"/>
      <c r="AE33" s="461" t="s">
        <v>11087</v>
      </c>
      <c r="AF33" s="222"/>
      <c r="AG33" s="460" t="s">
        <v>10763</v>
      </c>
      <c r="AH33" s="460" t="s">
        <v>7673</v>
      </c>
      <c r="AI33" s="462"/>
      <c r="AJ33" s="463" t="s">
        <v>11088</v>
      </c>
      <c r="AK33" s="457"/>
      <c r="AL33" s="167" t="s">
        <v>10766</v>
      </c>
      <c r="AM33" s="167" t="s">
        <v>11079</v>
      </c>
      <c r="AN33" s="198"/>
      <c r="AO33" s="197" t="s">
        <v>11084</v>
      </c>
      <c r="AP33" s="459"/>
      <c r="AQ33" s="198" t="s">
        <v>10769</v>
      </c>
      <c r="AR33" s="198" t="s">
        <v>7679</v>
      </c>
      <c r="AS33" s="142"/>
      <c r="AT33" s="149" t="s">
        <v>11084</v>
      </c>
      <c r="AU33" s="464"/>
      <c r="AV33" s="198" t="s">
        <v>10772</v>
      </c>
      <c r="AW33" s="198" t="s">
        <v>7682</v>
      </c>
      <c r="AX33" s="76"/>
      <c r="AY33" s="149"/>
      <c r="AZ33" s="464"/>
      <c r="BA33" s="198"/>
      <c r="BB33" s="198"/>
      <c r="BC33" s="76"/>
      <c r="BD33" s="76"/>
      <c r="BE33" s="76"/>
      <c r="BF33" s="76"/>
      <c r="BG33" s="76"/>
      <c r="BH33" s="76"/>
    </row>
    <row r="34">
      <c r="A34" s="149" t="s">
        <v>11089</v>
      </c>
      <c r="B34" s="459"/>
      <c r="C34" s="460" t="s">
        <v>10753</v>
      </c>
      <c r="D34" s="460" t="s">
        <v>7664</v>
      </c>
      <c r="E34" s="460" t="s">
        <v>7868</v>
      </c>
      <c r="F34" s="149" t="s">
        <v>11090</v>
      </c>
      <c r="G34" s="459"/>
      <c r="H34" s="460" t="s">
        <v>10756</v>
      </c>
      <c r="I34" s="460" t="s">
        <v>11075</v>
      </c>
      <c r="J34" s="460" t="s">
        <v>11091</v>
      </c>
      <c r="K34" s="242" t="s">
        <v>11092</v>
      </c>
      <c r="L34" s="459"/>
      <c r="M34" s="167" t="s">
        <v>10759</v>
      </c>
      <c r="N34" s="167" t="s">
        <v>11085</v>
      </c>
      <c r="O34" s="167" t="s">
        <v>7870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11093</v>
      </c>
      <c r="AA34" s="457"/>
      <c r="AB34" s="198" t="str">
        <f>IFERROR(__xludf.DUMMYFUNCTION("GOOGLETRANSLATE(C34,""zh-tw"",""KO"")"),"흰쌀")</f>
        <v>흰쌀</v>
      </c>
      <c r="AC34" s="202" t="s">
        <v>7671</v>
      </c>
      <c r="AD34" s="198" t="str">
        <f>IFERROR(__xludf.DUMMYFUNCTION("GOOGLETRANSLATE(E34,""zh-tw"",""KO"")"),"토마토")</f>
        <v>토마토</v>
      </c>
      <c r="AE34" s="461" t="s">
        <v>11094</v>
      </c>
      <c r="AF34" s="222"/>
      <c r="AG34" s="460" t="s">
        <v>10763</v>
      </c>
      <c r="AH34" s="460" t="s">
        <v>7673</v>
      </c>
      <c r="AI34" s="460" t="s">
        <v>7872</v>
      </c>
      <c r="AJ34" s="463" t="s">
        <v>11095</v>
      </c>
      <c r="AK34" s="457"/>
      <c r="AL34" s="167" t="s">
        <v>10766</v>
      </c>
      <c r="AM34" s="167" t="s">
        <v>11079</v>
      </c>
      <c r="AN34" s="167" t="s">
        <v>7878</v>
      </c>
      <c r="AO34" s="197" t="s">
        <v>11096</v>
      </c>
      <c r="AP34" s="459"/>
      <c r="AQ34" s="198" t="s">
        <v>10769</v>
      </c>
      <c r="AR34" s="198" t="s">
        <v>7679</v>
      </c>
      <c r="AS34" s="198" t="s">
        <v>7876</v>
      </c>
      <c r="AT34" s="149" t="s">
        <v>11097</v>
      </c>
      <c r="AU34" s="464"/>
      <c r="AV34" s="198" t="s">
        <v>10772</v>
      </c>
      <c r="AW34" s="198" t="s">
        <v>7682</v>
      </c>
      <c r="AX34" s="198" t="s">
        <v>7870</v>
      </c>
      <c r="AY34" s="149"/>
      <c r="AZ34" s="464"/>
      <c r="BA34" s="198"/>
      <c r="BB34" s="198"/>
      <c r="BC34" s="198"/>
      <c r="BD34" s="198"/>
      <c r="BE34" s="198"/>
      <c r="BF34" s="198"/>
      <c r="BG34" s="198"/>
      <c r="BH34" s="198"/>
    </row>
    <row r="35">
      <c r="A35" s="149" t="s">
        <v>11098</v>
      </c>
      <c r="B35" s="459"/>
      <c r="C35" s="460" t="s">
        <v>10753</v>
      </c>
      <c r="D35" s="460" t="s">
        <v>11099</v>
      </c>
      <c r="E35" s="142"/>
      <c r="F35" s="149" t="s">
        <v>11100</v>
      </c>
      <c r="G35" s="459"/>
      <c r="H35" s="460" t="s">
        <v>10756</v>
      </c>
      <c r="I35" s="460" t="s">
        <v>11101</v>
      </c>
      <c r="J35" s="142"/>
      <c r="K35" s="242" t="s">
        <v>11102</v>
      </c>
      <c r="L35" s="459"/>
      <c r="M35" s="167" t="s">
        <v>10759</v>
      </c>
      <c r="N35" s="167" t="s">
        <v>11063</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11103</v>
      </c>
      <c r="AD35" s="198"/>
      <c r="AE35" s="461" t="s">
        <v>11104</v>
      </c>
      <c r="AF35" s="222"/>
      <c r="AG35" s="460" t="s">
        <v>10763</v>
      </c>
      <c r="AH35" s="460" t="s">
        <v>11105</v>
      </c>
      <c r="AI35" s="462"/>
      <c r="AJ35" s="463" t="s">
        <v>11106</v>
      </c>
      <c r="AK35" s="457"/>
      <c r="AL35" s="167" t="s">
        <v>10766</v>
      </c>
      <c r="AM35" s="167" t="s">
        <v>11107</v>
      </c>
      <c r="AN35" s="198"/>
      <c r="AO35" s="197" t="s">
        <v>11108</v>
      </c>
      <c r="AP35" s="459"/>
      <c r="AQ35" s="198" t="s">
        <v>10769</v>
      </c>
      <c r="AR35" s="198" t="s">
        <v>11070</v>
      </c>
      <c r="AS35" s="142"/>
      <c r="AT35" s="149" t="s">
        <v>11109</v>
      </c>
      <c r="AU35" s="464"/>
      <c r="AV35" s="198" t="s">
        <v>10772</v>
      </c>
      <c r="AW35" s="198" t="s">
        <v>11072</v>
      </c>
      <c r="AX35" s="76"/>
      <c r="AY35" s="149"/>
      <c r="AZ35" s="464"/>
      <c r="BA35" s="198"/>
      <c r="BB35" s="198"/>
      <c r="BC35" s="76"/>
      <c r="BD35" s="76"/>
      <c r="BE35" s="76"/>
      <c r="BF35" s="76"/>
      <c r="BG35" s="76"/>
      <c r="BH35" s="76"/>
    </row>
    <row r="36">
      <c r="A36" s="149" t="s">
        <v>11110</v>
      </c>
      <c r="B36" s="459"/>
      <c r="C36" s="460" t="s">
        <v>11111</v>
      </c>
      <c r="D36" s="142"/>
      <c r="E36" s="142"/>
      <c r="F36" s="149" t="s">
        <v>11112</v>
      </c>
      <c r="G36" s="459"/>
      <c r="H36" s="460" t="s">
        <v>11113</v>
      </c>
      <c r="I36" s="142"/>
      <c r="J36" s="142"/>
      <c r="K36" s="235" t="s">
        <v>11114</v>
      </c>
      <c r="L36" s="459"/>
      <c r="M36" s="167" t="s">
        <v>11115</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11116</v>
      </c>
      <c r="AA36" s="457"/>
      <c r="AB36" s="198" t="str">
        <f>IFERROR(__xludf.DUMMYFUNCTION("GOOGLETRANSLATE(C36,""zh-tw"",""KO"")"),"파인애플")</f>
        <v>파인애플</v>
      </c>
      <c r="AC36" s="198"/>
      <c r="AD36" s="198"/>
      <c r="AE36" s="461" t="s">
        <v>11117</v>
      </c>
      <c r="AF36" s="222"/>
      <c r="AG36" s="460" t="s">
        <v>11118</v>
      </c>
      <c r="AH36" s="462"/>
      <c r="AI36" s="462"/>
      <c r="AJ36" s="463" t="s">
        <v>11119</v>
      </c>
      <c r="AK36" s="457"/>
      <c r="AL36" s="167" t="s">
        <v>11120</v>
      </c>
      <c r="AM36" s="198"/>
      <c r="AN36" s="198"/>
      <c r="AO36" s="197" t="s">
        <v>11121</v>
      </c>
      <c r="AP36" s="459"/>
      <c r="AQ36" s="198" t="s">
        <v>11122</v>
      </c>
      <c r="AR36" s="142"/>
      <c r="AS36" s="142"/>
      <c r="AT36" s="149" t="s">
        <v>11123</v>
      </c>
      <c r="AU36" s="464"/>
      <c r="AV36" s="198" t="s">
        <v>11124</v>
      </c>
      <c r="AW36" s="76"/>
      <c r="AX36" s="76"/>
      <c r="AY36" s="149"/>
      <c r="AZ36" s="464"/>
      <c r="BA36" s="198"/>
      <c r="BB36" s="76"/>
      <c r="BC36" s="76"/>
      <c r="BD36" s="76"/>
      <c r="BE36" s="76"/>
      <c r="BF36" s="76"/>
      <c r="BG36" s="76"/>
      <c r="BH36" s="76"/>
    </row>
    <row r="37">
      <c r="A37" s="178" t="s">
        <v>11125</v>
      </c>
      <c r="B37" s="459"/>
      <c r="C37" s="460" t="s">
        <v>11004</v>
      </c>
      <c r="D37" s="460" t="s">
        <v>11004</v>
      </c>
      <c r="E37" s="142"/>
      <c r="F37" s="149" t="s">
        <v>11126</v>
      </c>
      <c r="G37" s="459"/>
      <c r="H37" s="460" t="s">
        <v>11127</v>
      </c>
      <c r="I37" s="460" t="s">
        <v>11127</v>
      </c>
      <c r="J37" s="142"/>
      <c r="K37" s="242" t="s">
        <v>11128</v>
      </c>
      <c r="L37" s="459"/>
      <c r="M37" s="167" t="s">
        <v>11129</v>
      </c>
      <c r="N37" s="167" t="s">
        <v>11129</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11130</v>
      </c>
      <c r="AA37" s="457"/>
      <c r="AB37" s="198" t="str">
        <f>IFERROR(__xludf.DUMMYFUNCTION("GOOGLETRANSLATE(C37,""zh-tw"",""KO"")"),"채소")</f>
        <v>채소</v>
      </c>
      <c r="AC37" s="198" t="str">
        <f>IFERROR(__xludf.DUMMYFUNCTION("GOOGLETRANSLATE(D37,""zh-tw"",""KO"")"),"채소")</f>
        <v>채소</v>
      </c>
      <c r="AD37" s="198"/>
      <c r="AE37" s="461" t="s">
        <v>11131</v>
      </c>
      <c r="AF37" s="222"/>
      <c r="AG37" s="460" t="s">
        <v>11010</v>
      </c>
      <c r="AH37" s="460" t="s">
        <v>11010</v>
      </c>
      <c r="AI37" s="462"/>
      <c r="AJ37" s="463" t="s">
        <v>11132</v>
      </c>
      <c r="AK37" s="457"/>
      <c r="AL37" s="167" t="s">
        <v>11012</v>
      </c>
      <c r="AM37" s="167" t="s">
        <v>11012</v>
      </c>
      <c r="AN37" s="198"/>
      <c r="AO37" s="153" t="s">
        <v>11133</v>
      </c>
      <c r="AP37" s="459"/>
      <c r="AQ37" s="198" t="s">
        <v>11134</v>
      </c>
      <c r="AR37" s="198" t="s">
        <v>11134</v>
      </c>
      <c r="AS37" s="142"/>
      <c r="AT37" s="149" t="s">
        <v>11135</v>
      </c>
      <c r="AU37" s="464"/>
      <c r="AV37" s="198" t="s">
        <v>11136</v>
      </c>
      <c r="AW37" s="198" t="s">
        <v>11136</v>
      </c>
      <c r="AX37" s="76"/>
      <c r="AY37" s="149"/>
      <c r="AZ37" s="464"/>
      <c r="BA37" s="198"/>
      <c r="BB37" s="198"/>
      <c r="BC37" s="76"/>
      <c r="BD37" s="76"/>
      <c r="BE37" s="76"/>
      <c r="BF37" s="76"/>
      <c r="BG37" s="76"/>
      <c r="BH37" s="76"/>
    </row>
    <row r="38">
      <c r="A38" s="149" t="s">
        <v>11137</v>
      </c>
      <c r="B38" s="443" t="s">
        <v>580</v>
      </c>
      <c r="C38" s="460" t="s">
        <v>11138</v>
      </c>
      <c r="D38" s="460" t="s">
        <v>11138</v>
      </c>
      <c r="E38" s="460" t="s">
        <v>10775</v>
      </c>
      <c r="F38" s="149" t="s">
        <v>11139</v>
      </c>
      <c r="G38" s="443" t="s">
        <v>580</v>
      </c>
      <c r="H38" s="460" t="s">
        <v>11140</v>
      </c>
      <c r="I38" s="460" t="s">
        <v>11140</v>
      </c>
      <c r="J38" s="460" t="s">
        <v>10777</v>
      </c>
      <c r="K38" s="235" t="s">
        <v>11141</v>
      </c>
      <c r="L38" s="443" t="s">
        <v>580</v>
      </c>
      <c r="M38" s="167" t="s">
        <v>11142</v>
      </c>
      <c r="N38" s="167" t="s">
        <v>11142</v>
      </c>
      <c r="O38" s="167" t="s">
        <v>10779</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11143</v>
      </c>
      <c r="AA38" s="457" t="s">
        <v>580</v>
      </c>
      <c r="AB38" s="167" t="s">
        <v>11144</v>
      </c>
      <c r="AC38" s="167" t="s">
        <v>11144</v>
      </c>
      <c r="AD38" s="198" t="str">
        <f>IFERROR(__xludf.DUMMYFUNCTION("GOOGLETRANSLATE(E38,""zh-tw"",""KO"")"),"밀가루")</f>
        <v>밀가루</v>
      </c>
      <c r="AE38" s="461" t="s">
        <v>11145</v>
      </c>
      <c r="AF38" s="456" t="s">
        <v>10714</v>
      </c>
      <c r="AG38" s="460" t="s">
        <v>11146</v>
      </c>
      <c r="AH38" s="460" t="s">
        <v>11146</v>
      </c>
      <c r="AI38" s="460" t="s">
        <v>10781</v>
      </c>
      <c r="AJ38" s="463" t="s">
        <v>11147</v>
      </c>
      <c r="AK38" s="457" t="s">
        <v>580</v>
      </c>
      <c r="AL38" s="167" t="s">
        <v>11148</v>
      </c>
      <c r="AM38" s="167" t="s">
        <v>11148</v>
      </c>
      <c r="AN38" s="167" t="s">
        <v>10783</v>
      </c>
      <c r="AO38" s="197" t="s">
        <v>11149</v>
      </c>
      <c r="AP38" s="443" t="s">
        <v>580</v>
      </c>
      <c r="AQ38" s="198" t="s">
        <v>11150</v>
      </c>
      <c r="AR38" s="198" t="s">
        <v>11150</v>
      </c>
      <c r="AS38" s="198" t="s">
        <v>10785</v>
      </c>
      <c r="AT38" s="149" t="s">
        <v>11151</v>
      </c>
      <c r="AU38" s="443" t="s">
        <v>580</v>
      </c>
      <c r="AV38" s="198" t="s">
        <v>11152</v>
      </c>
      <c r="AW38" s="198" t="s">
        <v>11152</v>
      </c>
      <c r="AX38" s="198" t="s">
        <v>10787</v>
      </c>
      <c r="AY38" s="149"/>
      <c r="AZ38" s="443"/>
      <c r="BA38" s="198"/>
      <c r="BB38" s="198"/>
      <c r="BC38" s="198"/>
      <c r="BD38" s="198"/>
      <c r="BE38" s="198"/>
      <c r="BF38" s="198"/>
      <c r="BG38" s="198"/>
      <c r="BH38" s="198"/>
    </row>
    <row r="39">
      <c r="A39" s="178" t="s">
        <v>11153</v>
      </c>
      <c r="B39" s="443" t="s">
        <v>580</v>
      </c>
      <c r="C39" s="460" t="s">
        <v>11138</v>
      </c>
      <c r="D39" s="142"/>
      <c r="E39" s="142"/>
      <c r="F39" s="149" t="s">
        <v>11154</v>
      </c>
      <c r="G39" s="443" t="s">
        <v>580</v>
      </c>
      <c r="H39" s="460" t="s">
        <v>11140</v>
      </c>
      <c r="I39" s="142"/>
      <c r="J39" s="142"/>
      <c r="K39" s="242" t="s">
        <v>11155</v>
      </c>
      <c r="L39" s="443" t="s">
        <v>580</v>
      </c>
      <c r="M39" s="167" t="s">
        <v>11142</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11144</v>
      </c>
      <c r="AC39" s="198"/>
      <c r="AD39" s="198"/>
      <c r="AE39" s="461" t="s">
        <v>11156</v>
      </c>
      <c r="AF39" s="456" t="s">
        <v>10714</v>
      </c>
      <c r="AG39" s="460" t="s">
        <v>11146</v>
      </c>
      <c r="AH39" s="462"/>
      <c r="AI39" s="462"/>
      <c r="AJ39" s="463" t="s">
        <v>11157</v>
      </c>
      <c r="AK39" s="457" t="s">
        <v>580</v>
      </c>
      <c r="AL39" s="167" t="s">
        <v>11148</v>
      </c>
      <c r="AM39" s="198"/>
      <c r="AN39" s="198"/>
      <c r="AO39" s="153" t="s">
        <v>11158</v>
      </c>
      <c r="AP39" s="443" t="s">
        <v>580</v>
      </c>
      <c r="AQ39" s="198" t="s">
        <v>11150</v>
      </c>
      <c r="AR39" s="142"/>
      <c r="AS39" s="142"/>
      <c r="AT39" s="149" t="s">
        <v>11159</v>
      </c>
      <c r="AU39" s="443" t="s">
        <v>580</v>
      </c>
      <c r="AV39" s="198" t="s">
        <v>11152</v>
      </c>
      <c r="AW39" s="76"/>
      <c r="AX39" s="76"/>
      <c r="AY39" s="149"/>
      <c r="AZ39" s="443"/>
      <c r="BA39" s="198"/>
      <c r="BB39" s="76"/>
      <c r="BC39" s="76"/>
      <c r="BD39" s="76"/>
      <c r="BE39" s="76"/>
      <c r="BF39" s="76"/>
      <c r="BG39" s="76"/>
      <c r="BH39" s="76"/>
    </row>
    <row r="40">
      <c r="A40" s="149" t="s">
        <v>11160</v>
      </c>
      <c r="B40" s="443" t="s">
        <v>580</v>
      </c>
      <c r="C40" s="460" t="s">
        <v>10753</v>
      </c>
      <c r="D40" s="460" t="s">
        <v>11138</v>
      </c>
      <c r="E40" s="142"/>
      <c r="F40" s="149" t="s">
        <v>11161</v>
      </c>
      <c r="G40" s="443" t="s">
        <v>580</v>
      </c>
      <c r="H40" s="460" t="s">
        <v>10756</v>
      </c>
      <c r="I40" s="460" t="s">
        <v>11140</v>
      </c>
      <c r="J40" s="142"/>
      <c r="K40" s="242" t="s">
        <v>11162</v>
      </c>
      <c r="L40" s="443" t="s">
        <v>580</v>
      </c>
      <c r="M40" s="167" t="s">
        <v>10902</v>
      </c>
      <c r="N40" s="167" t="s">
        <v>11142</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11163</v>
      </c>
      <c r="AA40" s="457" t="s">
        <v>580</v>
      </c>
      <c r="AB40" s="198" t="str">
        <f>IFERROR(__xludf.DUMMYFUNCTION("GOOGLETRANSLATE(C40,""zh-tw"",""KO"")"),"흰쌀")</f>
        <v>흰쌀</v>
      </c>
      <c r="AC40" s="167" t="s">
        <v>11144</v>
      </c>
      <c r="AD40" s="198"/>
      <c r="AE40" s="461" t="s">
        <v>11164</v>
      </c>
      <c r="AF40" s="456" t="s">
        <v>10714</v>
      </c>
      <c r="AG40" s="460" t="s">
        <v>10763</v>
      </c>
      <c r="AH40" s="460" t="s">
        <v>11146</v>
      </c>
      <c r="AI40" s="462"/>
      <c r="AJ40" s="463" t="s">
        <v>11165</v>
      </c>
      <c r="AK40" s="457" t="s">
        <v>580</v>
      </c>
      <c r="AL40" s="167" t="s">
        <v>10766</v>
      </c>
      <c r="AM40" s="167" t="s">
        <v>11148</v>
      </c>
      <c r="AN40" s="198"/>
      <c r="AO40" s="197" t="s">
        <v>11162</v>
      </c>
      <c r="AP40" s="443" t="s">
        <v>580</v>
      </c>
      <c r="AQ40" s="198" t="s">
        <v>10769</v>
      </c>
      <c r="AR40" s="198" t="s">
        <v>11150</v>
      </c>
      <c r="AS40" s="142"/>
      <c r="AT40" s="149" t="s">
        <v>11162</v>
      </c>
      <c r="AU40" s="443" t="s">
        <v>580</v>
      </c>
      <c r="AV40" s="198" t="s">
        <v>10772</v>
      </c>
      <c r="AW40" s="198" t="s">
        <v>11152</v>
      </c>
      <c r="AX40" s="76"/>
      <c r="AY40" s="149"/>
      <c r="AZ40" s="443"/>
      <c r="BA40" s="198"/>
      <c r="BB40" s="198"/>
      <c r="BC40" s="76"/>
      <c r="BD40" s="76"/>
      <c r="BE40" s="76"/>
      <c r="BF40" s="76"/>
      <c r="BG40" s="76"/>
      <c r="BH40" s="76"/>
    </row>
    <row r="41">
      <c r="A41" s="149" t="s">
        <v>11166</v>
      </c>
      <c r="B41" s="459"/>
      <c r="C41" s="460" t="s">
        <v>11167</v>
      </c>
      <c r="D41" s="460" t="s">
        <v>11167</v>
      </c>
      <c r="E41" s="460" t="s">
        <v>11167</v>
      </c>
      <c r="F41" s="149" t="s">
        <v>11168</v>
      </c>
      <c r="G41" s="466"/>
      <c r="H41" s="460" t="s">
        <v>11101</v>
      </c>
      <c r="I41" s="460" t="s">
        <v>11101</v>
      </c>
      <c r="J41" s="460" t="s">
        <v>11101</v>
      </c>
      <c r="K41" s="242" t="s">
        <v>11169</v>
      </c>
      <c r="L41" s="459"/>
      <c r="M41" s="167" t="s">
        <v>11170</v>
      </c>
      <c r="N41" s="167" t="s">
        <v>11170</v>
      </c>
      <c r="O41" s="167" t="s">
        <v>11170</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11171</v>
      </c>
      <c r="AA41" s="457"/>
      <c r="AB41" s="167" t="s">
        <v>11103</v>
      </c>
      <c r="AC41" s="167" t="s">
        <v>11103</v>
      </c>
      <c r="AD41" s="167" t="s">
        <v>11103</v>
      </c>
      <c r="AE41" s="461" t="s">
        <v>11172</v>
      </c>
      <c r="AF41" s="222"/>
      <c r="AG41" s="460" t="s">
        <v>11105</v>
      </c>
      <c r="AH41" s="460" t="s">
        <v>11105</v>
      </c>
      <c r="AI41" s="460" t="s">
        <v>11105</v>
      </c>
      <c r="AJ41" s="463" t="s">
        <v>11173</v>
      </c>
      <c r="AK41" s="457"/>
      <c r="AL41" s="167" t="s">
        <v>11107</v>
      </c>
      <c r="AM41" s="167" t="s">
        <v>11107</v>
      </c>
      <c r="AN41" s="167" t="s">
        <v>11107</v>
      </c>
      <c r="AO41" s="197" t="s">
        <v>11174</v>
      </c>
      <c r="AP41" s="459"/>
      <c r="AQ41" s="198" t="s">
        <v>11175</v>
      </c>
      <c r="AR41" s="198" t="s">
        <v>11175</v>
      </c>
      <c r="AS41" s="198" t="s">
        <v>11175</v>
      </c>
      <c r="AT41" s="149" t="s">
        <v>11176</v>
      </c>
      <c r="AU41" s="464"/>
      <c r="AV41" s="198" t="s">
        <v>11177</v>
      </c>
      <c r="AW41" s="198" t="s">
        <v>11177</v>
      </c>
      <c r="AX41" s="198" t="s">
        <v>11177</v>
      </c>
      <c r="AY41" s="149"/>
      <c r="AZ41" s="464"/>
      <c r="BA41" s="198"/>
      <c r="BB41" s="198"/>
      <c r="BC41" s="198"/>
      <c r="BD41" s="198"/>
      <c r="BE41" s="198"/>
      <c r="BF41" s="198"/>
      <c r="BG41" s="198"/>
      <c r="BH41" s="198"/>
    </row>
    <row r="42">
      <c r="A42" s="149" t="s">
        <v>11178</v>
      </c>
      <c r="B42" s="459"/>
      <c r="C42" s="460" t="s">
        <v>11179</v>
      </c>
      <c r="D42" s="460" t="s">
        <v>11179</v>
      </c>
      <c r="E42" s="460" t="s">
        <v>11179</v>
      </c>
      <c r="F42" s="149" t="s">
        <v>11180</v>
      </c>
      <c r="G42" s="466"/>
      <c r="H42" s="460" t="s">
        <v>11181</v>
      </c>
      <c r="I42" s="460" t="s">
        <v>11181</v>
      </c>
      <c r="J42" s="460" t="s">
        <v>11181</v>
      </c>
      <c r="K42" s="242" t="s">
        <v>11182</v>
      </c>
      <c r="L42" s="459"/>
      <c r="M42" s="167" t="s">
        <v>11183</v>
      </c>
      <c r="N42" s="167" t="s">
        <v>11183</v>
      </c>
      <c r="O42" s="167" t="s">
        <v>11183</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11184</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11185</v>
      </c>
      <c r="AF42" s="222"/>
      <c r="AG42" s="460" t="s">
        <v>11186</v>
      </c>
      <c r="AH42" s="460" t="s">
        <v>11186</v>
      </c>
      <c r="AI42" s="460" t="s">
        <v>11186</v>
      </c>
      <c r="AJ42" s="463" t="s">
        <v>11187</v>
      </c>
      <c r="AK42" s="457"/>
      <c r="AL42" s="167" t="s">
        <v>11188</v>
      </c>
      <c r="AM42" s="167" t="s">
        <v>11188</v>
      </c>
      <c r="AN42" s="167" t="s">
        <v>11188</v>
      </c>
      <c r="AO42" s="197" t="s">
        <v>11189</v>
      </c>
      <c r="AP42" s="459"/>
      <c r="AQ42" s="198" t="s">
        <v>11190</v>
      </c>
      <c r="AR42" s="198" t="s">
        <v>11190</v>
      </c>
      <c r="AS42" s="198" t="s">
        <v>11190</v>
      </c>
      <c r="AT42" s="149" t="s">
        <v>11191</v>
      </c>
      <c r="AU42" s="464"/>
      <c r="AV42" s="198" t="s">
        <v>11192</v>
      </c>
      <c r="AW42" s="198" t="s">
        <v>11192</v>
      </c>
      <c r="AX42" s="198" t="s">
        <v>11192</v>
      </c>
      <c r="AY42" s="149"/>
      <c r="AZ42" s="464"/>
      <c r="BA42" s="198"/>
      <c r="BB42" s="198"/>
      <c r="BC42" s="198"/>
      <c r="BD42" s="198"/>
      <c r="BE42" s="198"/>
      <c r="BF42" s="198"/>
      <c r="BG42" s="198"/>
      <c r="BH42" s="198"/>
    </row>
    <row r="43">
      <c r="A43" s="178" t="s">
        <v>11193</v>
      </c>
      <c r="B43" s="459"/>
      <c r="C43" s="460" t="s">
        <v>11194</v>
      </c>
      <c r="D43" s="142"/>
      <c r="E43" s="142"/>
      <c r="F43" s="149" t="s">
        <v>11195</v>
      </c>
      <c r="G43" s="466"/>
      <c r="H43" s="460" t="s">
        <v>11196</v>
      </c>
      <c r="I43" s="142"/>
      <c r="J43" s="142"/>
      <c r="K43" s="242" t="s">
        <v>11197</v>
      </c>
      <c r="L43" s="459"/>
      <c r="M43" s="167" t="s">
        <v>11198</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11199</v>
      </c>
      <c r="AF43" s="222"/>
      <c r="AG43" s="460" t="s">
        <v>11200</v>
      </c>
      <c r="AH43" s="462"/>
      <c r="AI43" s="462"/>
      <c r="AJ43" s="463" t="s">
        <v>11201</v>
      </c>
      <c r="AK43" s="457"/>
      <c r="AL43" s="167" t="s">
        <v>11202</v>
      </c>
      <c r="AM43" s="198"/>
      <c r="AN43" s="198"/>
      <c r="AO43" s="153" t="s">
        <v>11203</v>
      </c>
      <c r="AP43" s="459"/>
      <c r="AQ43" s="198" t="s">
        <v>11204</v>
      </c>
      <c r="AR43" s="198" t="s">
        <v>10785</v>
      </c>
      <c r="AS43" s="142"/>
      <c r="AT43" s="149" t="s">
        <v>11205</v>
      </c>
      <c r="AU43" s="464"/>
      <c r="AV43" s="198" t="s">
        <v>11206</v>
      </c>
      <c r="AW43" s="76"/>
      <c r="AX43" s="76"/>
      <c r="AY43" s="149"/>
      <c r="AZ43" s="464"/>
      <c r="BA43" s="198"/>
      <c r="BB43" s="76"/>
      <c r="BC43" s="76"/>
      <c r="BD43" s="76"/>
      <c r="BE43" s="76"/>
      <c r="BF43" s="76"/>
      <c r="BG43" s="76"/>
      <c r="BH43" s="76"/>
    </row>
    <row r="44">
      <c r="A44" s="149" t="s">
        <v>11207</v>
      </c>
      <c r="B44" s="466"/>
      <c r="C44" s="460" t="s">
        <v>10988</v>
      </c>
      <c r="D44" s="460" t="s">
        <v>10775</v>
      </c>
      <c r="E44" s="142"/>
      <c r="F44" s="149" t="s">
        <v>11208</v>
      </c>
      <c r="G44" s="466"/>
      <c r="H44" s="460" t="s">
        <v>10990</v>
      </c>
      <c r="I44" s="460" t="s">
        <v>10777</v>
      </c>
      <c r="J44" s="142"/>
      <c r="K44" s="242" t="s">
        <v>11209</v>
      </c>
      <c r="L44" s="459"/>
      <c r="M44" s="167" t="s">
        <v>10992</v>
      </c>
      <c r="N44" s="167" t="s">
        <v>10779</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11210</v>
      </c>
      <c r="AA44" s="457"/>
      <c r="AB44" s="167" t="s">
        <v>10994</v>
      </c>
      <c r="AC44" s="198" t="str">
        <f>IFERROR(__xludf.DUMMYFUNCTION("GOOGLETRANSLATE(D44,""zh-tw"",""KO"")"),"밀가루")</f>
        <v>밀가루</v>
      </c>
      <c r="AD44" s="198"/>
      <c r="AE44" s="461" t="s">
        <v>11211</v>
      </c>
      <c r="AF44" s="222"/>
      <c r="AG44" s="460" t="s">
        <v>10996</v>
      </c>
      <c r="AH44" s="460" t="s">
        <v>10781</v>
      </c>
      <c r="AI44" s="462"/>
      <c r="AJ44" s="463" t="s">
        <v>11212</v>
      </c>
      <c r="AK44" s="457"/>
      <c r="AL44" s="167" t="s">
        <v>10998</v>
      </c>
      <c r="AM44" s="167" t="s">
        <v>10783</v>
      </c>
      <c r="AN44" s="198"/>
      <c r="AO44" s="197" t="s">
        <v>11209</v>
      </c>
      <c r="AP44" s="459"/>
      <c r="AQ44" s="198" t="s">
        <v>11000</v>
      </c>
      <c r="AR44" s="142"/>
      <c r="AS44" s="142"/>
      <c r="AT44" s="149" t="s">
        <v>11209</v>
      </c>
      <c r="AU44" s="464"/>
      <c r="AV44" s="198" t="s">
        <v>10992</v>
      </c>
      <c r="AW44" s="198" t="s">
        <v>10787</v>
      </c>
      <c r="AX44" s="76"/>
      <c r="AY44" s="149"/>
      <c r="AZ44" s="464"/>
      <c r="BA44" s="198"/>
      <c r="BB44" s="198"/>
      <c r="BC44" s="76"/>
      <c r="BD44" s="76"/>
      <c r="BE44" s="76"/>
      <c r="BF44" s="76"/>
      <c r="BG44" s="76"/>
      <c r="BH44" s="76"/>
    </row>
    <row r="45">
      <c r="A45" s="149" t="s">
        <v>11213</v>
      </c>
      <c r="B45" s="466"/>
      <c r="C45" s="460" t="s">
        <v>10837</v>
      </c>
      <c r="D45" s="142"/>
      <c r="E45" s="142"/>
      <c r="F45" s="149" t="s">
        <v>10878</v>
      </c>
      <c r="G45" s="466"/>
      <c r="H45" s="460" t="s">
        <v>10839</v>
      </c>
      <c r="I45" s="142"/>
      <c r="J45" s="142"/>
      <c r="K45" s="242" t="s">
        <v>11214</v>
      </c>
      <c r="L45" s="459"/>
      <c r="M45" s="167" t="s">
        <v>10842</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11215</v>
      </c>
      <c r="AA45" s="457"/>
      <c r="AB45" s="167" t="s">
        <v>10844</v>
      </c>
      <c r="AC45" s="198"/>
      <c r="AD45" s="198"/>
      <c r="AE45" s="461" t="s">
        <v>11216</v>
      </c>
      <c r="AF45" s="222"/>
      <c r="AG45" s="460" t="s">
        <v>10846</v>
      </c>
      <c r="AH45" s="462"/>
      <c r="AI45" s="462"/>
      <c r="AJ45" s="463" t="s">
        <v>11217</v>
      </c>
      <c r="AK45" s="457"/>
      <c r="AL45" s="167" t="s">
        <v>10848</v>
      </c>
      <c r="AM45" s="198"/>
      <c r="AN45" s="198"/>
      <c r="AO45" s="197" t="s">
        <v>11218</v>
      </c>
      <c r="AP45" s="459"/>
      <c r="AQ45" s="198" t="s">
        <v>10849</v>
      </c>
      <c r="AR45" s="142"/>
      <c r="AS45" s="142"/>
      <c r="AT45" s="149" t="s">
        <v>11219</v>
      </c>
      <c r="AU45" s="464"/>
      <c r="AV45" s="198" t="s">
        <v>10850</v>
      </c>
      <c r="AW45" s="76"/>
      <c r="AX45" s="76"/>
      <c r="AY45" s="149"/>
      <c r="AZ45" s="464"/>
      <c r="BA45" s="198"/>
      <c r="BB45" s="76"/>
      <c r="BC45" s="76"/>
      <c r="BD45" s="76"/>
      <c r="BE45" s="76"/>
      <c r="BF45" s="76"/>
      <c r="BG45" s="76"/>
      <c r="BH45" s="76"/>
    </row>
    <row r="46">
      <c r="A46" s="149" t="s">
        <v>11220</v>
      </c>
      <c r="B46" s="443" t="s">
        <v>1436</v>
      </c>
      <c r="C46" s="460" t="s">
        <v>7853</v>
      </c>
      <c r="D46" s="460" t="s">
        <v>7882</v>
      </c>
      <c r="E46" s="142"/>
      <c r="F46" s="149" t="s">
        <v>11221</v>
      </c>
      <c r="G46" s="443" t="s">
        <v>1436</v>
      </c>
      <c r="H46" s="460" t="s">
        <v>10976</v>
      </c>
      <c r="I46" s="460" t="s">
        <v>11222</v>
      </c>
      <c r="J46" s="142"/>
      <c r="K46" s="242" t="s">
        <v>11223</v>
      </c>
      <c r="L46" s="443" t="s">
        <v>1436</v>
      </c>
      <c r="M46" s="167" t="s">
        <v>7855</v>
      </c>
      <c r="N46" s="167" t="s">
        <v>7884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11224</v>
      </c>
      <c r="AA46" s="457" t="s">
        <v>1436</v>
      </c>
      <c r="AB46" s="198" t="str">
        <f>IFERROR(__xludf.DUMMYFUNCTION("GOOGLETRANSLATE(C46,""zh-tw"",""KO"")"),"감자")</f>
        <v>감자</v>
      </c>
      <c r="AC46" s="202" t="s">
        <v>11225</v>
      </c>
      <c r="AD46" s="198"/>
      <c r="AE46" s="461" t="s">
        <v>11226</v>
      </c>
      <c r="AF46" s="456" t="s">
        <v>10726</v>
      </c>
      <c r="AG46" s="460" t="s">
        <v>7858</v>
      </c>
      <c r="AH46" s="460" t="s">
        <v>11227</v>
      </c>
      <c r="AI46" s="462"/>
      <c r="AJ46" s="463" t="s">
        <v>11228</v>
      </c>
      <c r="AK46" s="457" t="s">
        <v>1436</v>
      </c>
      <c r="AL46" s="167" t="s">
        <v>7860</v>
      </c>
      <c r="AM46" s="167" t="s">
        <v>11229</v>
      </c>
      <c r="AN46" s="198"/>
      <c r="AO46" s="197" t="s">
        <v>11230</v>
      </c>
      <c r="AP46" s="443" t="s">
        <v>1436</v>
      </c>
      <c r="AQ46" s="198" t="s">
        <v>7862</v>
      </c>
      <c r="AR46" s="198" t="s">
        <v>7890</v>
      </c>
      <c r="AS46" s="142"/>
      <c r="AT46" s="149" t="s">
        <v>11231</v>
      </c>
      <c r="AU46" s="443" t="s">
        <v>1436</v>
      </c>
      <c r="AV46" s="198" t="s">
        <v>7864</v>
      </c>
      <c r="AW46" s="198" t="s">
        <v>7884</v>
      </c>
      <c r="AX46" s="76"/>
      <c r="AY46" s="149"/>
      <c r="AZ46" s="443"/>
      <c r="BA46" s="198"/>
      <c r="BB46" s="198"/>
      <c r="BC46" s="76"/>
      <c r="BD46" s="76"/>
      <c r="BE46" s="76"/>
      <c r="BF46" s="76"/>
      <c r="BG46" s="76"/>
      <c r="BH46" s="76"/>
    </row>
    <row r="47">
      <c r="A47" s="149" t="s">
        <v>11232</v>
      </c>
      <c r="B47" s="443" t="s">
        <v>1436</v>
      </c>
      <c r="C47" s="460" t="s">
        <v>7882</v>
      </c>
      <c r="D47" s="142"/>
      <c r="E47" s="142"/>
      <c r="F47" s="149" t="s">
        <v>11233</v>
      </c>
      <c r="G47" s="443" t="s">
        <v>1436</v>
      </c>
      <c r="H47" s="460" t="s">
        <v>11222</v>
      </c>
      <c r="I47" s="142"/>
      <c r="J47" s="142"/>
      <c r="K47" s="242" t="s">
        <v>11234</v>
      </c>
      <c r="L47" s="443" t="s">
        <v>1436</v>
      </c>
      <c r="M47" s="167" t="s">
        <v>7884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11235</v>
      </c>
      <c r="AA47" s="457" t="s">
        <v>1436</v>
      </c>
      <c r="AB47" s="202" t="s">
        <v>11225</v>
      </c>
      <c r="AC47" s="198"/>
      <c r="AD47" s="198"/>
      <c r="AE47" s="461" t="s">
        <v>11236</v>
      </c>
      <c r="AF47" s="456" t="s">
        <v>10726</v>
      </c>
      <c r="AG47" s="460" t="s">
        <v>11227</v>
      </c>
      <c r="AH47" s="462"/>
      <c r="AI47" s="462"/>
      <c r="AJ47" s="463" t="s">
        <v>11237</v>
      </c>
      <c r="AK47" s="457" t="s">
        <v>1436</v>
      </c>
      <c r="AL47" s="167" t="s">
        <v>11229</v>
      </c>
      <c r="AM47" s="198"/>
      <c r="AN47" s="198"/>
      <c r="AO47" s="197" t="s">
        <v>11238</v>
      </c>
      <c r="AP47" s="443" t="s">
        <v>1436</v>
      </c>
      <c r="AQ47" s="198" t="s">
        <v>7890</v>
      </c>
      <c r="AR47" s="142"/>
      <c r="AS47" s="142"/>
      <c r="AT47" s="149" t="s">
        <v>11239</v>
      </c>
      <c r="AU47" s="443" t="s">
        <v>1436</v>
      </c>
      <c r="AV47" s="198" t="s">
        <v>7884</v>
      </c>
      <c r="AW47" s="76"/>
      <c r="AX47" s="76"/>
      <c r="AY47" s="149"/>
      <c r="AZ47" s="443"/>
      <c r="BA47" s="198"/>
      <c r="BB47" s="76"/>
      <c r="BC47" s="76"/>
      <c r="BD47" s="76"/>
      <c r="BE47" s="76"/>
      <c r="BF47" s="76"/>
      <c r="BG47" s="76"/>
      <c r="BH47" s="76"/>
    </row>
    <row r="48">
      <c r="A48" s="149" t="s">
        <v>11240</v>
      </c>
      <c r="B48" s="466"/>
      <c r="C48" s="460" t="s">
        <v>10739</v>
      </c>
      <c r="D48" s="460" t="s">
        <v>10910</v>
      </c>
      <c r="E48" s="142"/>
      <c r="F48" s="149" t="s">
        <v>11241</v>
      </c>
      <c r="G48" s="466"/>
      <c r="H48" s="460" t="s">
        <v>10741</v>
      </c>
      <c r="I48" s="460" t="s">
        <v>10912</v>
      </c>
      <c r="J48" s="142"/>
      <c r="K48" s="242" t="s">
        <v>11242</v>
      </c>
      <c r="L48" s="459"/>
      <c r="M48" s="167" t="s">
        <v>10743</v>
      </c>
      <c r="N48" s="167" t="s">
        <v>10914</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11243</v>
      </c>
      <c r="AA48" s="457"/>
      <c r="AB48" s="202" t="s">
        <v>10744</v>
      </c>
      <c r="AC48" s="167" t="s">
        <v>10915</v>
      </c>
      <c r="AD48" s="198"/>
      <c r="AE48" s="461" t="s">
        <v>11244</v>
      </c>
      <c r="AF48" s="222"/>
      <c r="AG48" s="460" t="s">
        <v>10746</v>
      </c>
      <c r="AH48" s="460" t="s">
        <v>10916</v>
      </c>
      <c r="AI48" s="462"/>
      <c r="AJ48" s="463" t="s">
        <v>11245</v>
      </c>
      <c r="AK48" s="457"/>
      <c r="AL48" s="167" t="s">
        <v>10748</v>
      </c>
      <c r="AM48" s="167" t="s">
        <v>10918</v>
      </c>
      <c r="AN48" s="198"/>
      <c r="AO48" s="197" t="s">
        <v>11246</v>
      </c>
      <c r="AP48" s="459"/>
      <c r="AQ48" s="198" t="s">
        <v>10750</v>
      </c>
      <c r="AR48" s="198" t="s">
        <v>10920</v>
      </c>
      <c r="AS48" s="142"/>
      <c r="AT48" s="149" t="s">
        <v>11247</v>
      </c>
      <c r="AU48" s="464"/>
      <c r="AV48" s="198" t="s">
        <v>10751</v>
      </c>
      <c r="AW48" s="198" t="s">
        <v>11248</v>
      </c>
      <c r="AX48" s="76"/>
      <c r="AY48" s="149"/>
      <c r="AZ48" s="464"/>
      <c r="BA48" s="198"/>
      <c r="BB48" s="198"/>
      <c r="BC48" s="76"/>
      <c r="BD48" s="76"/>
      <c r="BE48" s="76"/>
      <c r="BF48" s="76"/>
      <c r="BG48" s="76"/>
      <c r="BH48" s="76"/>
    </row>
    <row r="49">
      <c r="A49" s="149" t="s">
        <v>11249</v>
      </c>
      <c r="B49" s="466"/>
      <c r="C49" s="460" t="s">
        <v>10739</v>
      </c>
      <c r="D49" s="460" t="s">
        <v>10910</v>
      </c>
      <c r="E49" s="142"/>
      <c r="F49" s="149" t="s">
        <v>11250</v>
      </c>
      <c r="G49" s="466"/>
      <c r="H49" s="460" t="s">
        <v>10741</v>
      </c>
      <c r="I49" s="460" t="s">
        <v>10912</v>
      </c>
      <c r="J49" s="142"/>
      <c r="K49" s="242" t="s">
        <v>11251</v>
      </c>
      <c r="L49" s="459"/>
      <c r="M49" s="167" t="s">
        <v>10743</v>
      </c>
      <c r="N49" s="167" t="s">
        <v>10914</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11252</v>
      </c>
      <c r="AA49" s="457"/>
      <c r="AB49" s="202" t="s">
        <v>10744</v>
      </c>
      <c r="AC49" s="202" t="s">
        <v>10915</v>
      </c>
      <c r="AD49" s="198"/>
      <c r="AE49" s="461" t="s">
        <v>11253</v>
      </c>
      <c r="AF49" s="222"/>
      <c r="AG49" s="460" t="s">
        <v>10746</v>
      </c>
      <c r="AH49" s="460" t="s">
        <v>10916</v>
      </c>
      <c r="AI49" s="462"/>
      <c r="AJ49" s="463" t="s">
        <v>11254</v>
      </c>
      <c r="AK49" s="457"/>
      <c r="AL49" s="167" t="s">
        <v>10748</v>
      </c>
      <c r="AM49" s="167" t="s">
        <v>10918</v>
      </c>
      <c r="AN49" s="198"/>
      <c r="AO49" s="197" t="s">
        <v>11255</v>
      </c>
      <c r="AP49" s="459"/>
      <c r="AQ49" s="198" t="s">
        <v>10750</v>
      </c>
      <c r="AR49" s="198" t="s">
        <v>10920</v>
      </c>
      <c r="AS49" s="142"/>
      <c r="AT49" s="149" t="s">
        <v>11256</v>
      </c>
      <c r="AU49" s="464"/>
      <c r="AV49" s="198" t="s">
        <v>10751</v>
      </c>
      <c r="AW49" s="198" t="s">
        <v>11248</v>
      </c>
      <c r="AX49" s="76"/>
      <c r="AY49" s="149"/>
      <c r="AZ49" s="464"/>
      <c r="BA49" s="198"/>
      <c r="BB49" s="198"/>
      <c r="BC49" s="76"/>
      <c r="BD49" s="76"/>
      <c r="BE49" s="76"/>
      <c r="BF49" s="76"/>
      <c r="BG49" s="76"/>
      <c r="BH49" s="76"/>
    </row>
    <row r="50">
      <c r="A50" s="149" t="s">
        <v>11257</v>
      </c>
      <c r="B50" s="467" t="s">
        <v>11258</v>
      </c>
      <c r="C50" s="460" t="s">
        <v>10739</v>
      </c>
      <c r="D50" s="460" t="s">
        <v>10910</v>
      </c>
      <c r="E50" s="460" t="s">
        <v>11259</v>
      </c>
      <c r="F50" s="149" t="s">
        <v>11260</v>
      </c>
      <c r="G50" s="467" t="s">
        <v>11261</v>
      </c>
      <c r="H50" s="460" t="s">
        <v>10741</v>
      </c>
      <c r="I50" s="460" t="s">
        <v>10912</v>
      </c>
      <c r="J50" s="460" t="s">
        <v>11262</v>
      </c>
      <c r="K50" s="242" t="s">
        <v>11263</v>
      </c>
      <c r="L50" s="468" t="s">
        <v>11264</v>
      </c>
      <c r="M50" s="167" t="s">
        <v>10743</v>
      </c>
      <c r="N50" s="167" t="s">
        <v>10914</v>
      </c>
      <c r="O50" s="167" t="s">
        <v>11265</v>
      </c>
      <c r="P50" s="242" t="str">
        <f>IFERROR(__xludf.DUMMYFUNCTION("GOOGLETRANSLATE(A50,""zh-tw"",""zh"")"),"水怪软糖(红)")</f>
        <v>水怪软糖(红)</v>
      </c>
      <c r="Q50" s="467" t="s">
        <v>11258</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11266</v>
      </c>
      <c r="AA50" s="457" t="s">
        <v>11267</v>
      </c>
      <c r="AB50" s="167" t="s">
        <v>10744</v>
      </c>
      <c r="AC50" s="202" t="s">
        <v>10915</v>
      </c>
      <c r="AD50" s="198" t="str">
        <f>IFERROR(__xludf.DUMMYFUNCTION("GOOGLETRANSLATE(E50,""zh-tw"",""KO"")"),"토마토/피망")</f>
        <v>토마토/피망</v>
      </c>
      <c r="AE50" s="461" t="s">
        <v>11268</v>
      </c>
      <c r="AF50" s="456" t="s">
        <v>11269</v>
      </c>
      <c r="AG50" s="460" t="s">
        <v>10746</v>
      </c>
      <c r="AH50" s="460" t="s">
        <v>10916</v>
      </c>
      <c r="AI50" s="460" t="s">
        <v>11270</v>
      </c>
      <c r="AJ50" s="463" t="s">
        <v>11271</v>
      </c>
      <c r="AK50" s="457" t="s">
        <v>1436</v>
      </c>
      <c r="AL50" s="167" t="s">
        <v>10748</v>
      </c>
      <c r="AM50" s="167" t="s">
        <v>10918</v>
      </c>
      <c r="AN50" s="198" t="str">
        <f>IFERROR(__xludf.DUMMYFUNCTION("GOOGLETRANSLATE(E50,""zh-tw"",""de"")"),"Tomaten/Paprika")</f>
        <v>Tomaten/Paprika</v>
      </c>
      <c r="AO50" s="197" t="s">
        <v>11272</v>
      </c>
      <c r="AP50" s="195" t="s">
        <v>11273</v>
      </c>
      <c r="AQ50" s="198" t="s">
        <v>10750</v>
      </c>
      <c r="AR50" s="198" t="s">
        <v>10920</v>
      </c>
      <c r="AS50" s="198" t="s">
        <v>11274</v>
      </c>
      <c r="AT50" s="149" t="s">
        <v>11275</v>
      </c>
      <c r="AU50" s="453" t="s">
        <v>11276</v>
      </c>
      <c r="AV50" s="198" t="s">
        <v>10751</v>
      </c>
      <c r="AW50" s="198" t="s">
        <v>11248</v>
      </c>
      <c r="AX50" s="198" t="s">
        <v>11277</v>
      </c>
      <c r="AY50" s="149"/>
      <c r="AZ50" s="453"/>
      <c r="BA50" s="198"/>
      <c r="BB50" s="198"/>
      <c r="BC50" s="198"/>
      <c r="BD50" s="198"/>
      <c r="BE50" s="198"/>
      <c r="BF50" s="198"/>
      <c r="BG50" s="198"/>
      <c r="BH50" s="198"/>
    </row>
    <row r="51">
      <c r="A51" s="149" t="s">
        <v>11278</v>
      </c>
      <c r="B51" s="466"/>
      <c r="C51" s="460" t="s">
        <v>10775</v>
      </c>
      <c r="D51" s="142"/>
      <c r="E51" s="142"/>
      <c r="F51" s="149" t="s">
        <v>11279</v>
      </c>
      <c r="G51" s="466"/>
      <c r="H51" s="460" t="s">
        <v>10777</v>
      </c>
      <c r="I51" s="142"/>
      <c r="J51" s="142"/>
      <c r="K51" s="242" t="s">
        <v>11280</v>
      </c>
      <c r="L51" s="459"/>
      <c r="M51" s="167" t="s">
        <v>10779</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11281</v>
      </c>
      <c r="AF51" s="222"/>
      <c r="AG51" s="460" t="s">
        <v>10781</v>
      </c>
      <c r="AH51" s="462"/>
      <c r="AI51" s="462"/>
      <c r="AJ51" s="463" t="s">
        <v>11282</v>
      </c>
      <c r="AK51" s="457"/>
      <c r="AL51" s="167" t="s">
        <v>10783</v>
      </c>
      <c r="AM51" s="198"/>
      <c r="AN51" s="198"/>
      <c r="AO51" s="197" t="s">
        <v>11283</v>
      </c>
      <c r="AP51" s="459"/>
      <c r="AQ51" s="198" t="s">
        <v>10785</v>
      </c>
      <c r="AR51" s="142"/>
      <c r="AS51" s="142"/>
      <c r="AT51" s="149" t="s">
        <v>11284</v>
      </c>
      <c r="AU51" s="464"/>
      <c r="AV51" s="198" t="s">
        <v>10787</v>
      </c>
      <c r="AW51" s="76"/>
      <c r="AX51" s="76"/>
      <c r="AY51" s="149"/>
      <c r="AZ51" s="464"/>
      <c r="BA51" s="198"/>
      <c r="BB51" s="76"/>
      <c r="BC51" s="76"/>
      <c r="BD51" s="76"/>
      <c r="BE51" s="76"/>
      <c r="BF51" s="76"/>
      <c r="BG51" s="76"/>
      <c r="BH51" s="76"/>
    </row>
    <row r="52">
      <c r="A52" s="149" t="s">
        <v>11285</v>
      </c>
      <c r="B52" s="466"/>
      <c r="C52" s="460" t="s">
        <v>7831</v>
      </c>
      <c r="D52" s="460" t="s">
        <v>10775</v>
      </c>
      <c r="E52" s="142"/>
      <c r="F52" s="149" t="s">
        <v>11286</v>
      </c>
      <c r="G52" s="466"/>
      <c r="H52" s="460" t="s">
        <v>11287</v>
      </c>
      <c r="I52" s="460" t="s">
        <v>10777</v>
      </c>
      <c r="J52" s="142"/>
      <c r="K52" s="242" t="s">
        <v>11288</v>
      </c>
      <c r="L52" s="459"/>
      <c r="M52" s="167" t="s">
        <v>7835</v>
      </c>
      <c r="N52" s="167" t="s">
        <v>10779</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11289</v>
      </c>
      <c r="AF52" s="222"/>
      <c r="AG52" s="460" t="s">
        <v>7838</v>
      </c>
      <c r="AH52" s="460" t="s">
        <v>10781</v>
      </c>
      <c r="AI52" s="462"/>
      <c r="AJ52" s="463" t="s">
        <v>11290</v>
      </c>
      <c r="AK52" s="457"/>
      <c r="AL52" s="167" t="s">
        <v>11291</v>
      </c>
      <c r="AM52" s="167" t="s">
        <v>10783</v>
      </c>
      <c r="AN52" s="198"/>
      <c r="AO52" s="197" t="s">
        <v>11292</v>
      </c>
      <c r="AP52" s="459"/>
      <c r="AQ52" s="198" t="s">
        <v>7844</v>
      </c>
      <c r="AR52" s="198" t="s">
        <v>10785</v>
      </c>
      <c r="AS52" s="142"/>
      <c r="AT52" s="149" t="s">
        <v>11293</v>
      </c>
      <c r="AU52" s="464"/>
      <c r="AV52" s="198" t="s">
        <v>7847</v>
      </c>
      <c r="AW52" s="198" t="s">
        <v>10787</v>
      </c>
      <c r="AX52" s="76"/>
      <c r="AY52" s="149"/>
      <c r="AZ52" s="464"/>
      <c r="BA52" s="198"/>
      <c r="BB52" s="198"/>
      <c r="BC52" s="76"/>
      <c r="BD52" s="76"/>
      <c r="BE52" s="76"/>
      <c r="BF52" s="76"/>
      <c r="BG52" s="76"/>
      <c r="BH52" s="76"/>
    </row>
    <row r="53">
      <c r="A53" s="149" t="s">
        <v>11294</v>
      </c>
      <c r="B53" s="466"/>
      <c r="C53" s="460" t="s">
        <v>7868</v>
      </c>
      <c r="D53" s="142"/>
      <c r="E53" s="142"/>
      <c r="F53" s="149" t="s">
        <v>11295</v>
      </c>
      <c r="G53" s="466"/>
      <c r="H53" s="460" t="s">
        <v>11091</v>
      </c>
      <c r="I53" s="142"/>
      <c r="J53" s="142"/>
      <c r="K53" s="242" t="s">
        <v>11296</v>
      </c>
      <c r="L53" s="459"/>
      <c r="M53" s="167" t="s">
        <v>7870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11297</v>
      </c>
      <c r="AF53" s="222"/>
      <c r="AG53" s="460" t="s">
        <v>7872</v>
      </c>
      <c r="AH53" s="462"/>
      <c r="AI53" s="462"/>
      <c r="AJ53" s="463" t="s">
        <v>11298</v>
      </c>
      <c r="AK53" s="457"/>
      <c r="AL53" s="167" t="s">
        <v>7878</v>
      </c>
      <c r="AM53" s="198"/>
      <c r="AN53" s="198"/>
      <c r="AO53" s="197" t="s">
        <v>11299</v>
      </c>
      <c r="AP53" s="459"/>
      <c r="AQ53" s="198" t="s">
        <v>7862</v>
      </c>
      <c r="AR53" s="142"/>
      <c r="AS53" s="142"/>
      <c r="AT53" s="149" t="s">
        <v>11300</v>
      </c>
      <c r="AU53" s="464"/>
      <c r="AV53" s="198" t="s">
        <v>7878</v>
      </c>
      <c r="AW53" s="76"/>
      <c r="AX53" s="76"/>
      <c r="AY53" s="149"/>
      <c r="AZ53" s="464"/>
      <c r="BA53" s="198"/>
      <c r="BB53" s="76"/>
      <c r="BC53" s="76"/>
      <c r="BD53" s="76"/>
      <c r="BE53" s="76"/>
      <c r="BF53" s="76"/>
      <c r="BG53" s="76"/>
      <c r="BH53" s="76"/>
    </row>
    <row r="54">
      <c r="A54" s="149" t="s">
        <v>7831</v>
      </c>
      <c r="B54" s="466"/>
      <c r="C54" s="460" t="s">
        <v>7831</v>
      </c>
      <c r="D54" s="142"/>
      <c r="E54" s="142"/>
      <c r="F54" s="149" t="s">
        <v>11301</v>
      </c>
      <c r="G54" s="466"/>
      <c r="H54" s="460" t="s">
        <v>11287</v>
      </c>
      <c r="I54" s="142"/>
      <c r="J54" s="142"/>
      <c r="K54" s="242" t="s">
        <v>7835</v>
      </c>
      <c r="L54" s="459"/>
      <c r="M54" s="167" t="s">
        <v>7835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11302</v>
      </c>
      <c r="AF54" s="222"/>
      <c r="AG54" s="460" t="s">
        <v>7838</v>
      </c>
      <c r="AH54" s="462"/>
      <c r="AI54" s="462"/>
      <c r="AJ54" s="463" t="s">
        <v>11291</v>
      </c>
      <c r="AK54" s="457"/>
      <c r="AL54" s="167" t="s">
        <v>11291</v>
      </c>
      <c r="AM54" s="198"/>
      <c r="AN54" s="198"/>
      <c r="AO54" s="197" t="s">
        <v>7844</v>
      </c>
      <c r="AP54" s="459"/>
      <c r="AQ54" s="198" t="s">
        <v>7844</v>
      </c>
      <c r="AR54" s="142"/>
      <c r="AS54" s="142"/>
      <c r="AT54" s="149" t="s">
        <v>7847</v>
      </c>
      <c r="AU54" s="464"/>
      <c r="AV54" s="198" t="s">
        <v>7847</v>
      </c>
      <c r="AW54" s="76"/>
      <c r="AX54" s="76"/>
      <c r="AY54" s="149"/>
      <c r="AZ54" s="464"/>
      <c r="BA54" s="198"/>
      <c r="BB54" s="76"/>
      <c r="BC54" s="76"/>
      <c r="BD54" s="76"/>
      <c r="BE54" s="76"/>
      <c r="BF54" s="76"/>
      <c r="BG54" s="76"/>
      <c r="BH54" s="76"/>
    </row>
    <row r="55">
      <c r="A55" s="178" t="s">
        <v>11303</v>
      </c>
      <c r="B55" s="459"/>
      <c r="C55" s="469" t="s">
        <v>11138</v>
      </c>
      <c r="D55" s="469" t="s">
        <v>11304</v>
      </c>
      <c r="E55" s="469" t="s">
        <v>11305</v>
      </c>
      <c r="F55" s="140"/>
      <c r="G55" s="466"/>
      <c r="H55" s="142"/>
      <c r="I55" s="142"/>
      <c r="J55" s="142"/>
      <c r="K55" s="235" t="s">
        <v>11306</v>
      </c>
      <c r="L55" s="453"/>
      <c r="M55" s="167" t="s">
        <v>11142</v>
      </c>
      <c r="N55" s="167" t="s">
        <v>11307</v>
      </c>
      <c r="O55" s="167" t="s">
        <v>10759</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11308</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11309</v>
      </c>
      <c r="AF55" s="222"/>
      <c r="AG55" s="460" t="s">
        <v>11310</v>
      </c>
      <c r="AH55" s="460" t="s">
        <v>11311</v>
      </c>
      <c r="AI55" s="460" t="s">
        <v>10763</v>
      </c>
      <c r="AJ55" s="140"/>
      <c r="AK55" s="459"/>
      <c r="AL55" s="142"/>
      <c r="AM55" s="142"/>
      <c r="AN55" s="142"/>
      <c r="AO55" s="165" t="s">
        <v>11312</v>
      </c>
      <c r="AP55" s="453"/>
      <c r="AQ55" s="167" t="s">
        <v>11150</v>
      </c>
      <c r="AR55" s="167" t="s">
        <v>11313</v>
      </c>
      <c r="AS55" s="167" t="s">
        <v>10769</v>
      </c>
      <c r="AT55" s="178" t="s">
        <v>11314</v>
      </c>
      <c r="AU55" s="464"/>
      <c r="AV55" s="167" t="s">
        <v>11152</v>
      </c>
      <c r="AW55" s="167" t="s">
        <v>11315</v>
      </c>
      <c r="AX55" s="198" t="s">
        <v>10772</v>
      </c>
      <c r="AY55" s="178"/>
      <c r="AZ55" s="464"/>
      <c r="BA55" s="167"/>
      <c r="BB55" s="167"/>
      <c r="BC55" s="198"/>
      <c r="BD55" s="198"/>
      <c r="BE55" s="198"/>
      <c r="BF55" s="198"/>
      <c r="BG55" s="198"/>
      <c r="BH55" s="198"/>
    </row>
    <row r="56">
      <c r="A56" s="178" t="s">
        <v>11316</v>
      </c>
      <c r="B56" s="459"/>
      <c r="C56" s="469" t="s">
        <v>11138</v>
      </c>
      <c r="D56" s="469" t="s">
        <v>11317</v>
      </c>
      <c r="E56" s="469" t="s">
        <v>11305</v>
      </c>
      <c r="F56" s="140"/>
      <c r="G56" s="466"/>
      <c r="H56" s="142"/>
      <c r="I56" s="142"/>
      <c r="J56" s="142"/>
      <c r="K56" s="235" t="s">
        <v>11318</v>
      </c>
      <c r="L56" s="459"/>
      <c r="M56" s="167" t="s">
        <v>11142</v>
      </c>
      <c r="N56" s="167" t="s">
        <v>10760</v>
      </c>
      <c r="O56" s="167" t="s">
        <v>10759</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11319</v>
      </c>
      <c r="AF56" s="222"/>
      <c r="AG56" s="460" t="s">
        <v>11310</v>
      </c>
      <c r="AH56" s="460" t="s">
        <v>10764</v>
      </c>
      <c r="AI56" s="460" t="s">
        <v>10763</v>
      </c>
      <c r="AJ56" s="140"/>
      <c r="AK56" s="459"/>
      <c r="AL56" s="142"/>
      <c r="AM56" s="142"/>
      <c r="AN56" s="142"/>
      <c r="AO56" s="165" t="s">
        <v>11320</v>
      </c>
      <c r="AP56" s="453"/>
      <c r="AQ56" s="167" t="s">
        <v>11150</v>
      </c>
      <c r="AR56" s="167" t="s">
        <v>10770</v>
      </c>
      <c r="AS56" s="167" t="s">
        <v>10769</v>
      </c>
      <c r="AT56" s="178" t="s">
        <v>11321</v>
      </c>
      <c r="AU56" s="464"/>
      <c r="AV56" s="167" t="s">
        <v>11152</v>
      </c>
      <c r="AW56" s="470" t="s">
        <v>10773</v>
      </c>
      <c r="AX56" s="198" t="s">
        <v>10772</v>
      </c>
      <c r="AY56" s="178"/>
      <c r="AZ56" s="464"/>
      <c r="BA56" s="167"/>
      <c r="BB56" s="470"/>
      <c r="BC56" s="198"/>
      <c r="BD56" s="198"/>
      <c r="BE56" s="198"/>
      <c r="BF56" s="198"/>
      <c r="BG56" s="198"/>
      <c r="BH56" s="198"/>
    </row>
    <row r="57">
      <c r="A57" s="178" t="s">
        <v>11322</v>
      </c>
      <c r="B57" s="459"/>
      <c r="C57" s="469" t="s">
        <v>10974</v>
      </c>
      <c r="D57" s="469" t="s">
        <v>10974</v>
      </c>
      <c r="E57" s="469" t="s">
        <v>10974</v>
      </c>
      <c r="F57" s="140"/>
      <c r="G57" s="459"/>
      <c r="H57" s="142"/>
      <c r="I57" s="142"/>
      <c r="J57" s="142"/>
      <c r="K57" s="235" t="s">
        <v>11323</v>
      </c>
      <c r="L57" s="459"/>
      <c r="M57" s="167" t="s">
        <v>10979</v>
      </c>
      <c r="N57" s="167" t="s">
        <v>10979</v>
      </c>
      <c r="O57" s="167" t="s">
        <v>10979</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11324</v>
      </c>
      <c r="AF57" s="222"/>
      <c r="AG57" s="460" t="s">
        <v>10982</v>
      </c>
      <c r="AH57" s="460" t="s">
        <v>10982</v>
      </c>
      <c r="AI57" s="460" t="s">
        <v>10982</v>
      </c>
      <c r="AJ57" s="140"/>
      <c r="AK57" s="459"/>
      <c r="AL57" s="142"/>
      <c r="AM57" s="142"/>
      <c r="AN57" s="142"/>
      <c r="AO57" s="165" t="s">
        <v>11325</v>
      </c>
      <c r="AP57" s="453"/>
      <c r="AQ57" s="167" t="s">
        <v>10985</v>
      </c>
      <c r="AR57" s="167" t="s">
        <v>10985</v>
      </c>
      <c r="AS57" s="167" t="s">
        <v>10985</v>
      </c>
      <c r="AT57" s="178" t="s">
        <v>11326</v>
      </c>
      <c r="AU57" s="464"/>
      <c r="AV57" s="167" t="s">
        <v>10986</v>
      </c>
      <c r="AW57" s="167" t="s">
        <v>10986</v>
      </c>
      <c r="AX57" s="167" t="s">
        <v>10986</v>
      </c>
      <c r="AY57" s="178"/>
      <c r="AZ57" s="464"/>
      <c r="BA57" s="167"/>
      <c r="BB57" s="167"/>
      <c r="BC57" s="167"/>
      <c r="BD57" s="167"/>
      <c r="BE57" s="167"/>
      <c r="BF57" s="167"/>
      <c r="BG57" s="167"/>
      <c r="BH57" s="167"/>
    </row>
    <row r="58">
      <c r="A58" s="471" t="s">
        <v>11327</v>
      </c>
      <c r="B58" s="466"/>
      <c r="C58" s="472" t="s">
        <v>11328</v>
      </c>
      <c r="D58" s="473" t="s">
        <v>11329</v>
      </c>
      <c r="E58" s="474"/>
      <c r="F58" s="475" t="s">
        <v>11330</v>
      </c>
      <c r="G58" s="476" t="s">
        <v>11328</v>
      </c>
      <c r="H58" s="472" t="s">
        <v>11328</v>
      </c>
      <c r="I58" s="473" t="s">
        <v>11329</v>
      </c>
      <c r="J58" s="474"/>
      <c r="K58" s="477" t="s">
        <v>11331</v>
      </c>
      <c r="L58" s="466"/>
      <c r="M58" s="472" t="s">
        <v>11332</v>
      </c>
      <c r="N58" s="478" t="s">
        <v>11329</v>
      </c>
      <c r="O58" s="474"/>
      <c r="P58" s="477" t="s">
        <v>11333</v>
      </c>
      <c r="Q58" s="443"/>
      <c r="R58" s="472" t="s">
        <v>11334</v>
      </c>
      <c r="S58" s="472" t="s">
        <v>11329</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11335</v>
      </c>
      <c r="AF58" s="222"/>
      <c r="AG58" s="460" t="s">
        <v>10763</v>
      </c>
      <c r="AH58" s="479" t="s">
        <v>11329</v>
      </c>
      <c r="AI58" s="462"/>
      <c r="AJ58" s="480" t="s">
        <v>11331</v>
      </c>
      <c r="AK58" s="459"/>
      <c r="AL58" s="481" t="s">
        <v>11336</v>
      </c>
      <c r="AM58" s="482" t="s">
        <v>11329</v>
      </c>
      <c r="AN58" s="142"/>
      <c r="AO58" s="483" t="s">
        <v>11337</v>
      </c>
      <c r="AP58" s="453"/>
      <c r="AQ58" s="482" t="s">
        <v>11338</v>
      </c>
      <c r="AR58" s="482" t="s">
        <v>11329</v>
      </c>
      <c r="AS58" s="198"/>
      <c r="AT58" s="471" t="s">
        <v>11339</v>
      </c>
      <c r="AU58" s="464"/>
      <c r="AV58" s="481" t="s">
        <v>10772</v>
      </c>
      <c r="AW58" s="484" t="s">
        <v>11329</v>
      </c>
      <c r="AX58" s="485"/>
      <c r="AY58" s="486" t="s">
        <v>11340</v>
      </c>
      <c r="AZ58" s="464"/>
      <c r="BA58" s="481" t="s">
        <v>11341</v>
      </c>
      <c r="BB58" s="484" t="s">
        <v>11329</v>
      </c>
      <c r="BC58" s="485"/>
      <c r="BD58" s="142"/>
      <c r="BE58" s="142"/>
      <c r="BF58" s="142"/>
      <c r="BG58" s="142"/>
      <c r="BH58" s="142"/>
    </row>
    <row r="59">
      <c r="A59" s="471" t="s">
        <v>11342</v>
      </c>
      <c r="B59" s="466"/>
      <c r="C59" s="472" t="s">
        <v>11328</v>
      </c>
      <c r="D59" s="473" t="s">
        <v>11329</v>
      </c>
      <c r="E59" s="473" t="s">
        <v>11343</v>
      </c>
      <c r="F59" s="475" t="s">
        <v>11344</v>
      </c>
      <c r="G59" s="476" t="s">
        <v>11328</v>
      </c>
      <c r="H59" s="472" t="s">
        <v>11328</v>
      </c>
      <c r="I59" s="473" t="s">
        <v>11329</v>
      </c>
      <c r="J59" s="473" t="s">
        <v>11345</v>
      </c>
      <c r="K59" s="477" t="s">
        <v>11346</v>
      </c>
      <c r="L59" s="466"/>
      <c r="M59" s="472" t="s">
        <v>11332</v>
      </c>
      <c r="N59" s="478" t="s">
        <v>11329</v>
      </c>
      <c r="O59" s="472" t="s">
        <v>11347</v>
      </c>
      <c r="P59" s="477" t="s">
        <v>11348</v>
      </c>
      <c r="Q59" s="443"/>
      <c r="R59" s="472" t="s">
        <v>11334</v>
      </c>
      <c r="S59" s="472" t="s">
        <v>11329</v>
      </c>
      <c r="T59" s="472" t="s">
        <v>11349</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11350</v>
      </c>
      <c r="AF59" s="222"/>
      <c r="AG59" s="460" t="s">
        <v>10763</v>
      </c>
      <c r="AH59" s="479" t="s">
        <v>11329</v>
      </c>
      <c r="AI59" s="460" t="s">
        <v>11351</v>
      </c>
      <c r="AJ59" s="480" t="s">
        <v>11352</v>
      </c>
      <c r="AK59" s="459"/>
      <c r="AL59" s="481" t="s">
        <v>11336</v>
      </c>
      <c r="AM59" s="482" t="s">
        <v>11329</v>
      </c>
      <c r="AN59" s="481" t="s">
        <v>11353</v>
      </c>
      <c r="AO59" s="483" t="s">
        <v>11354</v>
      </c>
      <c r="AP59" s="453"/>
      <c r="AQ59" s="482" t="s">
        <v>11355</v>
      </c>
      <c r="AR59" s="482" t="s">
        <v>11329</v>
      </c>
      <c r="AS59" s="482" t="s">
        <v>11356</v>
      </c>
      <c r="AT59" s="471" t="s">
        <v>11357</v>
      </c>
      <c r="AU59" s="464"/>
      <c r="AV59" s="481" t="s">
        <v>10772</v>
      </c>
      <c r="AW59" s="484" t="s">
        <v>11329</v>
      </c>
      <c r="AX59" s="484" t="s">
        <v>11358</v>
      </c>
      <c r="AY59" s="486" t="s">
        <v>11359</v>
      </c>
      <c r="AZ59" s="464"/>
      <c r="BA59" s="481" t="s">
        <v>11341</v>
      </c>
      <c r="BB59" s="484" t="s">
        <v>11329</v>
      </c>
      <c r="BC59" s="484" t="s">
        <v>11360</v>
      </c>
      <c r="BD59" s="142"/>
      <c r="BE59" s="142"/>
      <c r="BF59" s="142"/>
      <c r="BG59" s="142"/>
      <c r="BH59" s="142"/>
    </row>
    <row r="60">
      <c r="A60" s="471" t="s">
        <v>11361</v>
      </c>
      <c r="B60" s="466"/>
      <c r="C60" s="472" t="s">
        <v>11328</v>
      </c>
      <c r="D60" s="473" t="s">
        <v>11329</v>
      </c>
      <c r="E60" s="473" t="s">
        <v>11362</v>
      </c>
      <c r="F60" s="475" t="s">
        <v>11363</v>
      </c>
      <c r="G60" s="476" t="s">
        <v>11328</v>
      </c>
      <c r="H60" s="472" t="s">
        <v>11328</v>
      </c>
      <c r="I60" s="473" t="s">
        <v>11329</v>
      </c>
      <c r="J60" s="473" t="s">
        <v>11362</v>
      </c>
      <c r="K60" s="477" t="s">
        <v>11364</v>
      </c>
      <c r="L60" s="466"/>
      <c r="M60" s="472" t="s">
        <v>11332</v>
      </c>
      <c r="N60" s="478" t="s">
        <v>11329</v>
      </c>
      <c r="O60" s="472" t="s">
        <v>11365</v>
      </c>
      <c r="P60" s="477" t="s">
        <v>11366</v>
      </c>
      <c r="Q60" s="443"/>
      <c r="R60" s="472" t="s">
        <v>11334</v>
      </c>
      <c r="S60" s="472" t="s">
        <v>11329</v>
      </c>
      <c r="T60" s="472" t="s">
        <v>11362</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11367</v>
      </c>
      <c r="AF60" s="222"/>
      <c r="AG60" s="460" t="s">
        <v>10763</v>
      </c>
      <c r="AH60" s="479" t="s">
        <v>11329</v>
      </c>
      <c r="AI60" s="460" t="s">
        <v>11368</v>
      </c>
      <c r="AJ60" s="480" t="s">
        <v>11369</v>
      </c>
      <c r="AK60" s="459"/>
      <c r="AL60" s="481" t="s">
        <v>11336</v>
      </c>
      <c r="AM60" s="482" t="s">
        <v>11329</v>
      </c>
      <c r="AN60" s="481" t="s">
        <v>11370</v>
      </c>
      <c r="AO60" s="140"/>
      <c r="AP60" s="459"/>
      <c r="AQ60" s="482" t="s">
        <v>11355</v>
      </c>
      <c r="AR60" s="482" t="s">
        <v>11329</v>
      </c>
      <c r="AS60" s="482" t="s">
        <v>11371</v>
      </c>
      <c r="AT60" s="471" t="s">
        <v>11372</v>
      </c>
      <c r="AU60" s="464"/>
      <c r="AV60" s="481" t="s">
        <v>10772</v>
      </c>
      <c r="AW60" s="484" t="s">
        <v>11329</v>
      </c>
      <c r="AX60" s="484" t="s">
        <v>11373</v>
      </c>
      <c r="AY60" s="486" t="s">
        <v>11374</v>
      </c>
      <c r="AZ60" s="464"/>
      <c r="BA60" s="481" t="s">
        <v>11341</v>
      </c>
      <c r="BB60" s="484" t="s">
        <v>11329</v>
      </c>
      <c r="BC60" s="484" t="s">
        <v>11375</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11376</v>
      </c>
      <c r="B1" s="27" t="s">
        <v>11377</v>
      </c>
      <c r="C1" s="488" t="s">
        <v>11378</v>
      </c>
      <c r="D1" s="224" t="s">
        <v>11379</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11380</v>
      </c>
      <c r="J1" s="27" t="s">
        <v>11381</v>
      </c>
      <c r="K1" s="488" t="s">
        <v>11382</v>
      </c>
      <c r="L1" s="224" t="s">
        <v>11383</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11384</v>
      </c>
      <c r="Z1" s="88" t="s">
        <v>11385</v>
      </c>
      <c r="AA1" s="369" t="s">
        <v>3345</v>
      </c>
      <c r="AB1" s="87" t="s">
        <v>11386</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11387</v>
      </c>
      <c r="AH1" s="493" t="s">
        <v>11388</v>
      </c>
      <c r="AI1" s="494" t="s">
        <v>11389</v>
      </c>
      <c r="AJ1" s="495" t="s">
        <v>6904</v>
      </c>
      <c r="AK1" s="496" t="s">
        <v>11390</v>
      </c>
      <c r="AL1" s="497" t="s">
        <v>11391</v>
      </c>
      <c r="AM1" s="498" t="s">
        <v>11392</v>
      </c>
      <c r="AN1" s="499" t="s">
        <v>6908</v>
      </c>
      <c r="AO1" s="197"/>
      <c r="AP1" s="497"/>
      <c r="AQ1" s="498"/>
      <c r="AR1" s="499"/>
      <c r="AS1" s="500"/>
      <c r="AT1" s="500"/>
    </row>
    <row r="2" ht="26.25" customHeight="1">
      <c r="A2" s="501" t="s">
        <v>11393</v>
      </c>
      <c r="B2" s="202" t="s">
        <v>11394</v>
      </c>
      <c r="C2" s="391" t="s">
        <v>1231</v>
      </c>
      <c r="D2" s="502" t="s">
        <v>11395</v>
      </c>
      <c r="E2" s="501" t="s">
        <v>11396</v>
      </c>
      <c r="F2" s="426" t="str">
        <f>IFERROR(__xludf.DUMMYFUNCTION("GOOGLETRANSLATE(B2,""zh-tw"",""ja"")"),"少し落ち着かない気分です")</f>
        <v>少し落ち着かない気分です</v>
      </c>
      <c r="G2" s="388" t="str">
        <f>IFERROR(__xludf.DUMMYFUNCTION("GOOGLETRANSLATE(C2,""zh-tw"",""ja"")"),"-")</f>
        <v>-</v>
      </c>
      <c r="H2" s="502" t="s">
        <v>11397</v>
      </c>
      <c r="I2" s="501" t="s">
        <v>11398</v>
      </c>
      <c r="J2" s="202" t="s">
        <v>11399</v>
      </c>
      <c r="K2" s="388" t="str">
        <f>IFERROR(__xludf.DUMMYFUNCTION("GOOGLETRANSLATE(C2,""zh-tw"",""en"")"),"-")</f>
        <v>-</v>
      </c>
      <c r="L2" s="502" t="s">
        <v>11400</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11401</v>
      </c>
      <c r="Z2" s="198" t="s">
        <v>11402</v>
      </c>
      <c r="AA2" s="384" t="s">
        <v>1231</v>
      </c>
      <c r="AB2" s="196" t="s">
        <v>11403</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11404</v>
      </c>
      <c r="AH2" s="155" t="s">
        <v>11405</v>
      </c>
      <c r="AI2" s="385" t="s">
        <v>1231</v>
      </c>
      <c r="AJ2" s="154" t="s">
        <v>11406</v>
      </c>
      <c r="AK2" s="153" t="s">
        <v>11407</v>
      </c>
      <c r="AL2" s="155" t="s">
        <v>11408</v>
      </c>
      <c r="AM2" s="385" t="s">
        <v>1231</v>
      </c>
      <c r="AN2" s="154" t="s">
        <v>11409</v>
      </c>
      <c r="AO2" s="197"/>
      <c r="AP2" s="155"/>
      <c r="AQ2" s="385"/>
      <c r="AR2" s="154"/>
      <c r="AS2" s="504"/>
      <c r="AT2" s="504"/>
    </row>
    <row r="3" ht="26.25" customHeight="1">
      <c r="A3" s="501" t="s">
        <v>11393</v>
      </c>
      <c r="B3" s="202" t="s">
        <v>11410</v>
      </c>
      <c r="C3" s="391" t="s">
        <v>1231</v>
      </c>
      <c r="D3" s="502" t="s">
        <v>11411</v>
      </c>
      <c r="E3" s="501" t="s">
        <v>11396</v>
      </c>
      <c r="F3" s="426" t="str">
        <f>IFERROR(__xludf.DUMMYFUNCTION("GOOGLETRANSLATE(B3,""zh-tw"",""ja"")"),"体全体が何らかの刺激を求めている。")</f>
        <v>体全体が何らかの刺激を求めている。</v>
      </c>
      <c r="G3" s="391" t="s">
        <v>1231</v>
      </c>
      <c r="H3" s="502" t="s">
        <v>11412</v>
      </c>
      <c r="I3" s="501" t="s">
        <v>11398</v>
      </c>
      <c r="J3" s="202" t="s">
        <v>11413</v>
      </c>
      <c r="K3" s="391" t="s">
        <v>1231</v>
      </c>
      <c r="L3" s="502" t="s">
        <v>11414</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11401</v>
      </c>
      <c r="Z3" s="198" t="s">
        <v>11415</v>
      </c>
      <c r="AA3" s="384" t="s">
        <v>1231</v>
      </c>
      <c r="AB3" s="196" t="s">
        <v>11416</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11404</v>
      </c>
      <c r="AH3" s="155" t="s">
        <v>11417</v>
      </c>
      <c r="AI3" s="385" t="s">
        <v>1231</v>
      </c>
      <c r="AJ3" s="154" t="s">
        <v>11418</v>
      </c>
      <c r="AK3" s="153" t="s">
        <v>11407</v>
      </c>
      <c r="AL3" s="155" t="s">
        <v>11419</v>
      </c>
      <c r="AM3" s="385" t="s">
        <v>1231</v>
      </c>
      <c r="AN3" s="154" t="s">
        <v>11420</v>
      </c>
      <c r="AO3" s="197"/>
      <c r="AP3" s="155"/>
      <c r="AQ3" s="385"/>
      <c r="AR3" s="154"/>
      <c r="AS3" s="504"/>
      <c r="AT3" s="504"/>
    </row>
    <row r="4" ht="26.25" customHeight="1">
      <c r="A4" s="501" t="s">
        <v>11393</v>
      </c>
      <c r="B4" s="202" t="s">
        <v>11421</v>
      </c>
      <c r="C4" s="391" t="s">
        <v>1231</v>
      </c>
      <c r="D4" s="502" t="s">
        <v>11422</v>
      </c>
      <c r="E4" s="501" t="s">
        <v>11396</v>
      </c>
      <c r="F4" s="426" t="str">
        <f>IFERROR(__xludf.DUMMYFUNCTION("GOOGLETRANSLATE(B4,""zh-tw"",""ja"")"),"もう自分をコントロールできない。")</f>
        <v>もう自分をコントロールできない。</v>
      </c>
      <c r="G4" s="391" t="s">
        <v>1231</v>
      </c>
      <c r="H4" s="502" t="s">
        <v>11423</v>
      </c>
      <c r="I4" s="501" t="s">
        <v>11398</v>
      </c>
      <c r="J4" s="202" t="s">
        <v>11424</v>
      </c>
      <c r="K4" s="391" t="s">
        <v>1231</v>
      </c>
      <c r="L4" s="502" t="s">
        <v>11425</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11401</v>
      </c>
      <c r="Z4" s="198" t="s">
        <v>11426</v>
      </c>
      <c r="AA4" s="384" t="s">
        <v>1231</v>
      </c>
      <c r="AB4" s="196" t="s">
        <v>11427</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11404</v>
      </c>
      <c r="AH4" s="155" t="s">
        <v>11428</v>
      </c>
      <c r="AI4" s="385" t="s">
        <v>1231</v>
      </c>
      <c r="AJ4" s="154" t="s">
        <v>11429</v>
      </c>
      <c r="AK4" s="153" t="s">
        <v>11407</v>
      </c>
      <c r="AL4" s="155" t="s">
        <v>11430</v>
      </c>
      <c r="AM4" s="385" t="s">
        <v>1231</v>
      </c>
      <c r="AN4" s="154" t="s">
        <v>11431</v>
      </c>
      <c r="AO4" s="197"/>
      <c r="AP4" s="155"/>
      <c r="AQ4" s="385"/>
      <c r="AR4" s="154"/>
      <c r="AS4" s="504"/>
      <c r="AT4" s="504"/>
    </row>
    <row r="5">
      <c r="A5" s="501" t="s">
        <v>11432</v>
      </c>
      <c r="B5" s="202" t="s">
        <v>11433</v>
      </c>
      <c r="C5" s="391" t="s">
        <v>11434</v>
      </c>
      <c r="D5" s="502" t="s">
        <v>11435</v>
      </c>
      <c r="E5" s="501" t="s">
        <v>11436</v>
      </c>
      <c r="F5" s="426" t="str">
        <f>IFERROR(__xludf.DUMMYFUNCTION("GOOGLETRANSLATE(B5,""zh-tw"",""ja"")"),"うーん…")</f>
        <v>うーん…</v>
      </c>
      <c r="G5" s="391" t="s">
        <v>11437</v>
      </c>
      <c r="H5" s="502" t="s">
        <v>11438</v>
      </c>
      <c r="I5" s="501" t="s">
        <v>11439</v>
      </c>
      <c r="J5" s="202" t="s">
        <v>11440</v>
      </c>
      <c r="K5" s="391" t="s">
        <v>11441</v>
      </c>
      <c r="L5" s="502" t="s">
        <v>11442</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11443</v>
      </c>
      <c r="Z5" s="198" t="s">
        <v>11444</v>
      </c>
      <c r="AA5" s="384" t="s">
        <v>11445</v>
      </c>
      <c r="AB5" s="196" t="s">
        <v>11446</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11439</v>
      </c>
      <c r="AH5" s="167" t="s">
        <v>11447</v>
      </c>
      <c r="AI5" s="385" t="s">
        <v>11448</v>
      </c>
      <c r="AJ5" s="154" t="s">
        <v>11449</v>
      </c>
      <c r="AK5" s="153" t="s">
        <v>11439</v>
      </c>
      <c r="AL5" s="155" t="s">
        <v>11440</v>
      </c>
      <c r="AM5" s="390" t="s">
        <v>11450</v>
      </c>
      <c r="AN5" s="154" t="s">
        <v>11451</v>
      </c>
      <c r="AO5" s="197"/>
      <c r="AP5" s="155"/>
      <c r="AQ5" s="390"/>
      <c r="AR5" s="154"/>
      <c r="AS5" s="504"/>
      <c r="AT5" s="504"/>
    </row>
    <row r="6">
      <c r="A6" s="501" t="s">
        <v>11452</v>
      </c>
      <c r="B6" s="202" t="s">
        <v>11453</v>
      </c>
      <c r="C6" s="391" t="s">
        <v>11454</v>
      </c>
      <c r="D6" s="502" t="s">
        <v>11455</v>
      </c>
      <c r="E6" s="501" t="s">
        <v>11456</v>
      </c>
      <c r="F6" s="202" t="s">
        <v>11457</v>
      </c>
      <c r="G6" s="388" t="str">
        <f>IFERROR(__xludf.DUMMYFUNCTION("GOOGLETRANSLATE(C6,""zh-tw"",""ja"")"),"賢者モードに入ると、すべての属性が上昇します。")</f>
        <v>賢者モードに入ると、すべての属性が上昇します。</v>
      </c>
      <c r="H6" s="502" t="s">
        <v>11458</v>
      </c>
      <c r="I6" s="501" t="s">
        <v>11459</v>
      </c>
      <c r="J6" s="202" t="s">
        <v>11460</v>
      </c>
      <c r="K6" s="391" t="s">
        <v>11461</v>
      </c>
      <c r="L6" s="502" t="s">
        <v>11462</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11463</v>
      </c>
      <c r="Z6" s="198" t="s">
        <v>11464</v>
      </c>
      <c r="AA6" s="384" t="s">
        <v>11465</v>
      </c>
      <c r="AB6" s="196" t="s">
        <v>11466</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11467</v>
      </c>
      <c r="AH6" s="167" t="s">
        <v>11468</v>
      </c>
      <c r="AI6" s="390" t="s">
        <v>11469</v>
      </c>
      <c r="AJ6" s="154" t="s">
        <v>11470</v>
      </c>
      <c r="AK6" s="153" t="s">
        <v>11471</v>
      </c>
      <c r="AL6" s="155" t="s">
        <v>11472</v>
      </c>
      <c r="AM6" s="385" t="s">
        <v>11473</v>
      </c>
      <c r="AN6" s="154" t="s">
        <v>11474</v>
      </c>
      <c r="AO6" s="197"/>
      <c r="AP6" s="155"/>
      <c r="AQ6" s="385"/>
      <c r="AR6" s="154"/>
      <c r="AS6" s="504"/>
      <c r="AT6" s="504"/>
    </row>
    <row r="7">
      <c r="A7" s="501" t="s">
        <v>11475</v>
      </c>
      <c r="B7" s="202" t="s">
        <v>1231</v>
      </c>
      <c r="C7" s="391" t="s">
        <v>11476</v>
      </c>
      <c r="D7" s="502" t="s">
        <v>11477</v>
      </c>
      <c r="E7" s="387" t="str">
        <f>IFERROR(__xludf.DUMMYFUNCTION("GOOGLETRANSLATE(A7,""zh-tw"",""ja"")"),"集中")</f>
        <v>集中</v>
      </c>
      <c r="F7" s="426" t="str">
        <f>IFERROR(__xludf.DUMMYFUNCTION("GOOGLETRANSLATE(B7,""zh-tw"",""ja"")"),"-")</f>
        <v>-</v>
      </c>
      <c r="G7" s="391" t="s">
        <v>11478</v>
      </c>
      <c r="H7" s="502" t="s">
        <v>11479</v>
      </c>
      <c r="I7" s="501" t="s">
        <v>11480</v>
      </c>
      <c r="J7" s="426" t="str">
        <f>IFERROR(__xludf.DUMMYFUNCTION("GOOGLETRANSLATE(B7,""zh-tw"",""en"")"),"-")</f>
        <v>-</v>
      </c>
      <c r="K7" s="391" t="s">
        <v>11481</v>
      </c>
      <c r="L7" s="502" t="s">
        <v>11482</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11483</v>
      </c>
      <c r="Z7" s="198" t="s">
        <v>1231</v>
      </c>
      <c r="AA7" s="384" t="s">
        <v>11484</v>
      </c>
      <c r="AB7" s="196" t="s">
        <v>11485</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11486</v>
      </c>
      <c r="AH7" s="155" t="s">
        <v>1231</v>
      </c>
      <c r="AI7" s="390" t="s">
        <v>11487</v>
      </c>
      <c r="AJ7" s="154" t="s">
        <v>11488</v>
      </c>
      <c r="AK7" s="153" t="s">
        <v>11480</v>
      </c>
      <c r="AL7" s="155" t="s">
        <v>1231</v>
      </c>
      <c r="AM7" s="385" t="s">
        <v>11489</v>
      </c>
      <c r="AN7" s="154" t="s">
        <v>11490</v>
      </c>
      <c r="AO7" s="197"/>
      <c r="AP7" s="155"/>
      <c r="AQ7" s="385"/>
      <c r="AR7" s="154"/>
      <c r="AS7" s="504"/>
      <c r="AT7" s="504"/>
    </row>
    <row r="8">
      <c r="A8" s="501" t="s">
        <v>11491</v>
      </c>
      <c r="B8" s="202" t="s">
        <v>11492</v>
      </c>
      <c r="C8" s="391" t="s">
        <v>1231</v>
      </c>
      <c r="D8" s="502" t="s">
        <v>11493</v>
      </c>
      <c r="E8" s="501" t="s">
        <v>11494</v>
      </c>
      <c r="F8" s="202" t="s">
        <v>11495</v>
      </c>
      <c r="G8" s="388" t="str">
        <f>IFERROR(__xludf.DUMMYFUNCTION("GOOGLETRANSLATE(C8,""zh-tw"",""ja"")"),"-")</f>
        <v>-</v>
      </c>
      <c r="H8" s="502" t="s">
        <v>11496</v>
      </c>
      <c r="I8" s="501" t="s">
        <v>11497</v>
      </c>
      <c r="J8" s="202" t="s">
        <v>11498</v>
      </c>
      <c r="K8" s="388" t="str">
        <f>IFERROR(__xludf.DUMMYFUNCTION("GOOGLETRANSLATE(C8,""zh-tw"",""en"")"),"-")</f>
        <v>-</v>
      </c>
      <c r="L8" s="502" t="s">
        <v>11499</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11500</v>
      </c>
      <c r="Z8" s="198" t="s">
        <v>11501</v>
      </c>
      <c r="AA8" s="384" t="s">
        <v>1231</v>
      </c>
      <c r="AB8" s="196" t="s">
        <v>11502</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11497</v>
      </c>
      <c r="AH8" s="167" t="s">
        <v>11503</v>
      </c>
      <c r="AI8" s="385" t="s">
        <v>1231</v>
      </c>
      <c r="AJ8" s="154" t="s">
        <v>11504</v>
      </c>
      <c r="AK8" s="153" t="s">
        <v>11497</v>
      </c>
      <c r="AL8" s="155" t="s">
        <v>11505</v>
      </c>
      <c r="AM8" s="385" t="s">
        <v>1231</v>
      </c>
      <c r="AN8" s="154" t="s">
        <v>11506</v>
      </c>
      <c r="AO8" s="197"/>
      <c r="AP8" s="155"/>
      <c r="AQ8" s="385"/>
      <c r="AR8" s="154"/>
      <c r="AS8" s="504"/>
      <c r="AT8" s="504"/>
    </row>
    <row r="9">
      <c r="A9" s="501" t="s">
        <v>11507</v>
      </c>
      <c r="B9" s="202" t="s">
        <v>1231</v>
      </c>
      <c r="C9" s="391" t="s">
        <v>11508</v>
      </c>
      <c r="D9" s="502" t="s">
        <v>11509</v>
      </c>
      <c r="E9" s="501" t="s">
        <v>11510</v>
      </c>
      <c r="F9" s="426" t="str">
        <f>IFERROR(__xludf.DUMMYFUNCTION("GOOGLETRANSLATE(B9,""zh-tw"",""ja"")"),"-")</f>
        <v>-</v>
      </c>
      <c r="G9" s="391" t="s">
        <v>11511</v>
      </c>
      <c r="H9" s="502" t="s">
        <v>11512</v>
      </c>
      <c r="I9" s="501" t="s">
        <v>11513</v>
      </c>
      <c r="J9" s="426" t="str">
        <f>IFERROR(__xludf.DUMMYFUNCTION("GOOGLETRANSLATE(B9,""zh-tw"",""en"")"),"-")</f>
        <v>-</v>
      </c>
      <c r="K9" s="391" t="s">
        <v>11514</v>
      </c>
      <c r="L9" s="502" t="s">
        <v>11515</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11516</v>
      </c>
      <c r="Z9" s="198" t="s">
        <v>1231</v>
      </c>
      <c r="AA9" s="384" t="s">
        <v>11517</v>
      </c>
      <c r="AB9" s="196" t="s">
        <v>11516</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11518</v>
      </c>
      <c r="AH9" s="155" t="s">
        <v>1231</v>
      </c>
      <c r="AI9" s="385" t="s">
        <v>11519</v>
      </c>
      <c r="AJ9" s="154" t="s">
        <v>11520</v>
      </c>
      <c r="AK9" s="153" t="s">
        <v>11521</v>
      </c>
      <c r="AL9" s="155" t="s">
        <v>1231</v>
      </c>
      <c r="AM9" s="385" t="s">
        <v>11521</v>
      </c>
      <c r="AN9" s="154" t="s">
        <v>11522</v>
      </c>
      <c r="AO9" s="197"/>
      <c r="AP9" s="155"/>
      <c r="AQ9" s="385"/>
      <c r="AR9" s="154"/>
      <c r="AS9" s="504"/>
      <c r="AT9" s="504"/>
    </row>
    <row r="10">
      <c r="A10" s="501" t="s">
        <v>11523</v>
      </c>
      <c r="B10" s="202" t="s">
        <v>1231</v>
      </c>
      <c r="C10" s="391" t="s">
        <v>11524</v>
      </c>
      <c r="D10" s="502" t="s">
        <v>11525</v>
      </c>
      <c r="E10" s="501" t="s">
        <v>11526</v>
      </c>
      <c r="F10" s="426" t="str">
        <f>IFERROR(__xludf.DUMMYFUNCTION("GOOGLETRANSLATE(B10,""zh-tw"",""ja"")"),"-")</f>
        <v>-</v>
      </c>
      <c r="G10" s="391" t="s">
        <v>11527</v>
      </c>
      <c r="H10" s="502" t="s">
        <v>11528</v>
      </c>
      <c r="I10" s="501" t="s">
        <v>11529</v>
      </c>
      <c r="J10" s="426" t="str">
        <f>IFERROR(__xludf.DUMMYFUNCTION("GOOGLETRANSLATE(B10,""zh-tw"",""en"")"),"-")</f>
        <v>-</v>
      </c>
      <c r="K10" s="391" t="s">
        <v>11530</v>
      </c>
      <c r="L10" s="502" t="s">
        <v>11531</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11532</v>
      </c>
      <c r="Z10" s="198" t="s">
        <v>11533</v>
      </c>
      <c r="AA10" s="384" t="s">
        <v>11534</v>
      </c>
      <c r="AB10" s="196" t="s">
        <v>11535</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11536</v>
      </c>
      <c r="AH10" s="155" t="s">
        <v>1231</v>
      </c>
      <c r="AI10" s="385" t="s">
        <v>11537</v>
      </c>
      <c r="AJ10" s="154" t="s">
        <v>11538</v>
      </c>
      <c r="AK10" s="153" t="s">
        <v>11539</v>
      </c>
      <c r="AL10" s="155" t="s">
        <v>1231</v>
      </c>
      <c r="AM10" s="385" t="s">
        <v>11540</v>
      </c>
      <c r="AN10" s="154" t="s">
        <v>11541</v>
      </c>
      <c r="AO10" s="197"/>
      <c r="AP10" s="155"/>
      <c r="AQ10" s="385"/>
      <c r="AR10" s="154"/>
      <c r="AS10" s="504"/>
      <c r="AT10" s="504"/>
    </row>
    <row r="11">
      <c r="A11" s="501" t="s">
        <v>11542</v>
      </c>
      <c r="B11" s="202" t="s">
        <v>1231</v>
      </c>
      <c r="C11" s="391" t="s">
        <v>11543</v>
      </c>
      <c r="D11" s="502" t="s">
        <v>11544</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IFERROR(__xludf.DUMMYFUNCTION("GOOGLETRANSLATE(D11,""zh-tw"",""ja"")"),"杖武器を右クリックします。")</f>
        <v>杖武器を右クリックします。</v>
      </c>
      <c r="I11" s="501" t="s">
        <v>11545</v>
      </c>
      <c r="J11" s="426" t="str">
        <f>IFERROR(__xludf.DUMMYFUNCTION("GOOGLETRANSLATE(B11,""zh-tw"",""en"")"),"-")</f>
        <v>-</v>
      </c>
      <c r="K11" s="391" t="s">
        <v>11546</v>
      </c>
      <c r="L11" s="502" t="s">
        <v>11547</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11548</v>
      </c>
      <c r="Z11" s="198" t="s">
        <v>1231</v>
      </c>
      <c r="AA11" s="384" t="s">
        <v>11549</v>
      </c>
      <c r="AB11" s="196" t="s">
        <v>11550</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11551</v>
      </c>
      <c r="AH11" s="155" t="s">
        <v>1231</v>
      </c>
      <c r="AI11" s="390" t="s">
        <v>11552</v>
      </c>
      <c r="AJ11" s="154" t="s">
        <v>11553</v>
      </c>
      <c r="AK11" s="153" t="s">
        <v>11554</v>
      </c>
      <c r="AL11" s="155" t="s">
        <v>1231</v>
      </c>
      <c r="AM11" s="385" t="s">
        <v>11555</v>
      </c>
      <c r="AN11" s="154" t="s">
        <v>11556</v>
      </c>
      <c r="AO11" s="197"/>
      <c r="AP11" s="155"/>
      <c r="AQ11" s="385"/>
      <c r="AR11" s="154"/>
      <c r="AS11" s="504"/>
      <c r="AT11" s="504"/>
    </row>
    <row r="12">
      <c r="A12" s="501" t="s">
        <v>11557</v>
      </c>
      <c r="B12" s="202" t="s">
        <v>11558</v>
      </c>
      <c r="C12" s="391" t="s">
        <v>11559</v>
      </c>
      <c r="D12" s="502" t="s">
        <v>11560</v>
      </c>
      <c r="E12" s="501" t="s">
        <v>11557</v>
      </c>
      <c r="F12" s="202" t="s">
        <v>11561</v>
      </c>
      <c r="G12" s="391" t="s">
        <v>11562</v>
      </c>
      <c r="H12" s="502" t="s">
        <v>11563</v>
      </c>
      <c r="I12" s="501" t="s">
        <v>11564</v>
      </c>
      <c r="J12" s="202" t="s">
        <v>11565</v>
      </c>
      <c r="K12" s="391" t="s">
        <v>11566</v>
      </c>
      <c r="L12" s="502" t="s">
        <v>11567</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11568</v>
      </c>
      <c r="Z12" s="198" t="s">
        <v>11569</v>
      </c>
      <c r="AA12" s="384" t="s">
        <v>11570</v>
      </c>
      <c r="AB12" s="196" t="s">
        <v>11571</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11572</v>
      </c>
      <c r="AH12" s="167" t="s">
        <v>11573</v>
      </c>
      <c r="AI12" s="385" t="s">
        <v>11574</v>
      </c>
      <c r="AJ12" s="154" t="s">
        <v>11575</v>
      </c>
      <c r="AK12" s="153" t="s">
        <v>11576</v>
      </c>
      <c r="AL12" s="155" t="s">
        <v>11577</v>
      </c>
      <c r="AM12" s="385" t="s">
        <v>11578</v>
      </c>
      <c r="AN12" s="154" t="s">
        <v>11579</v>
      </c>
      <c r="AO12" s="197"/>
      <c r="AP12" s="155"/>
      <c r="AQ12" s="385"/>
      <c r="AR12" s="154"/>
      <c r="AS12" s="504"/>
      <c r="AT12" s="504"/>
    </row>
    <row r="13">
      <c r="A13" s="501" t="s">
        <v>11580</v>
      </c>
      <c r="B13" s="202" t="s">
        <v>11581</v>
      </c>
      <c r="C13" s="391" t="s">
        <v>11582</v>
      </c>
      <c r="D13" s="502" t="s">
        <v>11583</v>
      </c>
      <c r="E13" s="387" t="str">
        <f>IFERROR(__xludf.DUMMYFUNCTION("GOOGLETRANSLATE(A13,""zh-tw"",""ja"")"),"出血")</f>
        <v>出血</v>
      </c>
      <c r="F13" s="202" t="s">
        <v>11584</v>
      </c>
      <c r="G13" s="388" t="str">
        <f>IFERROR(__xludf.DUMMYFUNCTION("GOOGLETRANSLATE(C13,""zh-tw"",""ja"")"),"受けるダメージは最大スタミナに基づいて決まります。")</f>
        <v>受けるダメージは最大スタミナに基づいて決まります。</v>
      </c>
      <c r="H13" s="502" t="s">
        <v>11585</v>
      </c>
      <c r="I13" s="387" t="str">
        <f>IFERROR(__xludf.DUMMYFUNCTION("GOOGLETRANSLATE(A13,""zh-tw"",""en"")"),"Bleeding")</f>
        <v>Bleeding</v>
      </c>
      <c r="J13" s="202" t="s">
        <v>11586</v>
      </c>
      <c r="K13" s="391" t="s">
        <v>11587</v>
      </c>
      <c r="L13" s="502" t="s">
        <v>11588</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11589</v>
      </c>
      <c r="Z13" s="198" t="s">
        <v>11590</v>
      </c>
      <c r="AA13" s="384" t="s">
        <v>11591</v>
      </c>
      <c r="AB13" s="196" t="s">
        <v>11592</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11593</v>
      </c>
      <c r="AH13" s="167" t="s">
        <v>11594</v>
      </c>
      <c r="AI13" s="385" t="s">
        <v>11595</v>
      </c>
      <c r="AJ13" s="154" t="s">
        <v>11596</v>
      </c>
      <c r="AK13" s="153" t="s">
        <v>11597</v>
      </c>
      <c r="AL13" s="155" t="s">
        <v>11598</v>
      </c>
      <c r="AM13" s="385" t="s">
        <v>11599</v>
      </c>
      <c r="AN13" s="154" t="s">
        <v>11600</v>
      </c>
      <c r="AO13" s="197"/>
      <c r="AP13" s="155"/>
      <c r="AQ13" s="385"/>
      <c r="AR13" s="154"/>
      <c r="AS13" s="504"/>
      <c r="AT13" s="504"/>
    </row>
    <row r="14">
      <c r="A14" s="501" t="s">
        <v>11601</v>
      </c>
      <c r="B14" s="202" t="s">
        <v>11602</v>
      </c>
      <c r="C14" s="391" t="s">
        <v>11603</v>
      </c>
      <c r="D14" s="502" t="s">
        <v>11604</v>
      </c>
      <c r="E14" s="501" t="s">
        <v>11605</v>
      </c>
      <c r="F14" s="426" t="str">
        <f>IFERROR(__xludf.DUMMYFUNCTION("GOOGLETRANSLATE(B14,""zh-tw"",""ja"")"),"見て、この男は雷に打たれたんだ！")</f>
        <v>見て、この男は雷に打たれたんだ！</v>
      </c>
      <c r="G14" s="391" t="s">
        <v>11606</v>
      </c>
      <c r="H14" s="502" t="s">
        <v>11607</v>
      </c>
      <c r="I14" s="501" t="s">
        <v>11608</v>
      </c>
      <c r="J14" s="202" t="s">
        <v>11609</v>
      </c>
      <c r="K14" s="391" t="s">
        <v>11610</v>
      </c>
      <c r="L14" s="502" t="s">
        <v>11611</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11612</v>
      </c>
      <c r="Z14" s="198" t="s">
        <v>11613</v>
      </c>
      <c r="AA14" s="384" t="s">
        <v>11614</v>
      </c>
      <c r="AB14" s="196" t="s">
        <v>11615</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11616</v>
      </c>
      <c r="AH14" s="167" t="s">
        <v>11617</v>
      </c>
      <c r="AI14" s="390" t="s">
        <v>11618</v>
      </c>
      <c r="AJ14" s="154" t="s">
        <v>11619</v>
      </c>
      <c r="AK14" s="153" t="s">
        <v>11620</v>
      </c>
      <c r="AL14" s="155" t="s">
        <v>11621</v>
      </c>
      <c r="AM14" s="385" t="s">
        <v>11622</v>
      </c>
      <c r="AN14" s="154" t="s">
        <v>11623</v>
      </c>
      <c r="AO14" s="197"/>
      <c r="AP14" s="155"/>
      <c r="AQ14" s="385"/>
      <c r="AR14" s="154"/>
      <c r="AS14" s="504"/>
      <c r="AT14" s="504"/>
    </row>
    <row r="15">
      <c r="A15" s="501" t="s">
        <v>11624</v>
      </c>
      <c r="B15" s="202" t="s">
        <v>11625</v>
      </c>
      <c r="C15" s="391" t="s">
        <v>11626</v>
      </c>
      <c r="D15" s="502" t="s">
        <v>11627</v>
      </c>
      <c r="E15" s="501" t="s">
        <v>11624</v>
      </c>
      <c r="F15" s="426" t="str">
        <f>IFERROR(__xludf.DUMMYFUNCTION("GOOGLETRANSLATE(B15,""zh-tw"",""ja"")"),"暑い！暑い！暑い！暑い！")</f>
        <v>暑い！暑い！暑い！暑い！</v>
      </c>
      <c r="G15" s="391" t="s">
        <v>11628</v>
      </c>
      <c r="H15" s="502" t="s">
        <v>11629</v>
      </c>
      <c r="I15" s="501" t="s">
        <v>11630</v>
      </c>
      <c r="J15" s="202" t="s">
        <v>11631</v>
      </c>
      <c r="K15" s="391" t="s">
        <v>11632</v>
      </c>
      <c r="L15" s="502" t="s">
        <v>11633</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11634</v>
      </c>
      <c r="AA15" s="384" t="s">
        <v>11635</v>
      </c>
      <c r="AB15" s="196" t="s">
        <v>11636</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11637</v>
      </c>
      <c r="AH15" s="155" t="s">
        <v>11638</v>
      </c>
      <c r="AI15" s="390" t="s">
        <v>11639</v>
      </c>
      <c r="AJ15" s="166" t="s">
        <v>11640</v>
      </c>
      <c r="AK15" s="153" t="s">
        <v>11641</v>
      </c>
      <c r="AL15" s="155" t="s">
        <v>11642</v>
      </c>
      <c r="AM15" s="385" t="s">
        <v>11643</v>
      </c>
      <c r="AN15" s="154" t="s">
        <v>11644</v>
      </c>
      <c r="AO15" s="197"/>
      <c r="AP15" s="155"/>
      <c r="AQ15" s="385"/>
      <c r="AR15" s="154"/>
      <c r="AS15" s="504"/>
      <c r="AT15" s="504"/>
    </row>
    <row r="16">
      <c r="A16" s="501" t="s">
        <v>11645</v>
      </c>
      <c r="B16" s="202" t="s">
        <v>11646</v>
      </c>
      <c r="C16" s="391" t="s">
        <v>11647</v>
      </c>
      <c r="D16" s="502" t="s">
        <v>6994</v>
      </c>
      <c r="E16" s="501" t="s">
        <v>11648</v>
      </c>
      <c r="F16" s="426" t="str">
        <f>IFERROR(__xludf.DUMMYFUNCTION("GOOGLETRANSLATE(B16,""zh-tw"",""ja"")"),"アイスキャンディーにしてみよう！")</f>
        <v>アイスキャンディーにしてみよう！</v>
      </c>
      <c r="G16" s="391" t="s">
        <v>11649</v>
      </c>
      <c r="H16" s="502" t="s">
        <v>11650</v>
      </c>
      <c r="I16" s="501" t="s">
        <v>11651</v>
      </c>
      <c r="J16" s="202" t="s">
        <v>11652</v>
      </c>
      <c r="K16" s="391" t="s">
        <v>11653</v>
      </c>
      <c r="L16" s="502" t="s">
        <v>6999</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4" t="str">
        <f>IFERROR(__xludf.DUMMYFUNCTION("GOOGLETRANSLATE(C16,""zh-tw"",""KO"")"),"꽁꽁 얼어붙었네!")</f>
        <v>꽁꽁 얼어붙었네!</v>
      </c>
      <c r="X16" s="196" t="str">
        <f>IFERROR(__xludf.DUMMYFUNCTION("GOOGLETRANSLATE(D16,""zh-tw"",""KO"")"),"냉동 슬라임")</f>
        <v>냉동 슬라임</v>
      </c>
      <c r="Y16" s="197" t="s">
        <v>11654</v>
      </c>
      <c r="Z16" s="198" t="s">
        <v>11655</v>
      </c>
      <c r="AA16" s="384" t="s">
        <v>11656</v>
      </c>
      <c r="AB16" s="196" t="s">
        <v>11657</v>
      </c>
      <c r="AC16" s="387" t="str">
        <f>IFERROR(__xludf.DUMMYFUNCTION("GOOGLETRANSLATE(A16,""zh-tw"",""DE"")"),"Eis")</f>
        <v>Eis</v>
      </c>
      <c r="AD16" s="426" t="str">
        <f>IFERROR(__xludf.DUMMYFUNCTION("GOOGLETRANSLATE(B16,""zh-tw"",""DE"")"),"Verwandle es in ein Eis am Stiel!")</f>
        <v>Verwandle es in ein Eis am Stiel!</v>
      </c>
      <c r="AE16" s="388" t="str">
        <f>IFERROR(__xludf.DUMMYFUNCTION("GOOGLETRANSLATE(C16,""zh-tw"",""DE"")"),"Es ist komplett durchgefroren!")</f>
        <v>Es ist komplett durchgefroren!</v>
      </c>
      <c r="AF16" s="503" t="str">
        <f>IFERROR(__xludf.DUMMYFUNCTION("GOOGLETRANSLATE(D16,""zh-tw"",""DE"")"),"Gefrorener Schleim")</f>
        <v>Gefrorener Schleim</v>
      </c>
      <c r="AG16" s="153" t="s">
        <v>11658</v>
      </c>
      <c r="AH16" s="167" t="s">
        <v>11659</v>
      </c>
      <c r="AI16" s="390" t="s">
        <v>11660</v>
      </c>
      <c r="AJ16" s="154" t="s">
        <v>7006</v>
      </c>
      <c r="AK16" s="153" t="s">
        <v>11661</v>
      </c>
      <c r="AL16" s="155" t="s">
        <v>11662</v>
      </c>
      <c r="AM16" s="385" t="s">
        <v>11663</v>
      </c>
      <c r="AN16" s="154" t="s">
        <v>7008</v>
      </c>
      <c r="AO16" s="197"/>
      <c r="AP16" s="155"/>
      <c r="AQ16" s="385"/>
      <c r="AR16" s="154"/>
      <c r="AS16" s="504"/>
      <c r="AT16" s="504"/>
    </row>
    <row r="17">
      <c r="A17" s="501" t="s">
        <v>11664</v>
      </c>
      <c r="B17" s="202" t="s">
        <v>11665</v>
      </c>
      <c r="C17" s="391" t="s">
        <v>11666</v>
      </c>
      <c r="D17" s="502" t="s">
        <v>11667</v>
      </c>
      <c r="E17" s="501" t="s">
        <v>11668</v>
      </c>
      <c r="F17" s="426" t="str">
        <f>IFERROR(__xludf.DUMMYFUNCTION("GOOGLETRANSLATE(B17,""zh-tw"",""ja"")"),"ふふ、私に反抗するとこうなるのね～♡")</f>
        <v>ふふ、私に反抗するとこうなるのね～♡</v>
      </c>
      <c r="G17" s="391" t="s">
        <v>11669</v>
      </c>
      <c r="H17" s="503" t="str">
        <f>IFERROR(__xludf.DUMMYFUNCTION("GOOGLETRANSLATE(D17,""zh-tw"",""ja"")"),"ミステリーショップでは魚はもらえません。")</f>
        <v>ミステリーショップでは魚はもらえません。</v>
      </c>
      <c r="I17" s="501" t="s">
        <v>11670</v>
      </c>
      <c r="J17" s="202" t="s">
        <v>11671</v>
      </c>
      <c r="K17" s="391" t="s">
        <v>11672</v>
      </c>
      <c r="L17" s="502" t="s">
        <v>11673</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11674</v>
      </c>
      <c r="Z17" s="198" t="s">
        <v>11675</v>
      </c>
      <c r="AA17" s="384" t="s">
        <v>11676</v>
      </c>
      <c r="AB17" s="196" t="s">
        <v>11677</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11678</v>
      </c>
      <c r="AH17" s="167" t="s">
        <v>11679</v>
      </c>
      <c r="AI17" s="385" t="s">
        <v>11680</v>
      </c>
      <c r="AJ17" s="166" t="s">
        <v>11681</v>
      </c>
      <c r="AK17" s="153" t="s">
        <v>11682</v>
      </c>
      <c r="AL17" s="155" t="s">
        <v>11683</v>
      </c>
      <c r="AM17" s="385" t="s">
        <v>11684</v>
      </c>
      <c r="AN17" s="154" t="s">
        <v>11685</v>
      </c>
      <c r="AO17" s="197"/>
      <c r="AP17" s="155"/>
      <c r="AQ17" s="385"/>
      <c r="AR17" s="154"/>
      <c r="AS17" s="504"/>
      <c r="AT17" s="504"/>
    </row>
    <row r="18">
      <c r="A18" s="501" t="s">
        <v>11686</v>
      </c>
      <c r="B18" s="202" t="s">
        <v>11687</v>
      </c>
      <c r="C18" s="391" t="s">
        <v>11688</v>
      </c>
      <c r="D18" s="502" t="s">
        <v>11689</v>
      </c>
      <c r="E18" s="501" t="s">
        <v>11690</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11691</v>
      </c>
      <c r="J18" s="202" t="s">
        <v>11692</v>
      </c>
      <c r="K18" s="391" t="s">
        <v>11693</v>
      </c>
      <c r="L18" s="502" t="s">
        <v>11694</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11695</v>
      </c>
      <c r="Z18" s="198" t="s">
        <v>11696</v>
      </c>
      <c r="AA18" s="384" t="s">
        <v>11697</v>
      </c>
      <c r="AB18" s="196" t="s">
        <v>11698</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11699</v>
      </c>
      <c r="AH18" s="167" t="s">
        <v>11700</v>
      </c>
      <c r="AI18" s="390" t="s">
        <v>11701</v>
      </c>
      <c r="AJ18" s="154" t="s">
        <v>11702</v>
      </c>
      <c r="AK18" s="153" t="s">
        <v>11703</v>
      </c>
      <c r="AL18" s="155" t="s">
        <v>11704</v>
      </c>
      <c r="AM18" s="385" t="s">
        <v>11705</v>
      </c>
      <c r="AN18" s="154" t="s">
        <v>11706</v>
      </c>
      <c r="AO18" s="197"/>
      <c r="AP18" s="155"/>
      <c r="AQ18" s="385"/>
      <c r="AR18" s="154"/>
      <c r="AS18" s="504"/>
      <c r="AT18" s="504"/>
    </row>
    <row r="19">
      <c r="A19" s="501" t="s">
        <v>11707</v>
      </c>
      <c r="B19" s="202" t="s">
        <v>11708</v>
      </c>
      <c r="C19" s="391" t="s">
        <v>11709</v>
      </c>
      <c r="D19" s="502" t="s">
        <v>11710</v>
      </c>
      <c r="E19" s="501" t="s">
        <v>11711</v>
      </c>
      <c r="F19" s="202" t="s">
        <v>11712</v>
      </c>
      <c r="G19" s="391" t="s">
        <v>11713</v>
      </c>
      <c r="H19" s="503" t="str">
        <f>IFERROR(__xludf.DUMMYFUNCTION("GOOGLETRANSLATE(D19,""zh-tw"",""ja"")"),"妹にいたずらをすると怒る")</f>
        <v>妹にいたずらをすると怒る</v>
      </c>
      <c r="I19" s="501" t="s">
        <v>11714</v>
      </c>
      <c r="J19" s="202" t="s">
        <v>11715</v>
      </c>
      <c r="K19" s="391" t="s">
        <v>11716</v>
      </c>
      <c r="L19" s="502" t="s">
        <v>11717</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11718</v>
      </c>
      <c r="Z19" s="198" t="s">
        <v>11719</v>
      </c>
      <c r="AA19" s="384" t="s">
        <v>11720</v>
      </c>
      <c r="AB19" s="196" t="s">
        <v>11721</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11722</v>
      </c>
      <c r="AH19" s="167" t="s">
        <v>11723</v>
      </c>
      <c r="AI19" s="385" t="s">
        <v>11722</v>
      </c>
      <c r="AJ19" s="166" t="s">
        <v>11724</v>
      </c>
      <c r="AK19" s="153" t="s">
        <v>11725</v>
      </c>
      <c r="AL19" s="155" t="s">
        <v>11726</v>
      </c>
      <c r="AM19" s="385" t="s">
        <v>11727</v>
      </c>
      <c r="AN19" s="154" t="s">
        <v>11728</v>
      </c>
      <c r="AO19" s="197"/>
      <c r="AP19" s="155"/>
      <c r="AQ19" s="385"/>
      <c r="AR19" s="154"/>
      <c r="AS19" s="504"/>
      <c r="AT19" s="504"/>
    </row>
    <row r="20">
      <c r="A20" s="501" t="s">
        <v>11729</v>
      </c>
      <c r="B20" s="202" t="s">
        <v>11708</v>
      </c>
      <c r="C20" s="391" t="s">
        <v>11730</v>
      </c>
      <c r="D20" s="502" t="s">
        <v>11710</v>
      </c>
      <c r="E20" s="501" t="s">
        <v>11731</v>
      </c>
      <c r="F20" s="202" t="s">
        <v>11712</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11732</v>
      </c>
      <c r="J20" s="202" t="s">
        <v>11715</v>
      </c>
      <c r="K20" s="388" t="str">
        <f>IFERROR(__xludf.DUMMYFUNCTION("GOOGLETRANSLATE(C20,""zh-tw"",""en"")"),"Making meat dishes")</f>
        <v>Making meat dishes</v>
      </c>
      <c r="L20" s="502" t="s">
        <v>11717</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11733</v>
      </c>
      <c r="Z20" s="198" t="s">
        <v>11719</v>
      </c>
      <c r="AA20" s="384" t="s">
        <v>720</v>
      </c>
      <c r="AB20" s="196" t="s">
        <v>11721</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11734</v>
      </c>
      <c r="AH20" s="167" t="s">
        <v>11723</v>
      </c>
      <c r="AI20" s="385" t="s">
        <v>11735</v>
      </c>
      <c r="AJ20" s="154" t="s">
        <v>11736</v>
      </c>
      <c r="AK20" s="153" t="s">
        <v>11737</v>
      </c>
      <c r="AL20" s="155" t="s">
        <v>11726</v>
      </c>
      <c r="AM20" s="390" t="s">
        <v>11738</v>
      </c>
      <c r="AN20" s="154" t="s">
        <v>11728</v>
      </c>
      <c r="AO20" s="197"/>
      <c r="AP20" s="155"/>
      <c r="AQ20" s="390"/>
      <c r="AR20" s="154"/>
      <c r="AS20" s="504"/>
      <c r="AT20" s="504"/>
    </row>
    <row r="21">
      <c r="A21" s="501" t="s">
        <v>11739</v>
      </c>
      <c r="B21" s="202" t="s">
        <v>11740</v>
      </c>
      <c r="C21" s="391" t="s">
        <v>11741</v>
      </c>
      <c r="D21" s="502" t="s">
        <v>591</v>
      </c>
      <c r="E21" s="501" t="s">
        <v>664</v>
      </c>
      <c r="F21" s="426" t="str">
        <f>IFERROR(__xludf.DUMMYFUNCTION("GOOGLETRANSLATE(B21,""zh-tw"",""ja"")"),"...")</f>
        <v>...</v>
      </c>
      <c r="G21" s="391" t="s">
        <v>11742</v>
      </c>
      <c r="H21" s="502" t="s">
        <v>594</v>
      </c>
      <c r="I21" s="501" t="s">
        <v>11743</v>
      </c>
      <c r="J21" s="426" t="str">
        <f>IFERROR(__xludf.DUMMYFUNCTION("GOOGLETRANSLATE(B21,""zh-tw"",""en"")"),"...")</f>
        <v>...</v>
      </c>
      <c r="K21" s="391" t="s">
        <v>11744</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11745</v>
      </c>
      <c r="Z21" s="198" t="s">
        <v>11746</v>
      </c>
      <c r="AA21" s="384" t="s">
        <v>11747</v>
      </c>
      <c r="AB21" s="196" t="s">
        <v>11748</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11749</v>
      </c>
      <c r="AH21" s="155" t="s">
        <v>11746</v>
      </c>
      <c r="AI21" s="390" t="s">
        <v>11750</v>
      </c>
      <c r="AJ21" s="154" t="s">
        <v>613</v>
      </c>
      <c r="AK21" s="153" t="s">
        <v>11751</v>
      </c>
      <c r="AL21" s="155" t="s">
        <v>1231</v>
      </c>
      <c r="AM21" s="385" t="s">
        <v>11752</v>
      </c>
      <c r="AN21" s="154" t="s">
        <v>616</v>
      </c>
      <c r="AO21" s="197"/>
      <c r="AP21" s="155"/>
      <c r="AQ21" s="385"/>
      <c r="AR21" s="154"/>
      <c r="AS21" s="504"/>
      <c r="AT21" s="504"/>
    </row>
    <row r="22">
      <c r="A22" s="501" t="s">
        <v>11753</v>
      </c>
      <c r="B22" s="202" t="s">
        <v>11754</v>
      </c>
      <c r="C22" s="391" t="s">
        <v>11755</v>
      </c>
      <c r="D22" s="502" t="s">
        <v>8085</v>
      </c>
      <c r="E22" s="501" t="s">
        <v>11756</v>
      </c>
      <c r="F22" s="202" t="s">
        <v>11757</v>
      </c>
      <c r="G22" s="388" t="str">
        <f>IFERROR(__xludf.DUMMYFUNCTION("GOOGLETRANSLATE(C22,""zh-tw"",""ja"")"),"彼の体は常に悪臭を放っていた")</f>
        <v>彼の体は常に悪臭を放っていた</v>
      </c>
      <c r="H22" s="502" t="s">
        <v>8087</v>
      </c>
      <c r="I22" s="501" t="s">
        <v>11758</v>
      </c>
      <c r="J22" s="202" t="s">
        <v>11759</v>
      </c>
      <c r="K22" s="391" t="s">
        <v>11760</v>
      </c>
      <c r="L22" s="502" t="s">
        <v>8089</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11761</v>
      </c>
      <c r="Z22" s="198" t="s">
        <v>11762</v>
      </c>
      <c r="AA22" s="384" t="s">
        <v>11763</v>
      </c>
      <c r="AB22" s="196" t="s">
        <v>11764</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11765</v>
      </c>
      <c r="AH22" s="155" t="s">
        <v>11766</v>
      </c>
      <c r="AI22" s="390" t="s">
        <v>11767</v>
      </c>
      <c r="AJ22" s="154" t="s">
        <v>8097</v>
      </c>
      <c r="AK22" s="153" t="s">
        <v>11768</v>
      </c>
      <c r="AL22" s="155" t="s">
        <v>11769</v>
      </c>
      <c r="AM22" s="385" t="s">
        <v>11770</v>
      </c>
      <c r="AN22" s="154" t="s">
        <v>8099</v>
      </c>
      <c r="AO22" s="197"/>
      <c r="AP22" s="155"/>
      <c r="AQ22" s="385"/>
      <c r="AR22" s="154"/>
      <c r="AS22" s="504"/>
      <c r="AT22" s="504"/>
    </row>
    <row r="23">
      <c r="A23" s="501" t="s">
        <v>11771</v>
      </c>
      <c r="B23" s="202" t="s">
        <v>11772</v>
      </c>
      <c r="C23" s="391" t="s">
        <v>11773</v>
      </c>
      <c r="D23" s="502" t="s">
        <v>11774</v>
      </c>
      <c r="E23" s="387" t="str">
        <f>IFERROR(__xludf.DUMMYFUNCTION("GOOGLETRANSLATE(A23,""zh-tw"",""ja"")"),"美味しい")</f>
        <v>美味しい</v>
      </c>
      <c r="F23" s="426" t="str">
        <f>IFERROR(__xludf.DUMMYFUNCTION("GOOGLETRANSLATE(B23,""zh-tw"",""ja"")"),"美味しいものを食べてお腹も温まりました〜")</f>
        <v>美味しいものを食べてお腹も温まりました〜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11775</v>
      </c>
      <c r="J23" s="202" t="s">
        <v>11776</v>
      </c>
      <c r="K23" s="391" t="s">
        <v>11777</v>
      </c>
      <c r="L23" s="502" t="s">
        <v>11778</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11779</v>
      </c>
      <c r="Z23" s="198" t="s">
        <v>11780</v>
      </c>
      <c r="AA23" s="384" t="s">
        <v>11781</v>
      </c>
      <c r="AB23" s="196" t="s">
        <v>11782</v>
      </c>
      <c r="AC23" s="387" t="str">
        <f>IFERROR(__xludf.DUMMYFUNCTION("GOOGLETRANSLATE(A23,""zh-tw"",""DE"")"),"Lecker")</f>
        <v>Lecker</v>
      </c>
      <c r="AD23" s="426"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11783</v>
      </c>
      <c r="AH23" s="167" t="s">
        <v>11784</v>
      </c>
      <c r="AI23" s="385" t="s">
        <v>11785</v>
      </c>
      <c r="AJ23" s="166" t="s">
        <v>11786</v>
      </c>
      <c r="AK23" s="153" t="s">
        <v>11787</v>
      </c>
      <c r="AL23" s="155" t="s">
        <v>11788</v>
      </c>
      <c r="AM23" s="385" t="s">
        <v>11789</v>
      </c>
      <c r="AN23" s="154" t="s">
        <v>11790</v>
      </c>
      <c r="AO23" s="197"/>
      <c r="AP23" s="155"/>
      <c r="AQ23" s="385"/>
      <c r="AR23" s="154"/>
      <c r="AS23" s="504"/>
      <c r="AT23" s="504"/>
    </row>
    <row r="24">
      <c r="A24" s="501" t="s">
        <v>11791</v>
      </c>
      <c r="B24" s="202" t="s">
        <v>11792</v>
      </c>
      <c r="C24" s="391" t="s">
        <v>11793</v>
      </c>
      <c r="D24" s="502" t="s">
        <v>11794</v>
      </c>
      <c r="E24" s="501" t="s">
        <v>11795</v>
      </c>
      <c r="F24" s="202" t="s">
        <v>11796</v>
      </c>
      <c r="G24" s="388" t="str">
        <f>IFERROR(__xludf.DUMMYFUNCTION("GOOGLETRANSLATE(C24,""zh-tw"",""ja"")"),"攻撃力+50%")</f>
        <v>攻撃力+50%</v>
      </c>
      <c r="H24" s="503" t="str">
        <f>IFERROR(__xludf.DUMMYFUNCTION("GOOGLETRANSLATE(D24,""zh-tw"",""ja"")"),"食べ物")</f>
        <v>食べ物</v>
      </c>
      <c r="I24" s="501" t="s">
        <v>11797</v>
      </c>
      <c r="J24" s="202" t="s">
        <v>11798</v>
      </c>
      <c r="K24" s="391" t="s">
        <v>11799</v>
      </c>
      <c r="L24" s="502" t="s">
        <v>11800</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11801</v>
      </c>
      <c r="Z24" s="198" t="s">
        <v>11802</v>
      </c>
      <c r="AA24" s="384" t="s">
        <v>11803</v>
      </c>
      <c r="AB24" s="196" t="s">
        <v>11804</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11805</v>
      </c>
      <c r="AH24" s="167" t="s">
        <v>11806</v>
      </c>
      <c r="AI24" s="385" t="s">
        <v>11807</v>
      </c>
      <c r="AJ24" s="154" t="s">
        <v>11808</v>
      </c>
      <c r="AK24" s="153" t="s">
        <v>11809</v>
      </c>
      <c r="AL24" s="155" t="s">
        <v>11810</v>
      </c>
      <c r="AM24" s="385" t="s">
        <v>11811</v>
      </c>
      <c r="AN24" s="154" t="s">
        <v>11812</v>
      </c>
      <c r="AO24" s="197"/>
      <c r="AP24" s="155"/>
      <c r="AQ24" s="385"/>
      <c r="AR24" s="154"/>
      <c r="AS24" s="504"/>
      <c r="AT24" s="504"/>
    </row>
    <row r="25">
      <c r="A25" s="501" t="s">
        <v>11813</v>
      </c>
      <c r="B25" s="202" t="s">
        <v>11814</v>
      </c>
      <c r="C25" s="391" t="s">
        <v>11815</v>
      </c>
      <c r="D25" s="502" t="s">
        <v>11794</v>
      </c>
      <c r="E25" s="501" t="s">
        <v>11816</v>
      </c>
      <c r="F25" s="202" t="s">
        <v>11817</v>
      </c>
      <c r="G25" s="388" t="str">
        <f>IFERROR(__xludf.DUMMYFUNCTION("GOOGLETRANSLATE(C25,""zh-tw"",""ja"")"),"魔法力+50%")</f>
        <v>魔法力+50%</v>
      </c>
      <c r="H25" s="503" t="str">
        <f>IFERROR(__xludf.DUMMYFUNCTION("GOOGLETRANSLATE(D25,""zh-tw"",""ja"")"),"食べ物")</f>
        <v>食べ物</v>
      </c>
      <c r="I25" s="501" t="s">
        <v>11818</v>
      </c>
      <c r="J25" s="202" t="s">
        <v>11819</v>
      </c>
      <c r="K25" s="391" t="s">
        <v>11820</v>
      </c>
      <c r="L25" s="502" t="s">
        <v>11800</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11821</v>
      </c>
      <c r="Z25" s="198" t="s">
        <v>11822</v>
      </c>
      <c r="AA25" s="384" t="s">
        <v>11823</v>
      </c>
      <c r="AB25" s="196" t="s">
        <v>11804</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11824</v>
      </c>
      <c r="AH25" s="167" t="s">
        <v>11825</v>
      </c>
      <c r="AI25" s="385" t="s">
        <v>11826</v>
      </c>
      <c r="AJ25" s="154" t="s">
        <v>11808</v>
      </c>
      <c r="AK25" s="153" t="s">
        <v>11827</v>
      </c>
      <c r="AL25" s="155" t="s">
        <v>11828</v>
      </c>
      <c r="AM25" s="385" t="s">
        <v>11829</v>
      </c>
      <c r="AN25" s="154" t="s">
        <v>11812</v>
      </c>
      <c r="AO25" s="197"/>
      <c r="AP25" s="155"/>
      <c r="AQ25" s="385"/>
      <c r="AR25" s="154"/>
      <c r="AS25" s="504"/>
      <c r="AT25" s="504"/>
    </row>
    <row r="26">
      <c r="A26" s="501" t="s">
        <v>11830</v>
      </c>
      <c r="B26" s="202" t="s">
        <v>11831</v>
      </c>
      <c r="C26" s="391" t="s">
        <v>11832</v>
      </c>
      <c r="D26" s="502" t="s">
        <v>11794</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11833</v>
      </c>
      <c r="J26" s="202" t="s">
        <v>11834</v>
      </c>
      <c r="K26" s="391" t="s">
        <v>11835</v>
      </c>
      <c r="L26" s="502" t="s">
        <v>11800</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11836</v>
      </c>
      <c r="Z26" s="198" t="s">
        <v>11837</v>
      </c>
      <c r="AA26" s="384" t="s">
        <v>11838</v>
      </c>
      <c r="AB26" s="196" t="s">
        <v>11804</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11839</v>
      </c>
      <c r="AH26" s="167" t="s">
        <v>11840</v>
      </c>
      <c r="AI26" s="385" t="s">
        <v>11841</v>
      </c>
      <c r="AJ26" s="154" t="s">
        <v>11808</v>
      </c>
      <c r="AK26" s="153" t="s">
        <v>11842</v>
      </c>
      <c r="AL26" s="155" t="s">
        <v>11843</v>
      </c>
      <c r="AM26" s="385" t="s">
        <v>11844</v>
      </c>
      <c r="AN26" s="154" t="s">
        <v>11812</v>
      </c>
      <c r="AO26" s="197"/>
      <c r="AP26" s="155"/>
      <c r="AQ26" s="385"/>
      <c r="AR26" s="154"/>
      <c r="AS26" s="504"/>
      <c r="AT26" s="504"/>
    </row>
    <row r="27">
      <c r="A27" s="501" t="s">
        <v>11845</v>
      </c>
      <c r="B27" s="202" t="s">
        <v>11846</v>
      </c>
      <c r="C27" s="391" t="s">
        <v>11847</v>
      </c>
      <c r="D27" s="502" t="s">
        <v>11848</v>
      </c>
      <c r="E27" s="387" t="str">
        <f>IFERROR(__xludf.DUMMYFUNCTION("GOOGLETRANSLATE(A27,""zh-tw"",""ja"")"),"巨神兵")</f>
        <v>巨神兵</v>
      </c>
      <c r="F27" s="202" t="s">
        <v>11849</v>
      </c>
      <c r="G27" s="391" t="s">
        <v>11850</v>
      </c>
      <c r="H27" s="503" t="str">
        <f>IFERROR(__xludf.DUMMYFUNCTION("GOOGLETRANSLATE(D27,""zh-tw"",""ja"")"),"タロットカード")</f>
        <v>タロットカード</v>
      </c>
      <c r="I27" s="501" t="s">
        <v>11851</v>
      </c>
      <c r="J27" s="202" t="s">
        <v>11852</v>
      </c>
      <c r="K27" s="391" t="s">
        <v>11853</v>
      </c>
      <c r="L27" s="502" t="s">
        <v>11854</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11855</v>
      </c>
      <c r="Z27" s="198" t="s">
        <v>11856</v>
      </c>
      <c r="AA27" s="384" t="s">
        <v>11857</v>
      </c>
      <c r="AB27" s="196" t="s">
        <v>11858</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11859</v>
      </c>
      <c r="AH27" s="155" t="s">
        <v>11860</v>
      </c>
      <c r="AI27" s="390" t="s">
        <v>11861</v>
      </c>
      <c r="AJ27" s="154" t="s">
        <v>11862</v>
      </c>
      <c r="AK27" s="153" t="s">
        <v>11863</v>
      </c>
      <c r="AL27" s="155" t="s">
        <v>11864</v>
      </c>
      <c r="AM27" s="385" t="s">
        <v>11865</v>
      </c>
      <c r="AN27" s="154" t="s">
        <v>11866</v>
      </c>
      <c r="AO27" s="197"/>
      <c r="AP27" s="155"/>
      <c r="AQ27" s="385"/>
      <c r="AR27" s="154"/>
      <c r="AS27" s="504"/>
      <c r="AT27" s="504"/>
    </row>
    <row r="28">
      <c r="A28" s="501" t="s">
        <v>11867</v>
      </c>
      <c r="B28" s="202" t="s">
        <v>11868</v>
      </c>
      <c r="C28" s="391" t="s">
        <v>11869</v>
      </c>
      <c r="D28" s="502" t="s">
        <v>11848</v>
      </c>
      <c r="E28" s="501" t="s">
        <v>11870</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11871</v>
      </c>
      <c r="J28" s="202" t="s">
        <v>11872</v>
      </c>
      <c r="K28" s="388" t="str">
        <f>IFERROR(__xludf.DUMMYFUNCTION("GOOGLETRANSLATE(C28,""zh-tw"",""en"")"),"With the blessing of fate, it's easier to encounter happy things!")</f>
        <v>With the blessing of fate, it's easier to encounter happy things!</v>
      </c>
      <c r="L28" s="502" t="s">
        <v>11873</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11874</v>
      </c>
      <c r="Z28" s="198" t="s">
        <v>11875</v>
      </c>
      <c r="AA28" s="384" t="s">
        <v>11876</v>
      </c>
      <c r="AB28" s="196" t="s">
        <v>11858</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11877</v>
      </c>
      <c r="AH28" s="167" t="s">
        <v>11878</v>
      </c>
      <c r="AI28" s="390" t="s">
        <v>11879</v>
      </c>
      <c r="AJ28" s="154" t="s">
        <v>11880</v>
      </c>
      <c r="AK28" s="153" t="s">
        <v>11881</v>
      </c>
      <c r="AL28" s="155" t="s">
        <v>11882</v>
      </c>
      <c r="AM28" s="385" t="s">
        <v>11883</v>
      </c>
      <c r="AN28" s="154" t="s">
        <v>11884</v>
      </c>
      <c r="AO28" s="197"/>
      <c r="AP28" s="155"/>
      <c r="AQ28" s="385"/>
      <c r="AR28" s="154"/>
      <c r="AS28" s="504"/>
      <c r="AT28" s="504"/>
    </row>
    <row r="29">
      <c r="A29" s="501" t="s">
        <v>11885</v>
      </c>
      <c r="B29" s="202" t="s">
        <v>11886</v>
      </c>
      <c r="C29" s="391" t="s">
        <v>11887</v>
      </c>
      <c r="D29" s="502" t="s">
        <v>11848</v>
      </c>
      <c r="E29" s="501" t="s">
        <v>11888</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11889</v>
      </c>
      <c r="J29" s="202" t="s">
        <v>11890</v>
      </c>
      <c r="K29" s="388" t="str">
        <f>IFERROR(__xludf.DUMMYFUNCTION("GOOGLETRANSLATE(C29,""zh-tw"",""en"")"),"Being blessed by fate makes it easier to encounter difficult things!")</f>
        <v>Being blessed by fate makes it easier to encounter difficult things!</v>
      </c>
      <c r="L29" s="502" t="s">
        <v>11873</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11891</v>
      </c>
      <c r="Z29" s="198" t="s">
        <v>11875</v>
      </c>
      <c r="AA29" s="384" t="s">
        <v>11892</v>
      </c>
      <c r="AB29" s="196" t="s">
        <v>11858</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11893</v>
      </c>
      <c r="AH29" s="167" t="s">
        <v>11894</v>
      </c>
      <c r="AI29" s="390" t="s">
        <v>11895</v>
      </c>
      <c r="AJ29" s="154" t="s">
        <v>11880</v>
      </c>
      <c r="AK29" s="153" t="s">
        <v>11896</v>
      </c>
      <c r="AL29" s="155" t="s">
        <v>11897</v>
      </c>
      <c r="AM29" s="385" t="s">
        <v>11898</v>
      </c>
      <c r="AN29" s="154" t="s">
        <v>11884</v>
      </c>
      <c r="AO29" s="197"/>
      <c r="AP29" s="155"/>
      <c r="AQ29" s="385"/>
      <c r="AR29" s="154"/>
      <c r="AS29" s="504"/>
      <c r="AT29" s="504"/>
    </row>
    <row r="30">
      <c r="A30" s="501" t="s">
        <v>11899</v>
      </c>
      <c r="B30" s="202" t="s">
        <v>11900</v>
      </c>
      <c r="C30" s="391" t="s">
        <v>11901</v>
      </c>
      <c r="D30" s="502" t="s">
        <v>10048</v>
      </c>
      <c r="E30" s="501" t="s">
        <v>11902</v>
      </c>
      <c r="F30" s="202" t="s">
        <v>11903</v>
      </c>
      <c r="G30" s="391" t="s">
        <v>11904</v>
      </c>
      <c r="H30" s="502" t="s">
        <v>10050</v>
      </c>
      <c r="I30" s="501" t="s">
        <v>11905</v>
      </c>
      <c r="J30" s="202" t="s">
        <v>11906</v>
      </c>
      <c r="K30" s="391" t="s">
        <v>11907</v>
      </c>
      <c r="L30" s="502" t="s">
        <v>10052</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11908</v>
      </c>
      <c r="Z30" s="198" t="s">
        <v>11909</v>
      </c>
      <c r="AA30" s="384" t="s">
        <v>11910</v>
      </c>
      <c r="AB30" s="196" t="s">
        <v>11911</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11912</v>
      </c>
      <c r="AH30" s="167" t="s">
        <v>11913</v>
      </c>
      <c r="AI30" s="390" t="s">
        <v>11914</v>
      </c>
      <c r="AJ30" s="154" t="s">
        <v>10061</v>
      </c>
      <c r="AK30" s="153" t="s">
        <v>11915</v>
      </c>
      <c r="AL30" s="155" t="s">
        <v>11916</v>
      </c>
      <c r="AM30" s="385" t="s">
        <v>11917</v>
      </c>
      <c r="AN30" s="154" t="s">
        <v>10063</v>
      </c>
      <c r="AO30" s="197"/>
      <c r="AP30" s="155"/>
      <c r="AQ30" s="385"/>
      <c r="AR30" s="154"/>
      <c r="AS30" s="504"/>
      <c r="AT30" s="504"/>
    </row>
    <row r="31">
      <c r="A31" s="501" t="s">
        <v>11918</v>
      </c>
      <c r="B31" s="202" t="s">
        <v>11919</v>
      </c>
      <c r="C31" s="391" t="s">
        <v>11920</v>
      </c>
      <c r="D31" s="502" t="s">
        <v>11921</v>
      </c>
      <c r="E31" s="501" t="s">
        <v>11922</v>
      </c>
      <c r="F31" s="202" t="s">
        <v>11923</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11924</v>
      </c>
      <c r="I31" s="501" t="s">
        <v>11925</v>
      </c>
      <c r="J31" s="202" t="s">
        <v>11926</v>
      </c>
      <c r="K31" s="391" t="s">
        <v>11927</v>
      </c>
      <c r="L31" s="502" t="s">
        <v>11928</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11929</v>
      </c>
      <c r="Z31" s="198" t="s">
        <v>11930</v>
      </c>
      <c r="AA31" s="384" t="s">
        <v>11931</v>
      </c>
      <c r="AB31" s="196" t="s">
        <v>11932</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11933</v>
      </c>
      <c r="AH31" s="167" t="s">
        <v>11934</v>
      </c>
      <c r="AI31" s="390" t="s">
        <v>11935</v>
      </c>
      <c r="AJ31" s="154" t="s">
        <v>11936</v>
      </c>
      <c r="AK31" s="153" t="s">
        <v>11937</v>
      </c>
      <c r="AL31" s="155" t="s">
        <v>11938</v>
      </c>
      <c r="AM31" s="385" t="s">
        <v>11939</v>
      </c>
      <c r="AN31" s="154" t="s">
        <v>11940</v>
      </c>
      <c r="AO31" s="197"/>
      <c r="AP31" s="155"/>
      <c r="AQ31" s="385"/>
      <c r="AR31" s="154"/>
      <c r="AS31" s="504"/>
      <c r="AT31" s="504"/>
    </row>
    <row r="32">
      <c r="A32" s="501" t="s">
        <v>11941</v>
      </c>
      <c r="B32" s="202" t="s">
        <v>11942</v>
      </c>
      <c r="C32" s="391" t="s">
        <v>11943</v>
      </c>
      <c r="D32" s="502" t="s">
        <v>9027</v>
      </c>
      <c r="E32" s="501" t="s">
        <v>11944</v>
      </c>
      <c r="F32" s="426" t="str">
        <f>IFERROR(__xludf.DUMMYFUNCTION("GOOGLETRANSLATE(B32,""zh-tw"",""ja"")"),"祝福を享受できますように")</f>
        <v>祝福を享受できますように</v>
      </c>
      <c r="G32" s="391" t="s">
        <v>11945</v>
      </c>
      <c r="H32" s="502" t="s">
        <v>9029</v>
      </c>
      <c r="I32" s="501" t="s">
        <v>11946</v>
      </c>
      <c r="J32" s="202" t="s">
        <v>11947</v>
      </c>
      <c r="K32" s="391" t="s">
        <v>11948</v>
      </c>
      <c r="L32" s="502" t="s">
        <v>9031</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11949</v>
      </c>
      <c r="Z32" s="198" t="s">
        <v>11950</v>
      </c>
      <c r="AA32" s="384" t="s">
        <v>11951</v>
      </c>
      <c r="AB32" s="196" t="s">
        <v>9036</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11952</v>
      </c>
      <c r="AH32" s="167" t="s">
        <v>11953</v>
      </c>
      <c r="AI32" s="385" t="s">
        <v>11954</v>
      </c>
      <c r="AJ32" s="154" t="s">
        <v>11955</v>
      </c>
      <c r="AK32" s="153" t="s">
        <v>11956</v>
      </c>
      <c r="AL32" s="155" t="s">
        <v>11957</v>
      </c>
      <c r="AM32" s="385" t="s">
        <v>11958</v>
      </c>
      <c r="AN32" s="505" t="s">
        <v>11959</v>
      </c>
      <c r="AO32" s="197"/>
      <c r="AP32" s="155"/>
      <c r="AQ32" s="385"/>
      <c r="AR32" s="505"/>
      <c r="AS32" s="504"/>
      <c r="AT32" s="504"/>
    </row>
    <row r="33">
      <c r="A33" s="501" t="s">
        <v>11960</v>
      </c>
      <c r="B33" s="202" t="s">
        <v>1231</v>
      </c>
      <c r="C33" s="391" t="s">
        <v>1231</v>
      </c>
      <c r="D33" s="502" t="s">
        <v>11961</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11962</v>
      </c>
      <c r="J33" s="426" t="str">
        <f>IFERROR(__xludf.DUMMYFUNCTION("GOOGLETRANSLATE(B33,""zh-tw"",""en"")"),"-")</f>
        <v>-</v>
      </c>
      <c r="K33" s="388" t="str">
        <f>IFERROR(__xludf.DUMMYFUNCTION("GOOGLETRANSLATE(C33,""zh-tw"",""en"")"),"-")</f>
        <v>-</v>
      </c>
      <c r="L33" s="502" t="s">
        <v>11963</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11964</v>
      </c>
      <c r="Z33" s="198" t="s">
        <v>1231</v>
      </c>
      <c r="AA33" s="384" t="s">
        <v>1231</v>
      </c>
      <c r="AB33" s="196" t="s">
        <v>11965</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11966</v>
      </c>
      <c r="AH33" s="155" t="s">
        <v>1231</v>
      </c>
      <c r="AI33" s="385" t="s">
        <v>1231</v>
      </c>
      <c r="AJ33" s="154" t="s">
        <v>11967</v>
      </c>
      <c r="AK33" s="153" t="s">
        <v>11968</v>
      </c>
      <c r="AL33" s="155" t="s">
        <v>1231</v>
      </c>
      <c r="AM33" s="385" t="s">
        <v>1231</v>
      </c>
      <c r="AN33" s="154" t="s">
        <v>11969</v>
      </c>
      <c r="AO33" s="197"/>
      <c r="AP33" s="155"/>
      <c r="AQ33" s="385"/>
      <c r="AR33" s="154"/>
      <c r="AS33" s="504"/>
      <c r="AT33" s="504"/>
    </row>
    <row r="34">
      <c r="A34" s="501" t="s">
        <v>11970</v>
      </c>
      <c r="B34" s="202" t="s">
        <v>11971</v>
      </c>
      <c r="C34" s="391" t="s">
        <v>11972</v>
      </c>
      <c r="D34" s="502" t="s">
        <v>8302</v>
      </c>
      <c r="E34" s="501" t="s">
        <v>8304</v>
      </c>
      <c r="F34" s="202" t="s">
        <v>11973</v>
      </c>
      <c r="G34" s="388" t="str">
        <f>IFERROR(__xludf.DUMMYFUNCTION("GOOGLETRANSLATE(C34,""zh-tw"",""ja"")"),"全属性が上昇し、一時的に無敵になる。")</f>
        <v>全属性が上昇し、一時的に無敵になる。</v>
      </c>
      <c r="H34" s="502" t="s">
        <v>8304</v>
      </c>
      <c r="I34" s="501" t="s">
        <v>8306</v>
      </c>
      <c r="J34" s="202" t="s">
        <v>11974</v>
      </c>
      <c r="K34" s="391" t="s">
        <v>11975</v>
      </c>
      <c r="L34" s="502" t="s">
        <v>8306</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8308</v>
      </c>
      <c r="Z34" s="198" t="s">
        <v>11976</v>
      </c>
      <c r="AA34" s="384" t="s">
        <v>11977</v>
      </c>
      <c r="AB34" s="196" t="s">
        <v>8308</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11978</v>
      </c>
      <c r="AH34" s="167" t="s">
        <v>11979</v>
      </c>
      <c r="AI34" s="385" t="s">
        <v>11980</v>
      </c>
      <c r="AJ34" s="154" t="s">
        <v>11978</v>
      </c>
      <c r="AK34" s="153" t="s">
        <v>8314</v>
      </c>
      <c r="AL34" s="155" t="s">
        <v>11981</v>
      </c>
      <c r="AM34" s="385" t="s">
        <v>11982</v>
      </c>
      <c r="AN34" s="154" t="s">
        <v>8314</v>
      </c>
      <c r="AO34" s="197"/>
      <c r="AP34" s="155"/>
      <c r="AQ34" s="385"/>
      <c r="AR34" s="154"/>
      <c r="AS34" s="504"/>
      <c r="AT34" s="504"/>
    </row>
    <row r="35">
      <c r="A35" s="501" t="s">
        <v>3419</v>
      </c>
      <c r="B35" s="202" t="s">
        <v>11983</v>
      </c>
      <c r="C35" s="391" t="s">
        <v>11984</v>
      </c>
      <c r="D35" s="502" t="s">
        <v>11985</v>
      </c>
      <c r="E35" s="501" t="s">
        <v>3422</v>
      </c>
      <c r="F35" s="202" t="s">
        <v>11986</v>
      </c>
      <c r="G35" s="388" t="str">
        <f>IFERROR(__xludf.DUMMYFUNCTION("GOOGLETRANSLATE(C35,""zh-tw"",""ja"")"),"スタミナを回復できない")</f>
        <v>スタミナを回復できない</v>
      </c>
      <c r="H35" s="502" t="s">
        <v>7503</v>
      </c>
      <c r="I35" s="501" t="s">
        <v>7505</v>
      </c>
      <c r="J35" s="202" t="s">
        <v>11987</v>
      </c>
      <c r="K35" s="391" t="s">
        <v>11988</v>
      </c>
      <c r="L35" s="502" t="s">
        <v>7505</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11989</v>
      </c>
      <c r="AA35" s="384" t="s">
        <v>11990</v>
      </c>
      <c r="AB35" s="196" t="s">
        <v>7509</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7513</v>
      </c>
      <c r="AH35" s="167" t="s">
        <v>11991</v>
      </c>
      <c r="AI35" s="385" t="s">
        <v>11992</v>
      </c>
      <c r="AJ35" s="154" t="s">
        <v>7513</v>
      </c>
      <c r="AK35" s="153" t="s">
        <v>7515</v>
      </c>
      <c r="AL35" s="155" t="s">
        <v>11993</v>
      </c>
      <c r="AM35" s="385" t="s">
        <v>11994</v>
      </c>
      <c r="AN35" s="154" t="s">
        <v>7515</v>
      </c>
      <c r="AO35" s="197"/>
      <c r="AP35" s="155"/>
      <c r="AQ35" s="385"/>
      <c r="AR35" s="154"/>
      <c r="AS35" s="504"/>
      <c r="AT35" s="504"/>
    </row>
    <row r="36">
      <c r="A36" s="501" t="s">
        <v>11995</v>
      </c>
      <c r="B36" s="202" t="s">
        <v>1231</v>
      </c>
      <c r="C36" s="391" t="s">
        <v>11996</v>
      </c>
      <c r="D36" s="502" t="s">
        <v>11997</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11998</v>
      </c>
      <c r="J36" s="426" t="str">
        <f>IFERROR(__xludf.DUMMYFUNCTION("GOOGLETRANSLATE(B36,""zh-tw"",""en"")"),"-")</f>
        <v>-</v>
      </c>
      <c r="K36" s="391" t="s">
        <v>11999</v>
      </c>
      <c r="L36" s="502" t="s">
        <v>12000</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12001</v>
      </c>
      <c r="Z36" s="198" t="s">
        <v>1231</v>
      </c>
      <c r="AA36" s="384" t="s">
        <v>12002</v>
      </c>
      <c r="AB36" s="196" t="s">
        <v>12001</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12003</v>
      </c>
      <c r="AH36" s="155" t="s">
        <v>1231</v>
      </c>
      <c r="AI36" s="390" t="s">
        <v>12004</v>
      </c>
      <c r="AJ36" s="154" t="s">
        <v>12005</v>
      </c>
      <c r="AK36" s="153" t="s">
        <v>12006</v>
      </c>
      <c r="AL36" s="155" t="s">
        <v>1231</v>
      </c>
      <c r="AM36" s="385" t="s">
        <v>12007</v>
      </c>
      <c r="AN36" s="154" t="s">
        <v>12008</v>
      </c>
      <c r="AO36" s="197"/>
      <c r="AP36" s="155"/>
      <c r="AQ36" s="385"/>
      <c r="AR36" s="154"/>
      <c r="AS36" s="504"/>
      <c r="AT36" s="504"/>
    </row>
    <row r="37">
      <c r="A37" s="501" t="s">
        <v>12009</v>
      </c>
      <c r="B37" s="202" t="s">
        <v>12010</v>
      </c>
      <c r="C37" s="391" t="s">
        <v>12011</v>
      </c>
      <c r="D37" s="502" t="s">
        <v>7647</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12012</v>
      </c>
      <c r="J37" s="202" t="s">
        <v>12013</v>
      </c>
      <c r="K37" s="391" t="s">
        <v>12014</v>
      </c>
      <c r="L37" s="502" t="s">
        <v>7650</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12015</v>
      </c>
      <c r="Z37" s="198" t="s">
        <v>12016</v>
      </c>
      <c r="AA37" s="384" t="s">
        <v>12017</v>
      </c>
      <c r="AB37" s="196" t="s">
        <v>7654</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12018</v>
      </c>
      <c r="AH37" s="167" t="s">
        <v>12019</v>
      </c>
      <c r="AI37" s="390" t="s">
        <v>12020</v>
      </c>
      <c r="AJ37" s="154" t="s">
        <v>7659</v>
      </c>
      <c r="AK37" s="153" t="s">
        <v>12021</v>
      </c>
      <c r="AL37" s="155" t="s">
        <v>12022</v>
      </c>
      <c r="AM37" s="385" t="s">
        <v>12023</v>
      </c>
      <c r="AN37" s="154" t="s">
        <v>7661</v>
      </c>
      <c r="AO37" s="197"/>
      <c r="AP37" s="155"/>
      <c r="AQ37" s="385"/>
      <c r="AR37" s="154"/>
      <c r="AS37" s="504"/>
      <c r="AT37" s="504"/>
    </row>
    <row r="38">
      <c r="A38" s="501" t="s">
        <v>12024</v>
      </c>
      <c r="B38" s="202" t="s">
        <v>12025</v>
      </c>
      <c r="C38" s="391" t="s">
        <v>12026</v>
      </c>
      <c r="D38" s="502" t="s">
        <v>8686</v>
      </c>
      <c r="E38" s="501" t="s">
        <v>12027</v>
      </c>
      <c r="F38" s="202" t="s">
        <v>12028</v>
      </c>
      <c r="G38" s="388" t="str">
        <f>IFERROR(__xludf.DUMMYFUNCTION("GOOGLETRANSLATE(C38,""zh-tw"",""ja"")"),"スタミナは自動的に回復します。")</f>
        <v>スタミナは自動的に回復します。</v>
      </c>
      <c r="H38" s="502" t="s">
        <v>12029</v>
      </c>
      <c r="I38" s="501" t="s">
        <v>12030</v>
      </c>
      <c r="J38" s="202" t="s">
        <v>12031</v>
      </c>
      <c r="K38" s="391" t="s">
        <v>12032</v>
      </c>
      <c r="L38" s="502" t="s">
        <v>12033</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12034</v>
      </c>
      <c r="Z38" s="198" t="s">
        <v>12035</v>
      </c>
      <c r="AA38" s="384" t="s">
        <v>12036</v>
      </c>
      <c r="AB38" s="196" t="s">
        <v>12037</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12038</v>
      </c>
      <c r="AH38" s="167" t="s">
        <v>12039</v>
      </c>
      <c r="AI38" s="390" t="s">
        <v>12040</v>
      </c>
      <c r="AJ38" s="154" t="s">
        <v>12041</v>
      </c>
      <c r="AK38" s="153" t="s">
        <v>12042</v>
      </c>
      <c r="AL38" s="155" t="s">
        <v>12043</v>
      </c>
      <c r="AM38" s="385" t="s">
        <v>12044</v>
      </c>
      <c r="AN38" s="154" t="s">
        <v>12045</v>
      </c>
      <c r="AO38" s="197"/>
      <c r="AP38" s="155"/>
      <c r="AQ38" s="385"/>
      <c r="AR38" s="154"/>
      <c r="AS38" s="504"/>
      <c r="AT38" s="504"/>
    </row>
    <row r="39">
      <c r="A39" s="501" t="s">
        <v>12046</v>
      </c>
      <c r="B39" s="202" t="s">
        <v>12047</v>
      </c>
      <c r="C39" s="391" t="s">
        <v>12048</v>
      </c>
      <c r="D39" s="502" t="s">
        <v>12049</v>
      </c>
      <c r="E39" s="501" t="s">
        <v>12050</v>
      </c>
      <c r="F39" s="202" t="s">
        <v>12051</v>
      </c>
      <c r="G39" s="391" t="s">
        <v>12052</v>
      </c>
      <c r="H39" s="502" t="s">
        <v>12053</v>
      </c>
      <c r="I39" s="501" t="s">
        <v>12054</v>
      </c>
      <c r="J39" s="202" t="s">
        <v>12055</v>
      </c>
      <c r="K39" s="391" t="s">
        <v>12056</v>
      </c>
      <c r="L39" s="502" t="s">
        <v>12057</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12058</v>
      </c>
      <c r="Z39" s="198" t="s">
        <v>12059</v>
      </c>
      <c r="AA39" s="384" t="s">
        <v>12060</v>
      </c>
      <c r="AB39" s="196" t="s">
        <v>12061</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12062</v>
      </c>
      <c r="AH39" s="167" t="s">
        <v>12063</v>
      </c>
      <c r="AI39" s="390" t="s">
        <v>12064</v>
      </c>
      <c r="AJ39" s="154" t="s">
        <v>12065</v>
      </c>
      <c r="AK39" s="153" t="s">
        <v>12054</v>
      </c>
      <c r="AL39" s="155" t="s">
        <v>12066</v>
      </c>
      <c r="AM39" s="385" t="s">
        <v>12067</v>
      </c>
      <c r="AN39" s="154" t="s">
        <v>12068</v>
      </c>
      <c r="AO39" s="197"/>
      <c r="AP39" s="155"/>
      <c r="AQ39" s="385"/>
      <c r="AR39" s="154"/>
      <c r="AS39" s="504"/>
      <c r="AT39" s="504"/>
    </row>
    <row r="40">
      <c r="A40" s="501" t="s">
        <v>12069</v>
      </c>
      <c r="B40" s="202" t="s">
        <v>12070</v>
      </c>
      <c r="C40" s="391" t="s">
        <v>12071</v>
      </c>
      <c r="D40" s="502" t="s">
        <v>12072</v>
      </c>
      <c r="E40" s="501" t="s">
        <v>12073</v>
      </c>
      <c r="F40" s="202" t="s">
        <v>12074</v>
      </c>
      <c r="G40" s="391" t="s">
        <v>12075</v>
      </c>
      <c r="H40" s="502" t="s">
        <v>12076</v>
      </c>
      <c r="I40" s="501" t="s">
        <v>12077</v>
      </c>
      <c r="J40" s="202" t="s">
        <v>12078</v>
      </c>
      <c r="K40" s="391" t="s">
        <v>12079</v>
      </c>
      <c r="L40" s="502" t="s">
        <v>12080</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12081</v>
      </c>
      <c r="Z40" s="198" t="s">
        <v>12082</v>
      </c>
      <c r="AA40" s="384" t="s">
        <v>12083</v>
      </c>
      <c r="AB40" s="196" t="s">
        <v>12084</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12085</v>
      </c>
      <c r="AH40" s="167" t="s">
        <v>12086</v>
      </c>
      <c r="AI40" s="390" t="s">
        <v>12087</v>
      </c>
      <c r="AJ40" s="154" t="s">
        <v>12088</v>
      </c>
      <c r="AK40" s="153" t="s">
        <v>12077</v>
      </c>
      <c r="AL40" s="155" t="s">
        <v>12089</v>
      </c>
      <c r="AM40" s="385" t="s">
        <v>12090</v>
      </c>
      <c r="AN40" s="154" t="s">
        <v>12091</v>
      </c>
      <c r="AO40" s="197"/>
      <c r="AP40" s="155"/>
      <c r="AQ40" s="385"/>
      <c r="AR40" s="154"/>
      <c r="AS40" s="504"/>
      <c r="AT40" s="504"/>
    </row>
    <row r="41">
      <c r="A41" s="501" t="s">
        <v>12092</v>
      </c>
      <c r="B41" s="202" t="s">
        <v>12093</v>
      </c>
      <c r="C41" s="391" t="s">
        <v>12094</v>
      </c>
      <c r="D41" s="502" t="s">
        <v>12095</v>
      </c>
      <c r="E41" s="501" t="s">
        <v>12096</v>
      </c>
      <c r="F41" s="202" t="s">
        <v>12097</v>
      </c>
      <c r="G41" s="391" t="s">
        <v>12098</v>
      </c>
      <c r="H41" s="502" t="s">
        <v>12099</v>
      </c>
      <c r="I41" s="501" t="s">
        <v>12100</v>
      </c>
      <c r="J41" s="202" t="s">
        <v>12101</v>
      </c>
      <c r="K41" s="391" t="s">
        <v>12102</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12103</v>
      </c>
      <c r="Z41" s="198" t="s">
        <v>12104</v>
      </c>
      <c r="AA41" s="384" t="s">
        <v>12105</v>
      </c>
      <c r="AB41" s="196" t="s">
        <v>12106</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IFERROR(__xludf.DUMMYFUNCTION("GOOGLETRANSLATE(C41,""zh-tw"",""DE"")"),"Ich fühle mich wegen der Hitze am ganzen Körper schwach...")</f>
        <v>Ich fühle mich wegen der Hitze am ganzen Körper schwach...</v>
      </c>
      <c r="AF41" s="503" t="str">
        <f>IFERROR(__xludf.DUMMYFUNCTION("GOOGLETRANSLATE(D41,""zh-tw"",""DE"")"),"heißes Wetter")</f>
        <v>heißes Wetter</v>
      </c>
      <c r="AG41" s="153" t="s">
        <v>3381</v>
      </c>
      <c r="AH41" s="155" t="s">
        <v>12107</v>
      </c>
      <c r="AI41" s="390" t="s">
        <v>12108</v>
      </c>
      <c r="AJ41" s="506"/>
      <c r="AK41" s="153" t="s">
        <v>3384</v>
      </c>
      <c r="AL41" s="155" t="s">
        <v>12109</v>
      </c>
      <c r="AM41" s="385" t="s">
        <v>12110</v>
      </c>
      <c r="AN41" s="506"/>
      <c r="AO41" s="197"/>
      <c r="AP41" s="155"/>
      <c r="AQ41" s="385"/>
      <c r="AR41" s="506"/>
      <c r="AS41" s="504"/>
      <c r="AT41" s="504"/>
    </row>
    <row r="42">
      <c r="A42" s="501" t="s">
        <v>12111</v>
      </c>
      <c r="B42" s="202" t="s">
        <v>12112</v>
      </c>
      <c r="C42" s="391" t="s">
        <v>12113</v>
      </c>
      <c r="D42" s="502" t="s">
        <v>12114</v>
      </c>
      <c r="E42" s="501" t="s">
        <v>12115</v>
      </c>
      <c r="F42" s="202" t="s">
        <v>12116</v>
      </c>
      <c r="G42" s="391" t="s">
        <v>12117</v>
      </c>
      <c r="H42" s="502" t="s">
        <v>12118</v>
      </c>
      <c r="I42" s="501" t="s">
        <v>12119</v>
      </c>
      <c r="J42" s="202" t="s">
        <v>12120</v>
      </c>
      <c r="K42" s="391" t="s">
        <v>12121</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12122</v>
      </c>
      <c r="Z42" s="198" t="s">
        <v>12123</v>
      </c>
      <c r="AA42" s="384" t="s">
        <v>12124</v>
      </c>
      <c r="AB42" s="196" t="s">
        <v>12125</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12126</v>
      </c>
      <c r="AH42" s="167" t="s">
        <v>12127</v>
      </c>
      <c r="AI42" s="390" t="s">
        <v>12128</v>
      </c>
      <c r="AJ42" s="506"/>
      <c r="AK42" s="153" t="s">
        <v>12119</v>
      </c>
      <c r="AL42" s="155" t="s">
        <v>12129</v>
      </c>
      <c r="AM42" s="385" t="s">
        <v>12130</v>
      </c>
      <c r="AN42" s="506"/>
      <c r="AO42" s="197"/>
      <c r="AP42" s="155"/>
      <c r="AQ42" s="385"/>
      <c r="AR42" s="506"/>
      <c r="AS42" s="504"/>
      <c r="AT42" s="504"/>
    </row>
    <row r="43">
      <c r="A43" s="501" t="s">
        <v>12131</v>
      </c>
      <c r="B43" s="202" t="s">
        <v>12132</v>
      </c>
      <c r="C43" s="391" t="s">
        <v>1231</v>
      </c>
      <c r="D43" s="502" t="s">
        <v>9506</v>
      </c>
      <c r="E43" s="501" t="s">
        <v>12133</v>
      </c>
      <c r="F43" s="202" t="s">
        <v>12134</v>
      </c>
      <c r="G43" s="391" t="s">
        <v>1231</v>
      </c>
      <c r="H43" s="502" t="s">
        <v>12135</v>
      </c>
      <c r="I43" s="501" t="s">
        <v>9510</v>
      </c>
      <c r="J43" s="202" t="s">
        <v>12136</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12137</v>
      </c>
      <c r="Z43" s="198" t="s">
        <v>12138</v>
      </c>
      <c r="AA43" s="384" t="s">
        <v>1231</v>
      </c>
      <c r="AB43" s="196" t="s">
        <v>9512</v>
      </c>
      <c r="AC43" s="387" t="str">
        <f>IFERROR(__xludf.DUMMYFUNCTION("GOOGLETRANSLATE(A43,""zh-tw"",""DE"")"),"Die Helden der Welt")</f>
        <v>Die 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12139</v>
      </c>
      <c r="AH43" s="167" t="s">
        <v>12140</v>
      </c>
      <c r="AI43" s="507"/>
      <c r="AJ43" s="506"/>
      <c r="AK43" s="153" t="s">
        <v>9510</v>
      </c>
      <c r="AL43" s="155" t="s">
        <v>12136</v>
      </c>
      <c r="AM43" s="507"/>
      <c r="AN43" s="506"/>
      <c r="AO43" s="197"/>
      <c r="AP43" s="155"/>
      <c r="AQ43" s="507"/>
      <c r="AR43" s="506"/>
      <c r="AS43" s="504"/>
      <c r="AT43" s="504"/>
    </row>
    <row r="44">
      <c r="A44" s="501" t="s">
        <v>12141</v>
      </c>
      <c r="B44" s="202" t="s">
        <v>12142</v>
      </c>
      <c r="C44" s="391" t="s">
        <v>12143</v>
      </c>
      <c r="D44" s="502" t="s">
        <v>9417</v>
      </c>
      <c r="E44" s="501" t="s">
        <v>12144</v>
      </c>
      <c r="F44" s="202" t="s">
        <v>12145</v>
      </c>
      <c r="G44" s="391" t="s">
        <v>12146</v>
      </c>
      <c r="H44" s="503" t="str">
        <f>IFERROR(__xludf.DUMMYFUNCTION("GOOGLETRANSLATE(D44,""zh-tw"",""ja"")"),"貪欲な貯金箱")</f>
        <v>貪欲な貯金箱</v>
      </c>
      <c r="I44" s="501" t="s">
        <v>12147</v>
      </c>
      <c r="J44" s="202" t="s">
        <v>12148</v>
      </c>
      <c r="K44" s="391" t="s">
        <v>12149</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IFERROR(__xludf.DUMMYFUNCTION("GOOGLETRANSLATE(C44,""zh-tw"",""es-MX"")"),"Las monedas de oro se dejan caer con fuerza cuando se lesiona.")</f>
        <v>Las monedas de oro se dejan caer con fuerza cuando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4"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12150</v>
      </c>
      <c r="Z44" s="198" t="s">
        <v>12151</v>
      </c>
      <c r="AA44" s="384" t="s">
        <v>12152</v>
      </c>
      <c r="AB44" s="196" t="s">
        <v>9423</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IFERROR(__xludf.DUMMYFUNCTION("GOOGLETRANSLATE(C44,""zh-tw"",""DE"")"),"Bei Verletzungen werden Goldmünzen zwangsweise fallen gelassen.")</f>
        <v>Bei Verletzungen werden Goldmünzen zwangsweise fallen gelassen.</v>
      </c>
      <c r="AF44" s="503" t="str">
        <f>IFERROR(__xludf.DUMMYFUNCTION("GOOGLETRANSLATE(D44,""zh-tw"",""DE"")"),"Gieriges Sparschwein")</f>
        <v>Gieriges Sparschwein</v>
      </c>
      <c r="AG44" s="508" t="s">
        <v>12153</v>
      </c>
      <c r="AH44" s="167" t="s">
        <v>12154</v>
      </c>
      <c r="AI44" s="390" t="s">
        <v>12155</v>
      </c>
      <c r="AJ44" s="509"/>
      <c r="AK44" s="197" t="s">
        <v>12156</v>
      </c>
      <c r="AL44" s="198" t="s">
        <v>12157</v>
      </c>
      <c r="AM44" s="384" t="s">
        <v>12158</v>
      </c>
      <c r="AN44" s="509"/>
      <c r="AO44" s="197"/>
      <c r="AP44" s="198"/>
      <c r="AQ44" s="384"/>
      <c r="AR44" s="509"/>
      <c r="AS44" s="510"/>
      <c r="AT44" s="510"/>
    </row>
    <row r="45">
      <c r="A45" s="501" t="s">
        <v>12159</v>
      </c>
      <c r="B45" s="202" t="s">
        <v>12160</v>
      </c>
      <c r="C45" s="391" t="s">
        <v>12161</v>
      </c>
      <c r="D45" s="502" t="s">
        <v>9299</v>
      </c>
      <c r="E45" s="501" t="s">
        <v>12162</v>
      </c>
      <c r="F45" s="202" t="s">
        <v>12163</v>
      </c>
      <c r="G45" s="391" t="s">
        <v>12164</v>
      </c>
      <c r="H45" s="503" t="str">
        <f>IFERROR(__xludf.DUMMYFUNCTION("GOOGLETRANSLATE(D45,""zh-tw"",""ja"")"),"夜霧の幻影")</f>
        <v>夜霧の幻影</v>
      </c>
      <c r="I45" s="501" t="s">
        <v>12165</v>
      </c>
      <c r="J45" s="202" t="s">
        <v>12166</v>
      </c>
      <c r="K45" s="391" t="s">
        <v>12167</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12168</v>
      </c>
      <c r="Z45" s="198" t="s">
        <v>12169</v>
      </c>
      <c r="AA45" s="384" t="s">
        <v>12170</v>
      </c>
      <c r="AB45" s="196" t="s">
        <v>9307</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12171</v>
      </c>
      <c r="AH45" s="167" t="s">
        <v>12172</v>
      </c>
      <c r="AI45" s="390" t="s">
        <v>12173</v>
      </c>
      <c r="AJ45" s="196"/>
      <c r="AK45" s="197" t="s">
        <v>12174</v>
      </c>
      <c r="AL45" s="198" t="s">
        <v>12175</v>
      </c>
      <c r="AM45" s="384" t="s">
        <v>12176</v>
      </c>
      <c r="AN45" s="509"/>
      <c r="AO45" s="197"/>
      <c r="AP45" s="198"/>
      <c r="AQ45" s="384"/>
      <c r="AR45" s="509"/>
      <c r="AS45" s="510"/>
      <c r="AT45" s="510"/>
    </row>
    <row r="46">
      <c r="A46" s="197" t="s">
        <v>12177</v>
      </c>
      <c r="B46" s="198" t="s">
        <v>12178</v>
      </c>
      <c r="C46" s="384" t="s">
        <v>12179</v>
      </c>
      <c r="D46" s="196" t="s">
        <v>12180</v>
      </c>
      <c r="E46" s="197" t="s">
        <v>12181</v>
      </c>
      <c r="F46" s="198" t="s">
        <v>12182</v>
      </c>
      <c r="G46" s="384" t="s">
        <v>12183</v>
      </c>
      <c r="H46" s="196" t="s">
        <v>12184</v>
      </c>
      <c r="I46" s="501" t="s">
        <v>12185</v>
      </c>
      <c r="J46" s="198" t="s">
        <v>12186</v>
      </c>
      <c r="K46" s="384" t="s">
        <v>12187</v>
      </c>
      <c r="L46" s="166" t="s">
        <v>12188</v>
      </c>
      <c r="M46" s="197" t="s">
        <v>12189</v>
      </c>
      <c r="N46" s="198" t="s">
        <v>12178</v>
      </c>
      <c r="O46" s="384" t="s">
        <v>12190</v>
      </c>
      <c r="P46" s="196" t="s">
        <v>12191</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12192</v>
      </c>
      <c r="Z46" s="198" t="s">
        <v>12193</v>
      </c>
      <c r="AA46" s="384" t="s">
        <v>12194</v>
      </c>
      <c r="AB46" s="196" t="s">
        <v>7075</v>
      </c>
      <c r="AC46" s="387" t="str">
        <f>IFERROR(__xludf.DUMMYFUNCTION("GOOGLETRANSLATE(A46,""zh-tw"",""DE"")"),"Ich habe immer das Gefühl, dass mich etwas verfolgt.")</f>
        <v>Ich habe immer das Gefühl, dass mich etwas verfolgt.</v>
      </c>
      <c r="AD46" s="198" t="s">
        <v>12195</v>
      </c>
      <c r="AE46" s="384" t="s">
        <v>12196</v>
      </c>
      <c r="AF46" s="196" t="s">
        <v>12197</v>
      </c>
      <c r="AG46" s="501" t="s">
        <v>12198</v>
      </c>
      <c r="AH46" s="511" t="s">
        <v>12199</v>
      </c>
      <c r="AI46" s="512" t="s">
        <v>12200</v>
      </c>
      <c r="AJ46" s="513" t="s">
        <v>12201</v>
      </c>
      <c r="AK46" s="197" t="s">
        <v>12202</v>
      </c>
      <c r="AL46" s="198" t="s">
        <v>12203</v>
      </c>
      <c r="AM46" s="384" t="s">
        <v>12204</v>
      </c>
      <c r="AN46" s="196" t="s">
        <v>12205</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12206</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12207</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12208</v>
      </c>
      <c r="G1" s="526" t="s">
        <v>12209</v>
      </c>
      <c r="H1" s="527" t="s">
        <v>12210</v>
      </c>
      <c r="I1" s="528"/>
      <c r="J1" s="528"/>
      <c r="K1" s="528"/>
      <c r="L1" s="528"/>
      <c r="M1" s="528"/>
      <c r="N1" s="528"/>
      <c r="O1" s="528"/>
      <c r="P1" s="528"/>
      <c r="Q1" s="528"/>
      <c r="R1" s="528"/>
    </row>
    <row r="2">
      <c r="A2" s="529" t="s">
        <v>12211</v>
      </c>
      <c r="B2" s="135" t="str">
        <f>IFERROR(__xludf.DUMMYFUNCTION("GOOGLETRANSLATE(A2,""zh-tw"",""ja"")"),"1 - Google Play で「ファイル マネージャー」を検索してインストールします。")</f>
        <v>1 - Google Play で「ファイル マネージャー」を検索してインストールします。</v>
      </c>
      <c r="C2" s="295" t="s">
        <v>12212</v>
      </c>
      <c r="D2" s="530" t="str">
        <f>IFERROR(__xludf.DUMMYFUNCTION("GOOGLETRANSLATE(A2,""zh-tw"",""zh"")"),"1 - 在google play上搜寻 档案管理员 安装。")</f>
        <v>1 - 在google play上搜寻 档案管理员 安装。</v>
      </c>
      <c r="E2" s="531" t="s">
        <v>12213</v>
      </c>
      <c r="F2" s="459" t="s">
        <v>12214</v>
      </c>
      <c r="G2" s="532" t="s">
        <v>12215</v>
      </c>
      <c r="H2" s="533" t="s">
        <v>12216</v>
      </c>
      <c r="I2" s="223"/>
      <c r="J2" s="223"/>
      <c r="K2" s="223"/>
      <c r="L2" s="223"/>
      <c r="M2" s="223"/>
      <c r="N2" s="223"/>
      <c r="O2" s="223"/>
      <c r="P2" s="223"/>
      <c r="Q2" s="223"/>
      <c r="R2" s="223"/>
    </row>
    <row r="3">
      <c r="A3" s="529" t="s">
        <v>12217</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12218</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12219</v>
      </c>
      <c r="F3" s="459" t="s">
        <v>12220</v>
      </c>
      <c r="G3" s="534" t="s">
        <v>12221</v>
      </c>
      <c r="H3" s="533" t="s">
        <v>12222</v>
      </c>
      <c r="I3" s="223"/>
      <c r="J3" s="223"/>
      <c r="K3" s="223"/>
      <c r="L3" s="223"/>
      <c r="M3" s="223"/>
      <c r="N3" s="223"/>
      <c r="O3" s="223"/>
      <c r="P3" s="223"/>
      <c r="Q3" s="223"/>
      <c r="R3" s="223"/>
    </row>
    <row r="4">
      <c r="A4" s="529" t="s">
        <v>12223</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12224</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12225</v>
      </c>
      <c r="F4" s="459" t="s">
        <v>12226</v>
      </c>
      <c r="G4" s="532" t="s">
        <v>12227</v>
      </c>
      <c r="H4" s="533" t="s">
        <v>12228</v>
      </c>
      <c r="I4" s="223"/>
      <c r="J4" s="223"/>
      <c r="K4" s="223"/>
      <c r="L4" s="223"/>
      <c r="M4" s="223"/>
      <c r="N4" s="223"/>
      <c r="O4" s="223"/>
      <c r="P4" s="223"/>
      <c r="Q4" s="223"/>
      <c r="R4" s="223"/>
    </row>
    <row r="5">
      <c r="A5" s="529" t="s">
        <v>12229</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12230</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12231</v>
      </c>
      <c r="F5" s="459" t="s">
        <v>12232</v>
      </c>
      <c r="G5" s="534" t="s">
        <v>12233</v>
      </c>
      <c r="H5" s="533" t="s">
        <v>12234</v>
      </c>
      <c r="I5" s="223"/>
      <c r="J5" s="223"/>
      <c r="K5" s="223"/>
      <c r="L5" s="223"/>
      <c r="M5" s="223"/>
      <c r="N5" s="223"/>
      <c r="O5" s="223"/>
      <c r="P5" s="223"/>
      <c r="Q5" s="223"/>
      <c r="R5" s="223"/>
    </row>
    <row r="6">
      <c r="A6" s="535" t="s">
        <v>12235</v>
      </c>
      <c r="B6" s="536" t="s">
        <v>12236</v>
      </c>
      <c r="C6" s="537" t="s">
        <v>12237</v>
      </c>
      <c r="D6" s="538" t="s">
        <v>12238</v>
      </c>
      <c r="E6" s="539" t="s">
        <v>12239</v>
      </c>
      <c r="F6" s="540" t="s">
        <v>12240</v>
      </c>
      <c r="G6" s="541" t="s">
        <v>12241</v>
      </c>
      <c r="H6" s="542" t="s">
        <v>12242</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12243</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12244</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12245</v>
      </c>
      <c r="B3" s="73" t="s">
        <v>12245</v>
      </c>
      <c r="C3" s="550" t="s">
        <v>12245</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12246</v>
      </c>
      <c r="B5" s="73" t="str">
        <f>IFERROR(__xludf.DUMMYFUNCTION("GOOGLETRANSLATE(A5,""zh-tw"",""ja"")"),"公式YouTubeチャンネル")</f>
        <v>公式YouTubeチャンネル</v>
      </c>
      <c r="C5" s="550" t="str">
        <f>IFERROR(__xludf.DUMMYFUNCTION("GOOGLETRANSLATE(A5,""zh-tw"",""en"")"),"Official YouTube channel")</f>
        <v>Official YouTube channel</v>
      </c>
      <c r="D5" s="491" t="s">
        <v>12247</v>
      </c>
      <c r="E5" s="548"/>
      <c r="F5" s="548"/>
      <c r="G5" s="548"/>
      <c r="H5" s="548"/>
      <c r="I5" s="548"/>
      <c r="J5" s="548"/>
      <c r="K5" s="548"/>
      <c r="L5" s="548"/>
      <c r="M5" s="548"/>
      <c r="N5" s="548"/>
      <c r="O5" s="548"/>
      <c r="P5" s="548"/>
      <c r="Q5" s="548"/>
      <c r="R5" s="548"/>
      <c r="S5" s="548"/>
      <c r="T5" s="548"/>
      <c r="U5" s="548"/>
      <c r="V5" s="548"/>
      <c r="W5" s="548"/>
      <c r="X5" s="548"/>
      <c r="Y5" s="548"/>
      <c r="Z5" s="548"/>
    </row>
    <row r="6">
      <c r="A6" s="549" t="s">
        <v>12248</v>
      </c>
      <c r="B6" s="73" t="str">
        <f>IFERROR(__xludf.DUMMYFUNCTION("GOOGLETRANSLATE(A6,""zh-tw"",""ja"")"),"公式法案")</f>
        <v>公式法案</v>
      </c>
      <c r="C6" s="550" t="str">
        <f>IFERROR(__xludf.DUMMYFUNCTION("GOOGLETRANSLATE(A6,""zh-tw"",""en"")"),"Official bill")</f>
        <v>Official bill</v>
      </c>
      <c r="D6" s="491" t="s">
        <v>12247</v>
      </c>
      <c r="E6" s="548"/>
      <c r="F6" s="548"/>
      <c r="G6" s="548"/>
      <c r="H6" s="548"/>
      <c r="I6" s="548"/>
      <c r="J6" s="548"/>
      <c r="K6" s="548"/>
      <c r="L6" s="548"/>
      <c r="M6" s="548"/>
      <c r="N6" s="548"/>
      <c r="O6" s="548"/>
      <c r="P6" s="548"/>
      <c r="Q6" s="548"/>
      <c r="R6" s="548"/>
      <c r="S6" s="548"/>
      <c r="T6" s="548"/>
      <c r="U6" s="548"/>
      <c r="V6" s="548"/>
      <c r="W6" s="548"/>
      <c r="X6" s="548"/>
      <c r="Y6" s="548"/>
      <c r="Z6" s="548"/>
    </row>
    <row r="7">
      <c r="A7" s="549" t="s">
        <v>12249</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12250</v>
      </c>
      <c r="E7" s="548"/>
      <c r="F7" s="548"/>
      <c r="G7" s="548"/>
      <c r="H7" s="548"/>
      <c r="I7" s="548"/>
      <c r="J7" s="548"/>
      <c r="K7" s="548"/>
      <c r="L7" s="548"/>
      <c r="M7" s="548"/>
      <c r="N7" s="548"/>
      <c r="O7" s="548"/>
      <c r="P7" s="548"/>
      <c r="Q7" s="548"/>
      <c r="R7" s="548"/>
      <c r="S7" s="548"/>
      <c r="T7" s="548"/>
      <c r="U7" s="548"/>
      <c r="V7" s="548"/>
      <c r="W7" s="548"/>
      <c r="X7" s="548"/>
      <c r="Y7" s="548"/>
      <c r="Z7" s="548"/>
    </row>
    <row r="8">
      <c r="A8" s="549" t="s">
        <v>12251</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12250</v>
      </c>
      <c r="E8" s="548"/>
      <c r="F8" s="548"/>
      <c r="G8" s="548"/>
      <c r="H8" s="548"/>
      <c r="I8" s="548"/>
      <c r="J8" s="548"/>
      <c r="K8" s="548"/>
      <c r="L8" s="548"/>
      <c r="M8" s="548"/>
      <c r="N8" s="548"/>
      <c r="O8" s="548"/>
      <c r="P8" s="548"/>
      <c r="Q8" s="548"/>
      <c r="R8" s="548"/>
      <c r="S8" s="548"/>
      <c r="T8" s="548"/>
      <c r="U8" s="548"/>
      <c r="V8" s="548"/>
      <c r="W8" s="548"/>
      <c r="X8" s="548"/>
      <c r="Y8" s="548"/>
      <c r="Z8" s="548"/>
    </row>
    <row r="9">
      <c r="A9" s="549" t="s">
        <v>12252</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12253</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12254</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12255</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12256</v>
      </c>
      <c r="B1" s="521" t="s">
        <v>12257</v>
      </c>
      <c r="C1" s="522" t="s">
        <v>12258</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12259</v>
      </c>
      <c r="F1" s="523" t="s">
        <v>12260</v>
      </c>
      <c r="G1" s="560" t="s">
        <v>12261</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12262</v>
      </c>
      <c r="J1" s="525" t="s">
        <v>12263</v>
      </c>
      <c r="K1" s="185" t="s">
        <v>12264</v>
      </c>
      <c r="L1" s="185" t="s">
        <v>12265</v>
      </c>
      <c r="M1" s="561" t="s">
        <v>12266</v>
      </c>
      <c r="N1" s="561" t="s">
        <v>12267</v>
      </c>
      <c r="O1" s="562" t="s">
        <v>12268</v>
      </c>
      <c r="P1" s="563" t="s">
        <v>12269</v>
      </c>
      <c r="Q1" s="528"/>
      <c r="R1" s="528"/>
      <c r="S1" s="528"/>
      <c r="T1" s="528"/>
      <c r="U1" s="528"/>
      <c r="V1" s="528"/>
      <c r="W1" s="528"/>
    </row>
    <row r="2">
      <c r="A2" s="529" t="s">
        <v>12270</v>
      </c>
      <c r="B2" s="529" t="s">
        <v>12271</v>
      </c>
      <c r="C2" s="135" t="s">
        <v>12272</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12273</v>
      </c>
      <c r="F2" s="295" t="s">
        <v>12274</v>
      </c>
      <c r="G2" s="565" t="s">
        <v>12275</v>
      </c>
      <c r="H2" s="530" t="str">
        <f>IFERROR(__xludf.DUMMYFUNCTION("GOOGLETRANSLATE(B2,""zh-tw"",""zh"")"),"1 - 在google上搜寻 NVIDIA APP安装，并启动 NVIDIA 应用程式。")</f>
        <v>1 - 在google上搜寻 NVIDIA APP安装，并启动 NVIDIA 应用程式。</v>
      </c>
      <c r="I2" s="531" t="s">
        <v>12276</v>
      </c>
      <c r="J2" s="531" t="s">
        <v>12277</v>
      </c>
      <c r="K2" s="459" t="s">
        <v>12278</v>
      </c>
      <c r="L2" s="459" t="s">
        <v>12279</v>
      </c>
      <c r="M2" s="566" t="s">
        <v>12280</v>
      </c>
      <c r="N2" s="566" t="s">
        <v>12281</v>
      </c>
      <c r="O2" s="567" t="s">
        <v>12282</v>
      </c>
      <c r="P2" s="567" t="s">
        <v>12283</v>
      </c>
      <c r="Q2" s="223"/>
      <c r="R2" s="223"/>
      <c r="S2" s="223"/>
      <c r="T2" s="223"/>
      <c r="U2" s="223"/>
      <c r="V2" s="223"/>
      <c r="W2" s="223"/>
    </row>
    <row r="3">
      <c r="A3" s="529" t="s">
        <v>12284</v>
      </c>
      <c r="B3" s="529" t="s">
        <v>12285</v>
      </c>
      <c r="C3" s="135" t="s">
        <v>12286</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12287</v>
      </c>
      <c r="F3" s="295" t="s">
        <v>12288</v>
      </c>
      <c r="G3" s="565" t="s">
        <v>12289</v>
      </c>
      <c r="H3" s="530" t="str">
        <f>IFERROR(__xludf.DUMMYFUNCTION("GOOGLETRANSLATE(B3,""zh-tw"",""zh"")"),"2 - 在更新至最新版本后重新启动 NVIDIA 应用程式。")</f>
        <v>2 - 在更新至最新版本后重新启动 NVIDIA 应用程式。</v>
      </c>
      <c r="I3" s="531" t="s">
        <v>12290</v>
      </c>
      <c r="J3" s="531" t="s">
        <v>12291</v>
      </c>
      <c r="K3" s="459" t="s">
        <v>12292</v>
      </c>
      <c r="L3" s="459" t="s">
        <v>12293</v>
      </c>
      <c r="M3" s="566" t="s">
        <v>12294</v>
      </c>
      <c r="N3" s="566" t="s">
        <v>12295</v>
      </c>
      <c r="O3" s="567" t="s">
        <v>12296</v>
      </c>
      <c r="P3" s="567" t="s">
        <v>12297</v>
      </c>
      <c r="Q3" s="223"/>
      <c r="R3" s="223"/>
      <c r="S3" s="223"/>
      <c r="T3" s="223"/>
      <c r="U3" s="223"/>
      <c r="V3" s="223"/>
      <c r="W3" s="223"/>
    </row>
    <row r="4">
      <c r="A4" s="529" t="s">
        <v>12298</v>
      </c>
      <c r="B4" s="529" t="s">
        <v>12299</v>
      </c>
      <c r="C4" s="135" t="s">
        <v>12300</v>
      </c>
      <c r="D4" s="135" t="str">
        <f>IFERROR(__xludf.DUMMYFUNCTION("GOOGLETRANSLATE(B4,""zh-tw"",""ja"")"),"3 - NVIDIA アプリケーションで、グラフィック設定領域に移動します。")</f>
        <v>3 - NVIDIA アプリケーションで、グラフィック設定領域に移動します。</v>
      </c>
      <c r="E4" s="564" t="s">
        <v>12301</v>
      </c>
      <c r="F4" s="295" t="s">
        <v>12302</v>
      </c>
      <c r="G4" s="565" t="s">
        <v>12303</v>
      </c>
      <c r="H4" s="530" t="str">
        <f>IFERROR(__xludf.DUMMYFUNCTION("GOOGLETRANSLATE(B4,""zh-tw"",""zh"")"),"3 - 在NVIDIA应用程式中，进入图形设置区域。")</f>
        <v>3 - 在NVIDIA应用程式中，进入图形设置区域。</v>
      </c>
      <c r="I4" s="531" t="s">
        <v>12304</v>
      </c>
      <c r="J4" s="531" t="s">
        <v>12305</v>
      </c>
      <c r="K4" s="459" t="s">
        <v>12306</v>
      </c>
      <c r="L4" s="459" t="s">
        <v>12307</v>
      </c>
      <c r="M4" s="566" t="s">
        <v>12308</v>
      </c>
      <c r="N4" s="566" t="s">
        <v>12309</v>
      </c>
      <c r="O4" s="567" t="s">
        <v>12310</v>
      </c>
      <c r="P4" s="567" t="s">
        <v>12311</v>
      </c>
      <c r="Q4" s="223"/>
      <c r="R4" s="223"/>
      <c r="S4" s="223"/>
      <c r="T4" s="223"/>
      <c r="U4" s="223"/>
      <c r="V4" s="223"/>
      <c r="W4" s="223"/>
    </row>
    <row r="5">
      <c r="A5" s="529" t="s">
        <v>12312</v>
      </c>
      <c r="B5" s="529" t="s">
        <v>12313</v>
      </c>
      <c r="C5" s="135" t="s">
        <v>12314</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12315</v>
      </c>
      <c r="F5" s="295" t="s">
        <v>12316</v>
      </c>
      <c r="G5" s="565" t="s">
        <v>12317</v>
      </c>
      <c r="H5" s="530" t="str">
        <f>IFERROR(__xludf.DUMMYFUNCTION("GOOGLETRANSLATE(B5,""zh-tw"",""zh"")"),"4 - 在「程式设定」中点击三个点，选择「新增程式」，然后寻找游戏的执行档。")</f>
        <v>4 - 在「程式设定」中点击三个点，选择「新增程式」，然后寻找游戏的执行档。</v>
      </c>
      <c r="I5" s="531" t="s">
        <v>12318</v>
      </c>
      <c r="J5" s="531" t="s">
        <v>12319</v>
      </c>
      <c r="K5" s="459" t="s">
        <v>12320</v>
      </c>
      <c r="L5" s="459" t="s">
        <v>12321</v>
      </c>
      <c r="M5" s="566" t="s">
        <v>12322</v>
      </c>
      <c r="N5" s="566" t="s">
        <v>12323</v>
      </c>
      <c r="O5" s="567" t="s">
        <v>12324</v>
      </c>
      <c r="P5" s="567" t="s">
        <v>12325</v>
      </c>
      <c r="Q5" s="223"/>
      <c r="R5" s="223"/>
      <c r="S5" s="223"/>
      <c r="T5" s="223"/>
      <c r="U5" s="223"/>
      <c r="V5" s="223"/>
      <c r="W5" s="223"/>
    </row>
    <row r="6">
      <c r="A6" s="529" t="s">
        <v>12326</v>
      </c>
      <c r="B6" s="529" t="s">
        <v>12327</v>
      </c>
      <c r="C6" s="135" t="s">
        <v>12328</v>
      </c>
      <c r="D6" s="135" t="str">
        <f>IFERROR(__xludf.DUMMYFUNCTION("GOOGLETRANSLATE(B6,""zh-tw"",""ja"")"),"5 - 「低遅延モード」を「超高」に、「電源管理モード」を「最適電力」に設定します。")</f>
        <v>5 - 「低遅延モード」を「超高」に、「電源管理モード」を「最適電力」に設定します。</v>
      </c>
      <c r="E6" s="564" t="s">
        <v>12329</v>
      </c>
      <c r="F6" s="295" t="s">
        <v>12330</v>
      </c>
      <c r="G6" s="565" t="s">
        <v>12331</v>
      </c>
      <c r="H6" s="530" t="str">
        <f>IFERROR(__xludf.DUMMYFUNCTION("GOOGLETRANSLATE(B6,""zh-tw"",""zh"")"),"5 - 将「低延迟模式」设为「超高」，电源管理模式设为「最佳电源」。")</f>
        <v>5 - 将「低延迟模式」设为「超高」，电源管理模式设为「最佳电源」。</v>
      </c>
      <c r="I6" s="531" t="s">
        <v>12332</v>
      </c>
      <c r="J6" s="531" t="s">
        <v>12333</v>
      </c>
      <c r="K6" s="459" t="s">
        <v>12334</v>
      </c>
      <c r="L6" s="459" t="s">
        <v>12335</v>
      </c>
      <c r="M6" s="566" t="s">
        <v>12336</v>
      </c>
      <c r="N6" s="566" t="s">
        <v>12337</v>
      </c>
      <c r="O6" s="567" t="s">
        <v>12338</v>
      </c>
      <c r="P6" s="567" t="s">
        <v>12339</v>
      </c>
      <c r="Q6" s="223"/>
      <c r="R6" s="223"/>
      <c r="S6" s="223"/>
      <c r="T6" s="223"/>
      <c r="U6" s="223"/>
      <c r="V6" s="223"/>
      <c r="W6" s="223"/>
    </row>
    <row r="7">
      <c r="A7" s="529" t="s">
        <v>12340</v>
      </c>
      <c r="B7" s="529" t="s">
        <v>12341</v>
      </c>
      <c r="C7" s="135" t="s">
        <v>12342</v>
      </c>
      <c r="D7" s="135" t="str">
        <f>IFERROR(__xludf.DUMMYFUNCTION("GOOGLETRANSLATE(B7,""zh-tw"",""ja"")"),"6-「垂直同期」を「高速」に設定します。")</f>
        <v>6-「垂直同期」を「高速」に設定します。</v>
      </c>
      <c r="E7" s="564" t="s">
        <v>12343</v>
      </c>
      <c r="F7" s="295" t="s">
        <v>12344</v>
      </c>
      <c r="G7" s="565" t="s">
        <v>12345</v>
      </c>
      <c r="H7" s="530" t="str">
        <f>IFERROR(__xludf.DUMMYFUNCTION("GOOGLETRANSLATE(B7,""zh-tw"",""zh"")"),"6- 将「垂直同步」设为「快速」。")</f>
        <v>6- 将「垂直同步」设为「快速」。</v>
      </c>
      <c r="I7" s="531" t="s">
        <v>12346</v>
      </c>
      <c r="J7" s="531" t="s">
        <v>12347</v>
      </c>
      <c r="K7" s="459" t="s">
        <v>12348</v>
      </c>
      <c r="L7" s="459" t="s">
        <v>12349</v>
      </c>
      <c r="M7" s="566" t="s">
        <v>12350</v>
      </c>
      <c r="N7" s="566" t="s">
        <v>12351</v>
      </c>
      <c r="O7" s="567" t="s">
        <v>12352</v>
      </c>
      <c r="P7" s="567" t="s">
        <v>12353</v>
      </c>
      <c r="Q7" s="223"/>
      <c r="R7" s="223"/>
      <c r="S7" s="223"/>
      <c r="T7" s="223"/>
      <c r="U7" s="223"/>
      <c r="V7" s="223"/>
      <c r="W7" s="223"/>
    </row>
    <row r="8">
      <c r="A8" s="529" t="s">
        <v>12354</v>
      </c>
      <c r="B8" s="529" t="s">
        <v>12355</v>
      </c>
      <c r="C8" s="135" t="s">
        <v>12356</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12357</v>
      </c>
      <c r="F8" s="295" t="s">
        <v>12358</v>
      </c>
      <c r="G8" s="565" t="s">
        <v>12359</v>
      </c>
      <c r="H8" s="530" t="str">
        <f>IFERROR(__xludf.DUMMYFUNCTION("GOOGLETRANSLATE(B8,""zh-tw"",""zh"")"),"7 - 如果你的电脑无法负荷这些选项，请依照最佳的选项即可。")</f>
        <v>7 - 如果你的电脑无法负荷这些选项，请依照最佳的选项即可。</v>
      </c>
      <c r="I8" s="531" t="s">
        <v>12360</v>
      </c>
      <c r="J8" s="531" t="s">
        <v>12361</v>
      </c>
      <c r="K8" s="459" t="s">
        <v>12362</v>
      </c>
      <c r="L8" s="459" t="s">
        <v>12363</v>
      </c>
      <c r="M8" s="566" t="s">
        <v>12364</v>
      </c>
      <c r="N8" s="566" t="s">
        <v>12365</v>
      </c>
      <c r="O8" s="567" t="s">
        <v>12366</v>
      </c>
      <c r="P8" s="567" t="s">
        <v>12367</v>
      </c>
      <c r="Q8" s="223"/>
      <c r="R8" s="223"/>
      <c r="S8" s="223"/>
      <c r="T8" s="223"/>
      <c r="U8" s="223"/>
      <c r="V8" s="223"/>
      <c r="W8" s="223"/>
    </row>
    <row r="9">
      <c r="A9" s="529" t="s">
        <v>12368</v>
      </c>
      <c r="B9" s="529" t="s">
        <v>12369</v>
      </c>
      <c r="C9" s="135" t="s">
        <v>12370</v>
      </c>
      <c r="D9" s="135" t="str">
        <f>IFERROR(__xludf.DUMMYFUNCTION("GOOGLETRANSLATE(B9,""zh-tw"",""ja"")"),"8- ゲームを起動すると、その優れた安定性を体験できます。")</f>
        <v>8- ゲームを起動すると、その優れた安定性を体験できます。</v>
      </c>
      <c r="E9" s="564" t="s">
        <v>12371</v>
      </c>
      <c r="F9" s="295" t="s">
        <v>12372</v>
      </c>
      <c r="G9" s="565" t="s">
        <v>12373</v>
      </c>
      <c r="H9" s="530" t="str">
        <f>IFERROR(__xludf.DUMMYFUNCTION("GOOGLETRANSLATE(B9,""zh-tw"",""zh"")"),"8- 现在，将游戏启动，你能体验到良好的稳定性能。")</f>
        <v>8- 现在，将游戏启动，你能体验到良好的稳定性能。</v>
      </c>
      <c r="I9" s="531" t="s">
        <v>12374</v>
      </c>
      <c r="J9" s="531" t="s">
        <v>12375</v>
      </c>
      <c r="K9" s="459" t="s">
        <v>12376</v>
      </c>
      <c r="L9" s="459" t="s">
        <v>12377</v>
      </c>
      <c r="M9" s="566" t="s">
        <v>12371</v>
      </c>
      <c r="N9" s="566" t="s">
        <v>12378</v>
      </c>
      <c r="O9" s="567" t="s">
        <v>12379</v>
      </c>
      <c r="P9" s="567" t="s">
        <v>12380</v>
      </c>
      <c r="Q9" s="223"/>
      <c r="R9" s="223"/>
      <c r="S9" s="223"/>
      <c r="T9" s="223"/>
      <c r="U9" s="223"/>
      <c r="V9" s="223"/>
      <c r="W9" s="223"/>
    </row>
    <row r="10">
      <c r="A10" s="529"/>
      <c r="B10" s="568" t="s">
        <v>12381</v>
      </c>
      <c r="C10" s="282"/>
      <c r="D10" s="569" t="s">
        <v>12382</v>
      </c>
      <c r="E10" s="570"/>
      <c r="F10" s="571" t="s">
        <v>12237</v>
      </c>
      <c r="G10" s="530"/>
      <c r="H10" s="572" t="s">
        <v>12383</v>
      </c>
      <c r="I10" s="573"/>
      <c r="J10" s="574" t="s">
        <v>12239</v>
      </c>
      <c r="K10" s="464"/>
      <c r="L10" s="540" t="str">
        <f>HYPERLINK("https://www.youtube.com/watch?v=9NSNcMB5M2o&amp;ab_channel=gabrielb", "Video Youtube tham khảo")</f>
        <v>Video Youtube tham khảo</v>
      </c>
      <c r="M10" s="575"/>
      <c r="N10" s="576" t="s">
        <v>12384</v>
      </c>
      <c r="O10" s="567"/>
      <c r="P10" s="577" t="s">
        <v>12242</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