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<sst xmlns="http://schemas.openxmlformats.org/spreadsheetml/2006/main" count="8271" uniqueCount="6876">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</sst>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このガイドは"&amp;"PC版専用です。Android版の一部機能（カメラなど）は利用できないため、一部の内容はこのガイドに当てはまらない場合があります。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尋ねるのはご遠慮ください。答えは常に「まだ実装されていません」であり、ガイドが不完全であるという意味ではありません。
2. メジャーアップデートのたびに、公式ウェブ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"&amp;"ロシア語翻訳：Libeti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Datenerstellung: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Datenerstellung: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preguntas relacionadas, visita el canal oficial de Disco"&amp;"rd para discutirlas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preguntas relacionadas, visita el canal oficial de Discord para discutirlas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"&amp;"чтобы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武器、防具、アイテムのページをリニューアルしました")</f>
        <v>2025/3/12 武器、防具、アイテムのページをリニューアルしました</v>
      </c>
      <c r="C55" s="44" t="str">
        <f>IFERROR(__xludf.DUMMYFUNCTION("GOOGLETRANSLATE(A55,""zh-tw"",""en"")"),"2025/3/12 Reworked the weapons, armor, and items page")</f>
        <v>2025/3/12 Reworked the weapons, armor, and items page</v>
      </c>
      <c r="D55" s="43" t="str">
        <f>IFERROR(__xludf.DUMMYFUNCTION("GOOGLETRANSLATE(A55,""zh-tw"",""zh"")"),"2025/3/12 重新制作武器、防具、道具的页面")</f>
        <v>2025/3/12 重新制作武器、防具、道具的页面</v>
      </c>
      <c r="E55" s="45" t="str">
        <f>IFERROR(__xludf.DUMMYFUNCTION("GOOGLETRANSLATE(A55,""zh-tw"",""es-MX"")"),"12/3/2025 Se rediseñó la página de armas, armaduras y objetos.")</f>
        <v>12/3/2025 Se rediseñó la página de armas, armaduras y objetos.</v>
      </c>
      <c r="F55" s="45" t="str">
        <f>IFERROR(__xludf.DUMMYFUNCTION("GOOGLETRANSLATE(A55,""zh-tw"",""KO"")"),"2025/3/12 무기, 방어구, 아이템 페이지 개편")</f>
        <v>2025/3/12 무기, 방어구, 아이템 페이지 개편</v>
      </c>
      <c r="G55" s="45" t="str">
        <f>IFERROR(__xludf.DUMMYFUNCTION("GOOGLETRANSLATE(A55,""zh-tw"",""RU"")"),"12.03.2025 Переработана страница оружия, брони и предметов.")</f>
        <v>12.03.2025 Переработана страница оружия, брони и предметов.</v>
      </c>
      <c r="H55" s="45" t="str">
        <f>IFERROR(__xludf.DUMMYFUNCTION("GOOGLETRANSLATE(A55,""zh-tw"",""DE"")"),"12.03.2025 Die Seite mit Waffen, Rüstungen und Gegenständen wurde überarbeitet")</f>
        <v>12.03.2025 Die Seite mit Waffen, Rüstungen und Gegenständen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가세요 -4")</f>
        <v>지금 가세요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활성화하세요(확인해 보겠습니다)")</f>
        <v>검은색 옵션을 활성화하세요(확인해 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핸드서비스 특별 장면")</f>
        <v>자매의 핸드서비스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mirones.")</f>
        <v>Diferentes escenas con y sin el pato amarillo.
(Aún no se han creado escenas sin el pato, pero se actualizarán pronto).
Actualmente, no hay escenas fallidas de mirones.</v>
      </c>
      <c r="U68" s="84">
        <v>21.0</v>
      </c>
      <c r="V68" s="88" t="str">
        <f>IFERROR(__xludf.DUMMYFUNCTION("GOOGLETRANSLATE(B68,""zh-tw"",""KO"")"),"투명문-2")</f>
        <v>투명문-2</v>
      </c>
      <c r="W68" s="108" t="str">
        <f>IFERROR(__xludf.DUMMYFUNCTION("GOOGLETRANSLATE(C68,""zh-tw"",""KO"")"),"언니가 혼자 목욕을 할 때, 언니가 욕실 문 밖에 없을 때까지 시간을 보내세요. 그리고 욕실에 들어가서 안을 들여다보세요. 언니가 목욕하는 모습을 볼 수 있을 거예요.")</f>
        <v>언니가 혼자 목욕을 할 때, 언니가 욕실 문 밖에 없을 때까지 시간을 보내세요. 그리고 욕실에 들어가서 안을 들여다보세요. 언니가 목욕하는 모습을 볼 수 있을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п"&amp;"оявится футболка,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v>5.0</v>
      </c>
      <c r="F83" s="100" t="s">
        <v>1647</v>
      </c>
      <c r="G83" s="97" t="s">
        <v>1648</v>
      </c>
      <c r="H83" s="52" t="s">
        <v>1649</v>
      </c>
      <c r="I83" s="136">
        <v>5.0</v>
      </c>
      <c r="J83" s="100" t="s">
        <v>1650</v>
      </c>
      <c r="K83" s="97" t="s">
        <v>1651</v>
      </c>
      <c r="L83" s="52" t="s">
        <v>1652</v>
      </c>
      <c r="M83" s="136">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6">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6">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6">
        <v>5.0</v>
      </c>
      <c r="Z83" s="118" t="str">
        <f>IFERROR(__xludf.DUMMYFUNCTION("IF(J83="""", """", GOOGLETRANSLATE(
J83,""en"",""ru""))"),"Возвращаюсь домой пораньше - 1")</f>
        <v>Возвращаюсь домой пораньше - 1</v>
      </c>
      <c r="AA83" s="137" t="str">
        <f>IFERROR(__xludf.DUMMYFUNCTION("IF(K83="""", """", GOOGLETRANSLATE(K83,""en"",""RU""))"),"В жаркие дни вы можете прийти домой пораньше и подкрасться к Имото.")</f>
        <v>В жаркие дни вы можете прийти домой пораньше и подкрасться к Имото.</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6">
        <v>5.0</v>
      </c>
      <c r="AD83" s="88"/>
      <c r="AE83" s="89"/>
      <c r="AF83" s="55"/>
      <c r="AG83" s="136">
        <v>5.0</v>
      </c>
      <c r="AH83" s="139"/>
      <c r="AI83" s="140"/>
      <c r="AJ83" s="141"/>
      <c r="AK83" s="55"/>
      <c r="AL83" s="55"/>
      <c r="AM83" s="55"/>
      <c r="AN83" s="55"/>
      <c r="AO83" s="55"/>
    </row>
    <row r="84">
      <c r="A84" s="136">
        <v>6.0</v>
      </c>
      <c r="B84" s="100" t="s">
        <v>1653</v>
      </c>
      <c r="C84" s="97" t="s">
        <v>1654</v>
      </c>
      <c r="D84" s="52" t="s">
        <v>1655</v>
      </c>
      <c r="E84" s="136">
        <v>6.0</v>
      </c>
      <c r="F84" s="100" t="s">
        <v>1656</v>
      </c>
      <c r="G84" s="97" t="s">
        <v>1657</v>
      </c>
      <c r="H84" s="52" t="s">
        <v>1658</v>
      </c>
      <c r="I84" s="136">
        <v>6.0</v>
      </c>
      <c r="J84" s="100" t="s">
        <v>1659</v>
      </c>
      <c r="K84" s="97" t="s">
        <v>1660</v>
      </c>
      <c r="L84" s="52" t="s">
        <v>1661</v>
      </c>
      <c r="M84" s="136">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6">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sopla el ventilador.")</f>
        <v>La hermana no lleva ropa interior y sopla el ventilador.</v>
      </c>
      <c r="U84" s="136">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IFERROR(__xludf.DUMMYFUNCTION("GOOGLETRANSLATE(D84,""zh-tw"",""KO"")"),"언니가 속옷도 안 입고 선풍기 틀고 있어요")</f>
        <v>언니가 속옷도 안 입고 선풍기 틀고 있어요</v>
      </c>
      <c r="Y84" s="136">
        <v>6.0</v>
      </c>
      <c r="Z84" s="118" t="str">
        <f>IFERROR(__xludf.DUMMYFUNCTION("IF(J84="""", """", GOOGLETRANSLATE(
J84,""en"",""ru""))"),"Возвращаюсь домой пораньше - 2")</f>
        <v>Возвращаюсь домой пораньше - 2</v>
      </c>
      <c r="AA84" s="137"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6">
        <v>6.0</v>
      </c>
      <c r="AD84" s="88"/>
      <c r="AE84" s="89"/>
      <c r="AF84" s="55"/>
      <c r="AG84" s="136">
        <v>6.0</v>
      </c>
      <c r="AH84" s="139"/>
      <c r="AI84" s="140"/>
      <c r="AJ84" s="141"/>
      <c r="AK84" s="55"/>
      <c r="AL84" s="55"/>
      <c r="AM84" s="55"/>
      <c r="AN84" s="55"/>
      <c r="AO84" s="55"/>
    </row>
    <row r="85">
      <c r="A85" s="136">
        <v>7.0</v>
      </c>
      <c r="B85" s="100" t="s">
        <v>1662</v>
      </c>
      <c r="C85" s="97" t="s">
        <v>1663</v>
      </c>
      <c r="D85" s="52" t="s">
        <v>1664</v>
      </c>
      <c r="E85" s="136">
        <v>7.0</v>
      </c>
      <c r="F85" s="100" t="s">
        <v>1665</v>
      </c>
      <c r="G85" s="97" t="s">
        <v>1666</v>
      </c>
      <c r="H85" s="52" t="s">
        <v>1667</v>
      </c>
      <c r="I85" s="136">
        <v>7.0</v>
      </c>
      <c r="J85" s="100" t="s">
        <v>1668</v>
      </c>
      <c r="K85" s="97" t="s">
        <v>1669</v>
      </c>
      <c r="L85" s="52" t="s">
        <v>1670</v>
      </c>
      <c r="M85" s="136">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6">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6">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6">
        <v>7.0</v>
      </c>
      <c r="Z85" s="118" t="str">
        <f>IFERROR(__xludf.DUMMYFUNCTION("IF(J85="""", """", GOOGLETRANSLATE(
J85,""en"",""ru""))"),"Возвращаюсь домой пораньше - 3")</f>
        <v>Возвращаюсь домой пораньше - 3</v>
      </c>
      <c r="AA85" s="137"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6">
        <v>7.0</v>
      </c>
      <c r="AD85" s="88"/>
      <c r="AE85" s="89"/>
      <c r="AF85" s="55"/>
      <c r="AG85" s="136">
        <v>7.0</v>
      </c>
      <c r="AH85" s="139"/>
      <c r="AI85" s="140"/>
      <c r="AJ85" s="141"/>
      <c r="AK85" s="55"/>
      <c r="AL85" s="55"/>
      <c r="AM85" s="55"/>
      <c r="AN85" s="55"/>
      <c r="AO85" s="55"/>
    </row>
    <row r="86">
      <c r="A86" s="136">
        <v>8.0</v>
      </c>
      <c r="B86" s="100" t="s">
        <v>1671</v>
      </c>
      <c r="C86" s="97" t="s">
        <v>1672</v>
      </c>
      <c r="D86" s="52" t="s">
        <v>1673</v>
      </c>
      <c r="E86" s="136">
        <v>8.0</v>
      </c>
      <c r="F86" s="100" t="s">
        <v>1674</v>
      </c>
      <c r="G86" s="97" t="s">
        <v>1675</v>
      </c>
      <c r="H86" s="52" t="s">
        <v>1676</v>
      </c>
      <c r="I86" s="136">
        <v>8.0</v>
      </c>
      <c r="J86" s="100" t="s">
        <v>1677</v>
      </c>
      <c r="K86" s="97" t="s">
        <v>1678</v>
      </c>
      <c r="L86" s="52" t="s">
        <v>1679</v>
      </c>
      <c r="M86" s="136">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6">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6">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6">
        <v>8.0</v>
      </c>
      <c r="Z86" s="118" t="str">
        <f>IFERROR(__xludf.DUMMYFUNCTION("IF(J86="""", """", GOOGLETRANSLATE(
J86,""en"",""ru""))"),"Возвращаюсь домой пораньше - 4")</f>
        <v>Возвращаюсь домой пораньше - 4</v>
      </c>
      <c r="AA86" s="137"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6">
        <v>8.0</v>
      </c>
      <c r="AD86" s="88"/>
      <c r="AE86" s="89"/>
      <c r="AF86" s="55"/>
      <c r="AG86" s="136">
        <v>8.0</v>
      </c>
      <c r="AH86" s="139"/>
      <c r="AI86" s="140"/>
      <c r="AJ86" s="141"/>
      <c r="AK86" s="55"/>
      <c r="AL86" s="55"/>
      <c r="AM86" s="55"/>
      <c r="AN86" s="55"/>
      <c r="AO86" s="55"/>
    </row>
    <row r="87">
      <c r="A87" s="136"/>
      <c r="B87" s="88"/>
      <c r="C87" s="97"/>
      <c r="D87" s="52"/>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1680</v>
      </c>
      <c r="B89" s="143"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4" t="s">
        <v>1688</v>
      </c>
      <c r="AK89" s="143"/>
      <c r="AL89" s="143"/>
      <c r="AM89" s="143"/>
      <c r="AN89" s="143"/>
      <c r="AO89" s="143"/>
    </row>
    <row r="90">
      <c r="A90" s="136">
        <v>1.0</v>
      </c>
      <c r="B90" s="88" t="s">
        <v>1689</v>
      </c>
      <c r="C90" s="89" t="s">
        <v>1690</v>
      </c>
      <c r="D90" s="55" t="s">
        <v>1691</v>
      </c>
      <c r="E90" s="136">
        <v>1.0</v>
      </c>
      <c r="F90" s="88" t="s">
        <v>1692</v>
      </c>
      <c r="G90" s="89" t="s">
        <v>1693</v>
      </c>
      <c r="H90" s="55" t="s">
        <v>1694</v>
      </c>
      <c r="I90" s="136">
        <v>1.0</v>
      </c>
      <c r="J90" s="88" t="s">
        <v>1695</v>
      </c>
      <c r="K90" s="89" t="s">
        <v>1696</v>
      </c>
      <c r="L90" s="55" t="s">
        <v>1697</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1698</v>
      </c>
      <c r="S90" s="97" t="s">
        <v>1699</v>
      </c>
      <c r="T90" s="52" t="s">
        <v>1700</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1701</v>
      </c>
      <c r="AE90" s="89" t="s">
        <v>1702</v>
      </c>
      <c r="AF90" s="55" t="s">
        <v>905</v>
      </c>
      <c r="AG90" s="138">
        <v>1.0</v>
      </c>
      <c r="AH90" s="139" t="s">
        <v>1703</v>
      </c>
      <c r="AI90" s="140" t="s">
        <v>1704</v>
      </c>
      <c r="AJ90" s="141"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9"/>
      <c r="AL1" s="59"/>
    </row>
    <row r="2" ht="42.75" customHeight="1">
      <c r="AK2" s="59"/>
      <c r="AL2" s="59"/>
    </row>
    <row r="3">
      <c r="A3" s="152" t="s">
        <v>1706</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1707</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1708</v>
      </c>
      <c r="AG3" s="154" t="s">
        <v>1709</v>
      </c>
      <c r="AK3" s="155"/>
      <c r="AL3" s="155"/>
    </row>
    <row r="4">
      <c r="A4" s="156" t="s">
        <v>216</v>
      </c>
      <c r="B4" s="70" t="s">
        <v>1710</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1712</v>
      </c>
      <c r="AE4" s="159" t="s">
        <v>1713</v>
      </c>
      <c r="AF4" s="72" t="s">
        <v>1714</v>
      </c>
      <c r="AG4" s="73" t="s">
        <v>1715</v>
      </c>
      <c r="AH4" s="160" t="s">
        <v>1716</v>
      </c>
      <c r="AI4" s="161" t="s">
        <v>1717</v>
      </c>
      <c r="AJ4" s="162"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3" t="str">
        <f>IFERROR(__xludf.DUMMYFUNCTION("GOOGLETRANSLATE(A5,""zh-tw"",""en"")"),"R1")</f>
        <v>R1</v>
      </c>
      <c r="V5" s="100" t="s">
        <v>1728</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1729</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1730</v>
      </c>
      <c r="AE5" s="166" t="s">
        <v>1731</v>
      </c>
      <c r="AF5" s="125" t="s">
        <v>1732</v>
      </c>
      <c r="AG5" s="93" t="s">
        <v>1718</v>
      </c>
      <c r="AH5" s="94" t="s">
        <v>1733</v>
      </c>
      <c r="AI5" s="167"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6"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IFERROR(__xludf.DUMMYFUNCTION("GOOGLETRANSLATE(B6,""zh-tw"",""ru"")"),"Меч-флеш-шаг")</f>
        <v>Меч-флеш-шаг</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1746</v>
      </c>
      <c r="AE6" s="166" t="s">
        <v>1747</v>
      </c>
      <c r="AF6" s="125" t="s">
        <v>1748</v>
      </c>
      <c r="AG6" s="93" t="s">
        <v>1736</v>
      </c>
      <c r="AH6" s="94" t="s">
        <v>1742</v>
      </c>
      <c r="AI6" s="167"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f>
        <v>"플래시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с"&amp;"чёт карт Таро или собственных возможностей оружия).")</f>
        <v>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счёт карт Таро или собственных возможностей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3" t="str">
        <f>IFERROR(__xludf.DUMMYFUNCTION("GOOGLETRANSLATE(I7,""zh-tw"",""en"")"),"R3")</f>
        <v>R3</v>
      </c>
      <c r="AD7" s="100" t="s">
        <v>1762</v>
      </c>
      <c r="AE7" s="166" t="s">
        <v>1763</v>
      </c>
      <c r="AF7" s="125" t="s">
        <v>1764</v>
      </c>
      <c r="AG7" s="93" t="s">
        <v>1751</v>
      </c>
      <c r="AH7" s="94" t="s">
        <v>1765</v>
      </c>
      <c r="AI7" s="167"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1779</v>
      </c>
      <c r="AE8" s="166" t="s">
        <v>1780</v>
      </c>
      <c r="AF8" s="125" t="s">
        <v>1781</v>
      </c>
      <c r="AG8" s="93" t="s">
        <v>1768</v>
      </c>
      <c r="AH8" s="135" t="s">
        <v>1782</v>
      </c>
      <c r="AI8" s="168"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1793</v>
      </c>
      <c r="AE9" s="166" t="s">
        <v>1794</v>
      </c>
      <c r="AF9" s="125" t="s">
        <v>1795</v>
      </c>
      <c r="AG9" s="93" t="s">
        <v>1785</v>
      </c>
      <c r="AH9" s="94" t="s">
        <v>1796</v>
      </c>
      <c r="AI9" s="167"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1808</v>
      </c>
      <c r="AE10" s="166" t="s">
        <v>1809</v>
      </c>
      <c r="AF10" s="125" t="s">
        <v>1810</v>
      </c>
      <c r="AG10" s="93" t="s">
        <v>1798</v>
      </c>
      <c r="AH10" s="94" t="s">
        <v>1811</v>
      </c>
      <c r="AI10" s="167"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1825</v>
      </c>
      <c r="W11" s="97" t="s">
        <v>1826</v>
      </c>
      <c r="X11" s="52" t="s">
        <v>1827</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1828</v>
      </c>
      <c r="AE11" s="166" t="s">
        <v>1829</v>
      </c>
      <c r="AF11" s="125" t="s">
        <v>1830</v>
      </c>
      <c r="AG11" s="93" t="s">
        <v>1814</v>
      </c>
      <c r="AH11" s="94" t="s">
        <v>1831</v>
      </c>
      <c r="AI11" s="167"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6"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1845</v>
      </c>
      <c r="AE12" s="166" t="s">
        <v>1846</v>
      </c>
      <c r="AF12" s="125" t="s">
        <v>1847</v>
      </c>
      <c r="AG12" s="93" t="s">
        <v>1834</v>
      </c>
      <c r="AH12" s="94" t="s">
        <v>1848</v>
      </c>
      <c r="AI12" s="167"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1863</v>
      </c>
      <c r="AE13" s="166" t="s">
        <v>1864</v>
      </c>
      <c r="AF13" s="125" t="s">
        <v>1865</v>
      </c>
      <c r="AG13" s="93" t="s">
        <v>1851</v>
      </c>
      <c r="AH13" s="94" t="s">
        <v>1866</v>
      </c>
      <c r="AI13" s="167"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1879</v>
      </c>
      <c r="S14" s="97" t="s">
        <v>1880</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1881</v>
      </c>
      <c r="AE14" s="166" t="s">
        <v>1882</v>
      </c>
      <c r="AF14" s="125" t="s">
        <v>1883</v>
      </c>
      <c r="AG14" s="93" t="s">
        <v>1869</v>
      </c>
      <c r="AH14" s="94" t="s">
        <v>1884</v>
      </c>
      <c r="AI14" s="167"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1895</v>
      </c>
      <c r="AE15" s="166" t="s">
        <v>1896</v>
      </c>
      <c r="AF15" s="125" t="s">
        <v>1897</v>
      </c>
      <c r="AG15" s="93" t="s">
        <v>1887</v>
      </c>
      <c r="AH15" s="94" t="s">
        <v>1898</v>
      </c>
      <c r="AI15" s="167"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1911</v>
      </c>
      <c r="AE16" s="166" t="s">
        <v>1912</v>
      </c>
      <c r="AF16" s="125" t="s">
        <v>1913</v>
      </c>
      <c r="AG16" s="93" t="s">
        <v>1901</v>
      </c>
      <c r="AH16" s="94" t="s">
        <v>1914</v>
      </c>
      <c r="AI16" s="167"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1927</v>
      </c>
      <c r="AE17" s="166" t="s">
        <v>1928</v>
      </c>
      <c r="AF17" s="125" t="s">
        <v>1929</v>
      </c>
      <c r="AG17" s="93" t="s">
        <v>1917</v>
      </c>
      <c r="AH17" s="94" t="s">
        <v>1930</v>
      </c>
      <c r="AI17" s="167"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1944</v>
      </c>
      <c r="AE18" s="166" t="s">
        <v>1945</v>
      </c>
      <c r="AF18" s="125" t="s">
        <v>1946</v>
      </c>
      <c r="AG18" s="93" t="s">
        <v>1933</v>
      </c>
      <c r="AH18" s="94" t="s">
        <v>1947</v>
      </c>
      <c r="AI18" s="167"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1959</v>
      </c>
      <c r="AE19" s="166" t="s">
        <v>1960</v>
      </c>
      <c r="AF19" s="125" t="s">
        <v>1961</v>
      </c>
      <c r="AG19" s="93" t="s">
        <v>1950</v>
      </c>
      <c r="AH19" s="94" t="s">
        <v>1962</v>
      </c>
      <c r="AI19" s="167"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1975</v>
      </c>
      <c r="AE20" s="166" t="s">
        <v>1976</v>
      </c>
      <c r="AF20" s="125" t="s">
        <v>1977</v>
      </c>
      <c r="AG20" s="93" t="s">
        <v>1964</v>
      </c>
      <c r="AH20" s="94" t="s">
        <v>1978</v>
      </c>
      <c r="AI20" s="167"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1992</v>
      </c>
      <c r="AE21" s="166" t="s">
        <v>1993</v>
      </c>
      <c r="AF21" s="125" t="s">
        <v>1994</v>
      </c>
      <c r="AG21" s="93" t="s">
        <v>1981</v>
      </c>
      <c r="AH21" s="94" t="s">
        <v>1995</v>
      </c>
      <c r="AI21" s="167"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부수면 숨겨진 통로가 나옵니다.")</f>
        <v>잊혀진 무덤에서 왼쪽 무덤을 부수면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проход 7")</f>
        <v>Скрытый проход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2009</v>
      </c>
      <c r="AE22" s="166" t="s">
        <v>2010</v>
      </c>
      <c r="AF22" s="125" t="s">
        <v>2011</v>
      </c>
      <c r="AG22" s="93" t="s">
        <v>1998</v>
      </c>
      <c r="AH22" s="94" t="s">
        <v>2012</v>
      </c>
      <c r="AI22" s="167"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2026</v>
      </c>
      <c r="AE23" s="166" t="s">
        <v>2027</v>
      </c>
      <c r="AF23" s="125" t="s">
        <v>2028</v>
      </c>
      <c r="AG23" s="93" t="s">
        <v>2015</v>
      </c>
      <c r="AH23" s="94" t="s">
        <v>2029</v>
      </c>
      <c r="AI23" s="167"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2042</v>
      </c>
      <c r="AE24" s="166" t="s">
        <v>2043</v>
      </c>
      <c r="AF24" s="125" t="s">
        <v>2044</v>
      </c>
      <c r="AG24" s="93" t="s">
        <v>2032</v>
      </c>
      <c r="AH24" s="94" t="s">
        <v>2045</v>
      </c>
      <c r="AI24" s="167"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6"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2059</v>
      </c>
      <c r="AE25" s="166" t="s">
        <v>2060</v>
      </c>
      <c r="AF25" s="125" t="s">
        <v>2061</v>
      </c>
      <c r="AG25" s="93" t="s">
        <v>2047</v>
      </c>
      <c r="AH25" s="94" t="s">
        <v>2062</v>
      </c>
      <c r="AI25" s="167"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2075</v>
      </c>
      <c r="AE26" s="166" t="s">
        <v>2076</v>
      </c>
      <c r="AF26" s="125" t="s">
        <v>2077</v>
      </c>
      <c r="AG26" s="93" t="s">
        <v>2065</v>
      </c>
      <c r="AH26" s="94" t="s">
        <v>2078</v>
      </c>
      <c r="AI26" s="167"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2091</v>
      </c>
      <c r="AE27" s="166" t="s">
        <v>2092</v>
      </c>
      <c r="AF27" s="125" t="s">
        <v>2093</v>
      </c>
      <c r="AG27" s="93" t="s">
        <v>2081</v>
      </c>
      <c r="AH27" s="94" t="s">
        <v>2094</v>
      </c>
      <c r="AI27" s="167"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2108</v>
      </c>
      <c r="AE28" s="166" t="s">
        <v>2109</v>
      </c>
      <c r="AF28" s="125" t="s">
        <v>2110</v>
      </c>
      <c r="AG28" s="93" t="s">
        <v>2097</v>
      </c>
      <c r="AH28" s="94" t="s">
        <v>2111</v>
      </c>
      <c r="AI28" s="167"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2125</v>
      </c>
      <c r="AE29" s="102" t="s">
        <v>2126</v>
      </c>
      <c r="AF29" s="103" t="s">
        <v>2127</v>
      </c>
      <c r="AG29" s="93" t="s">
        <v>2114</v>
      </c>
      <c r="AH29" s="94" t="s">
        <v>2128</v>
      </c>
      <c r="AI29" s="167"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왼쪽에 보물 상자가 있습니다.")</f>
        <v>잊혀진 지하 납골당 1층, 오른쪽 동굴 입구 옆에 달걀이 줄지어 있는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2141</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7"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2156</v>
      </c>
      <c r="AE31" s="164"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7"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2162</v>
      </c>
      <c r="AE32" s="164"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7"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опыта,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2185</v>
      </c>
      <c r="AE33" s="166" t="s">
        <v>2186</v>
      </c>
      <c r="AF33" s="125" t="s">
        <v>2187</v>
      </c>
      <c r="AG33" s="93" t="s">
        <v>2173</v>
      </c>
      <c r="AH33" s="94" t="s">
        <v>2188</v>
      </c>
      <c r="AI33" s="167"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2201</v>
      </c>
      <c r="AE34" s="166" t="s">
        <v>2202</v>
      </c>
      <c r="AF34" s="125" t="s">
        <v>2203</v>
      </c>
      <c r="AG34" s="93" t="s">
        <v>2191</v>
      </c>
      <c r="AH34" s="94" t="s">
        <v>2204</v>
      </c>
      <c r="AI34" s="167"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2217</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2218</v>
      </c>
      <c r="AE35" s="166" t="s">
        <v>2219</v>
      </c>
      <c r="AF35" s="125" t="s">
        <v>2220</v>
      </c>
      <c r="AG35" s="93" t="s">
        <v>2207</v>
      </c>
      <c r="AH35" s="94" t="s">
        <v>2221</v>
      </c>
      <c r="AI35" s="167"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2234</v>
      </c>
      <c r="S36" s="97" t="s">
        <v>2235</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изображение ветки.")</f>
        <v>То же самое, что и выше, если у вас есть футболка, то будет изображение ветки.</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2236</v>
      </c>
      <c r="AE36" s="166" t="s">
        <v>2237</v>
      </c>
      <c r="AF36" s="125" t="s">
        <v>2238</v>
      </c>
      <c r="AG36" s="93" t="s">
        <v>2224</v>
      </c>
      <c r="AH36" s="94" t="s">
        <v>2239</v>
      </c>
      <c r="AI36" s="167"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веток в жаркую погоду")</f>
        <v>Приобретите электрический вентилятор
Участок для разведения веток в жаркую погоду</v>
      </c>
      <c r="AC37" s="163" t="str">
        <f>IFERROR(__xludf.DUMMYFUNCTION("GOOGLETRANSLATE(I37,""zh-tw"",""en"")"),"R33")</f>
        <v>R33</v>
      </c>
      <c r="AD37" s="100" t="s">
        <v>2253</v>
      </c>
      <c r="AE37" s="166" t="s">
        <v>2254</v>
      </c>
      <c r="AF37" s="125" t="s">
        <v>2255</v>
      </c>
      <c r="AG37" s="93" t="s">
        <v>2242</v>
      </c>
      <c r="AH37" s="94" t="s">
        <v>2256</v>
      </c>
      <c r="AI37" s="167"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4"/>
      <c r="AB38" s="44"/>
      <c r="AC38" s="128" t="s">
        <v>2259</v>
      </c>
      <c r="AD38" s="100"/>
      <c r="AE38" s="166"/>
      <c r="AF38" s="125"/>
      <c r="AG38" s="128" t="s">
        <v>2259</v>
      </c>
      <c r="AH38" s="94"/>
      <c r="AI38" s="167"/>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6"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2273</v>
      </c>
      <c r="AE39" s="166" t="s">
        <v>2274</v>
      </c>
      <c r="AF39" s="125" t="s">
        <v>2275</v>
      </c>
      <c r="AG39" s="93" t="s">
        <v>2260</v>
      </c>
      <c r="AH39" s="94" t="s">
        <v>2276</v>
      </c>
      <c r="AI39" s="167"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2291</v>
      </c>
      <c r="AE40" s="166" t="s">
        <v>2292</v>
      </c>
      <c r="AF40" s="125" t="s">
        <v>2293</v>
      </c>
      <c r="AG40" s="93" t="s">
        <v>2279</v>
      </c>
      <c r="AH40" s="94" t="s">
        <v>2294</v>
      </c>
      <c r="AI40" s="167"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2305</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2306</v>
      </c>
      <c r="AE41" s="166" t="s">
        <v>2307</v>
      </c>
      <c r="AF41" s="125" t="s">
        <v>2308</v>
      </c>
      <c r="AG41" s="93" t="s">
        <v>2297</v>
      </c>
      <c r="AH41" s="94" t="s">
        <v>2309</v>
      </c>
      <c r="AI41" s="167"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2321</v>
      </c>
      <c r="AE42" s="166" t="s">
        <v>2322</v>
      </c>
      <c r="AF42" s="125" t="s">
        <v>2323</v>
      </c>
      <c r="AG42" s="93" t="s">
        <v>2312</v>
      </c>
      <c r="AH42" s="94" t="s">
        <v>2324</v>
      </c>
      <c r="AI42" s="167"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6"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2339</v>
      </c>
      <c r="AE43" s="166" t="s">
        <v>2340</v>
      </c>
      <c r="AF43" s="125" t="s">
        <v>2341</v>
      </c>
      <c r="AG43" s="93" t="s">
        <v>2327</v>
      </c>
      <c r="AH43" s="94" t="s">
        <v>2342</v>
      </c>
      <c r="AI43" s="167"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프로젝트를 이어서 King Salmon을 주면 저주 상태를 제거할 수 있습니다.")</f>
        <v>이전 프로젝트를 이어서 King Salmon을 주면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2356</v>
      </c>
      <c r="AE44" s="166" t="s">
        <v>2357</v>
      </c>
      <c r="AF44" s="125" t="s">
        <v>2358</v>
      </c>
      <c r="AG44" s="93" t="s">
        <v>2345</v>
      </c>
      <c r="AH44" s="94" t="s">
        <v>2359</v>
      </c>
      <c r="AI44" s="167"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69" t="s">
        <v>2362</v>
      </c>
      <c r="V45" s="88"/>
      <c r="W45" s="89"/>
      <c r="X45" s="55"/>
      <c r="Y45" s="169" t="s">
        <v>2362</v>
      </c>
      <c r="Z45" s="100"/>
      <c r="AA45" s="164"/>
      <c r="AB45" s="44"/>
      <c r="AC45" s="169" t="s">
        <v>2362</v>
      </c>
      <c r="AD45" s="100" t="s">
        <v>2372</v>
      </c>
      <c r="AE45" s="166" t="s">
        <v>2373</v>
      </c>
      <c r="AF45" s="125" t="s">
        <v>2374</v>
      </c>
      <c r="AG45" s="93" t="s">
        <v>2362</v>
      </c>
      <c r="AH45" s="94" t="s">
        <v>2375</v>
      </c>
      <c r="AI45" s="167"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2389</v>
      </c>
      <c r="AE46" s="166" t="s">
        <v>2390</v>
      </c>
      <c r="AF46" s="125" t="s">
        <v>2391</v>
      </c>
      <c r="AG46" s="93" t="s">
        <v>2378</v>
      </c>
      <c r="AH46" s="94" t="s">
        <v>2392</v>
      </c>
      <c r="AI46" s="167"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2405</v>
      </c>
      <c r="AE47" s="166" t="s">
        <v>2406</v>
      </c>
      <c r="AF47" s="125" t="s">
        <v>2407</v>
      </c>
      <c r="AG47" s="93" t="s">
        <v>2395</v>
      </c>
      <c r="AH47" s="94" t="s">
        <v>2408</v>
      </c>
      <c r="AI47" s="167"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2421</v>
      </c>
      <c r="AE48" s="166" t="s">
        <v>2422</v>
      </c>
      <c r="AF48" s="125" t="s">
        <v>2423</v>
      </c>
      <c r="AG48" s="93" t="s">
        <v>2411</v>
      </c>
      <c r="AH48" s="94" t="s">
        <v>2424</v>
      </c>
      <c r="AI48" s="167"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2438</v>
      </c>
      <c r="AE49" s="166" t="s">
        <v>2439</v>
      </c>
      <c r="AF49" s="125" t="s">
        <v>2440</v>
      </c>
      <c r="AG49" s="93" t="s">
        <v>2427</v>
      </c>
      <c r="AH49" s="94" t="s">
        <v>2441</v>
      </c>
      <c r="AI49" s="167"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2455</v>
      </c>
      <c r="AE50" s="166" t="s">
        <v>2456</v>
      </c>
      <c r="AF50" s="125" t="s">
        <v>2457</v>
      </c>
      <c r="AG50" s="93" t="s">
        <v>2444</v>
      </c>
      <c r="AH50" s="94" t="s">
        <v>2458</v>
      </c>
      <c r="AI50" s="167"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2472</v>
      </c>
      <c r="AE51" s="166" t="s">
        <v>2473</v>
      </c>
      <c r="AF51" s="125" t="s">
        <v>2474</v>
      </c>
      <c r="AG51" s="93" t="s">
        <v>2461</v>
      </c>
      <c r="AH51" s="94" t="s">
        <v>2475</v>
      </c>
      <c r="AI51" s="167"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2488</v>
      </c>
      <c r="AE52" s="166" t="s">
        <v>2489</v>
      </c>
      <c r="AF52" s="125" t="s">
        <v>2490</v>
      </c>
      <c r="AG52" s="93" t="s">
        <v>2478</v>
      </c>
      <c r="AH52" s="94" t="s">
        <v>2491</v>
      </c>
      <c r="AI52" s="167"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extrañas.
*Im"&amp;"plementado.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extrañas.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완전히 구현되지 않았습니다.)")</f>
        <v>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корчить рожицы. Фотосъёмка во время эротических сцен также может сделать её застенчивой. Когда на брата наложено проклятие, легче сделать странн"&amp;"ые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f>
        <v>Полученный предмет — Магический проектор (камера)
*Реализовано. При фотографировании младшей сестры она может корчить рожицы. Фотосъёмка во время эротических сцен также может сделать её застенчивой. Когда на брата наложено проклятие, легче сделать странные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2505</v>
      </c>
      <c r="AE53" s="166" t="s">
        <v>2506</v>
      </c>
      <c r="AF53" s="125" t="s">
        <v>2507</v>
      </c>
      <c r="AG53" s="93" t="s">
        <v>2494</v>
      </c>
      <c r="AH53" s="94" t="s">
        <v>2508</v>
      </c>
      <c r="AI53" s="167"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2519</v>
      </c>
      <c r="AE54" s="166" t="s">
        <v>2506</v>
      </c>
      <c r="AF54" s="125" t="s">
        <v>2520</v>
      </c>
      <c r="AG54" s="93" t="s">
        <v>2511</v>
      </c>
      <c r="AH54" s="94" t="s">
        <v>2521</v>
      </c>
      <c r="AI54" s="167" t="s">
        <v>2509</v>
      </c>
      <c r="AJ54" s="96" t="s">
        <v>2522</v>
      </c>
      <c r="AK54" s="171"/>
      <c r="AL54" s="171"/>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2532</v>
      </c>
      <c r="AE55" s="166" t="s">
        <v>2533</v>
      </c>
      <c r="AF55" s="125" t="s">
        <v>2323</v>
      </c>
      <c r="AG55" s="93" t="s">
        <v>2523</v>
      </c>
      <c r="AH55" s="94" t="s">
        <v>2534</v>
      </c>
      <c r="AI55" s="167" t="s">
        <v>2535</v>
      </c>
      <c r="AJ55" s="96" t="s">
        <v>2311</v>
      </c>
      <c r="AK55" s="171"/>
      <c r="AL55" s="171"/>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2546</v>
      </c>
      <c r="AE56" s="102" t="s">
        <v>2547</v>
      </c>
      <c r="AF56" s="103" t="s">
        <v>2548</v>
      </c>
      <c r="AG56" s="93" t="s">
        <v>2536</v>
      </c>
      <c r="AH56" s="94" t="s">
        <v>2549</v>
      </c>
      <c r="AI56" s="167" t="s">
        <v>2550</v>
      </c>
      <c r="AJ56" s="96" t="s">
        <v>2551</v>
      </c>
      <c r="AK56" s="171"/>
      <c r="AL56" s="171"/>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2562</v>
      </c>
      <c r="AE57" s="166" t="s">
        <v>2563</v>
      </c>
      <c r="AF57" s="125" t="s">
        <v>2564</v>
      </c>
      <c r="AG57" s="93" t="s">
        <v>2552</v>
      </c>
      <c r="AH57" s="94" t="s">
        <v>2565</v>
      </c>
      <c r="AI57" s="167" t="s">
        <v>2566</v>
      </c>
      <c r="AJ57" s="96" t="s">
        <v>2567</v>
      </c>
      <c r="AK57" s="171"/>
      <c r="AL57" s="171"/>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2578</v>
      </c>
      <c r="AE58" s="166" t="s">
        <v>2579</v>
      </c>
      <c r="AF58" s="125" t="s">
        <v>2580</v>
      </c>
      <c r="AG58" s="93" t="s">
        <v>2568</v>
      </c>
      <c r="AH58" s="94" t="s">
        <v>2581</v>
      </c>
      <c r="AI58" s="167" t="s">
        <v>2582</v>
      </c>
      <c r="AJ58" s="96" t="s">
        <v>2583</v>
      </c>
      <c r="AK58" s="171"/>
      <c r="AL58" s="171"/>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2596</v>
      </c>
      <c r="AE59" s="166" t="s">
        <v>2597</v>
      </c>
      <c r="AF59" s="125" t="s">
        <v>2598</v>
      </c>
      <c r="AG59" s="93" t="s">
        <v>2584</v>
      </c>
      <c r="AH59" s="94" t="s">
        <v>2599</v>
      </c>
      <c r="AI59" s="167" t="s">
        <v>2600</v>
      </c>
      <c r="AJ59" s="96" t="s">
        <v>2601</v>
      </c>
      <c r="AK59" s="171"/>
      <c r="AL59" s="171"/>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2612</v>
      </c>
      <c r="AE60" s="166" t="s">
        <v>2613</v>
      </c>
      <c r="AF60" s="125" t="s">
        <v>2614</v>
      </c>
      <c r="AG60" s="93" t="s">
        <v>2602</v>
      </c>
      <c r="AH60" s="94" t="s">
        <v>2615</v>
      </c>
      <c r="AI60" s="167" t="s">
        <v>2616</v>
      </c>
      <c r="AJ60" s="96" t="s">
        <v>2617</v>
      </c>
      <c r="AK60" s="171"/>
      <c r="AL60" s="171"/>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2602</v>
      </c>
      <c r="AD61" s="126" t="s">
        <v>2627</v>
      </c>
      <c r="AE61" s="166" t="s">
        <v>2628</v>
      </c>
      <c r="AF61" s="125" t="s">
        <v>2629</v>
      </c>
      <c r="AG61" s="93" t="s">
        <v>2618</v>
      </c>
      <c r="AH61" s="94" t="s">
        <v>2630</v>
      </c>
      <c r="AI61" s="167" t="s">
        <v>2631</v>
      </c>
      <c r="AJ61" s="96" t="s">
        <v>2632</v>
      </c>
      <c r="AK61" s="171"/>
      <c r="AL61" s="171"/>
    </row>
    <row r="62">
      <c r="A62" s="128" t="s">
        <v>2633</v>
      </c>
      <c r="B62" s="100" t="s">
        <v>2634</v>
      </c>
      <c r="C62" s="97" t="s">
        <v>2496</v>
      </c>
      <c r="D62" s="52" t="s">
        <v>2635</v>
      </c>
      <c r="E62" s="128" t="str">
        <f>IFERROR(__xludf.DUMMYFUNCTION("GOOGLETRANSLATE(A62,""zh-tw"",""ja"")"),"R58")</f>
        <v>R58</v>
      </c>
      <c r="F62" s="100" t="s">
        <v>2636</v>
      </c>
      <c r="G62" s="173" t="s">
        <v>2622</v>
      </c>
      <c r="H62" s="174" t="s">
        <v>2637</v>
      </c>
      <c r="I62" s="128" t="str">
        <f>IFERROR(__xludf.DUMMYFUNCTION("GOOGLETRANSLATE(A62,""zh-tw"",""en"")"),"R58")</f>
        <v>R58</v>
      </c>
      <c r="J62" s="100" t="s">
        <v>2638</v>
      </c>
      <c r="K62" s="97" t="s">
        <v>2625</v>
      </c>
      <c r="L62" s="52" t="s">
        <v>2639</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2618</v>
      </c>
      <c r="AD62" s="126" t="s">
        <v>2640</v>
      </c>
      <c r="AE62" s="166" t="s">
        <v>2641</v>
      </c>
      <c r="AF62" s="125" t="s">
        <v>2642</v>
      </c>
      <c r="AG62" s="93" t="s">
        <v>2633</v>
      </c>
      <c r="AH62" s="94" t="s">
        <v>2643</v>
      </c>
      <c r="AI62" s="167" t="s">
        <v>2631</v>
      </c>
      <c r="AJ62" s="96" t="s">
        <v>2644</v>
      </c>
      <c r="AK62" s="171"/>
      <c r="AL62" s="171"/>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2645</v>
      </c>
      <c r="AD63" s="88" t="s">
        <v>2655</v>
      </c>
      <c r="AE63" s="130" t="s">
        <v>2656</v>
      </c>
      <c r="AF63" s="127" t="s">
        <v>2657</v>
      </c>
      <c r="AG63" s="93" t="s">
        <v>2645</v>
      </c>
      <c r="AH63" s="139" t="s">
        <v>2658</v>
      </c>
      <c r="AI63" s="175" t="s">
        <v>2659</v>
      </c>
      <c r="AJ63" s="176" t="s">
        <v>2660</v>
      </c>
      <c r="AK63" s="141"/>
      <c r="AL63" s="141"/>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2661</v>
      </c>
      <c r="AD64" s="88" t="s">
        <v>2671</v>
      </c>
      <c r="AE64" s="130" t="s">
        <v>2672</v>
      </c>
      <c r="AF64" s="127" t="s">
        <v>2673</v>
      </c>
      <c r="AG64" s="93" t="s">
        <v>2661</v>
      </c>
      <c r="AH64" s="139" t="s">
        <v>2674</v>
      </c>
      <c r="AI64" s="175" t="s">
        <v>2675</v>
      </c>
      <c r="AJ64" s="176" t="s">
        <v>2676</v>
      </c>
      <c r="AK64" s="141"/>
      <c r="AL64" s="141"/>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2677</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2677</v>
      </c>
      <c r="AD65" s="88" t="s">
        <v>2687</v>
      </c>
      <c r="AE65" s="130" t="s">
        <v>2688</v>
      </c>
      <c r="AF65" s="127" t="s">
        <v>2689</v>
      </c>
      <c r="AG65" s="93" t="s">
        <v>2677</v>
      </c>
      <c r="AH65" s="139" t="s">
        <v>2690</v>
      </c>
      <c r="AI65" s="175" t="s">
        <v>2691</v>
      </c>
      <c r="AJ65" s="176" t="s">
        <v>2692</v>
      </c>
      <c r="AK65" s="141"/>
      <c r="AL65" s="141"/>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2693</v>
      </c>
      <c r="AD66" s="88" t="s">
        <v>2703</v>
      </c>
      <c r="AE66" s="130" t="s">
        <v>2704</v>
      </c>
      <c r="AF66" s="127" t="s">
        <v>2705</v>
      </c>
      <c r="AG66" s="93" t="s">
        <v>2693</v>
      </c>
      <c r="AH66" s="139" t="s">
        <v>2658</v>
      </c>
      <c r="AI66" s="175" t="s">
        <v>2706</v>
      </c>
      <c r="AJ66" s="176" t="s">
        <v>2707</v>
      </c>
      <c r="AK66" s="141"/>
      <c r="AL66" s="141"/>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2708</v>
      </c>
      <c r="AD67" s="88" t="s">
        <v>2716</v>
      </c>
      <c r="AE67" s="130" t="s">
        <v>2717</v>
      </c>
      <c r="AF67" s="127" t="s">
        <v>2718</v>
      </c>
      <c r="AG67" s="93" t="s">
        <v>2708</v>
      </c>
      <c r="AH67" s="139" t="s">
        <v>2719</v>
      </c>
      <c r="AI67" s="175" t="s">
        <v>2720</v>
      </c>
      <c r="AJ67" s="176" t="s">
        <v>2721</v>
      </c>
      <c r="AK67" s="141"/>
      <c r="AL67" s="141"/>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2722</v>
      </c>
      <c r="AD68" s="100" t="s">
        <v>2732</v>
      </c>
      <c r="AE68" s="124" t="s">
        <v>2733</v>
      </c>
      <c r="AF68" s="107" t="s">
        <v>2734</v>
      </c>
      <c r="AG68" s="93" t="s">
        <v>2722</v>
      </c>
      <c r="AH68" s="139" t="s">
        <v>2735</v>
      </c>
      <c r="AI68" s="177" t="s">
        <v>2736</v>
      </c>
      <c r="AJ68" s="176" t="s">
        <v>2737</v>
      </c>
      <c r="AK68" s="141"/>
      <c r="AL68" s="141"/>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2738</v>
      </c>
      <c r="AD69" s="88" t="s">
        <v>2748</v>
      </c>
      <c r="AE69" s="130" t="s">
        <v>2749</v>
      </c>
      <c r="AF69" s="127" t="s">
        <v>2750</v>
      </c>
      <c r="AG69" s="93" t="s">
        <v>2738</v>
      </c>
      <c r="AH69" s="139" t="s">
        <v>2751</v>
      </c>
      <c r="AI69" s="175" t="s">
        <v>2752</v>
      </c>
      <c r="AJ69" s="176" t="s">
        <v>2753</v>
      </c>
      <c r="AK69" s="141"/>
      <c r="AL69" s="141"/>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2754</v>
      </c>
      <c r="AD70" s="88" t="s">
        <v>2764</v>
      </c>
      <c r="AE70" s="130" t="s">
        <v>2765</v>
      </c>
      <c r="AF70" s="127" t="s">
        <v>2766</v>
      </c>
      <c r="AG70" s="93" t="s">
        <v>2754</v>
      </c>
      <c r="AH70" s="139" t="s">
        <v>2767</v>
      </c>
      <c r="AI70" s="175" t="s">
        <v>2768</v>
      </c>
      <c r="AJ70" s="123" t="s">
        <v>2769</v>
      </c>
      <c r="AK70" s="141"/>
      <c r="AL70" s="141"/>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39" t="s">
        <v>2783</v>
      </c>
      <c r="AI71" s="177" t="s">
        <v>2784</v>
      </c>
      <c r="AJ71" s="176" t="s">
        <v>2785</v>
      </c>
      <c r="AK71" s="141"/>
      <c r="AL71" s="141"/>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39" t="s">
        <v>2799</v>
      </c>
      <c r="AI72" s="177" t="s">
        <v>2800</v>
      </c>
      <c r="AJ72" s="110" t="s">
        <v>2801</v>
      </c>
      <c r="AK72" s="141"/>
      <c r="AL72" s="141"/>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f>
        <v>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7" t="s">
        <v>2816</v>
      </c>
      <c r="AJ73" s="123" t="s">
        <v>2817</v>
      </c>
      <c r="AK73" s="171"/>
      <c r="AL73" s="171"/>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IFERROR(__xludf.DUMMYFUNCTION("GOOGLETRANSLATE(B74,""zh-tw"",""es-MX"")"),"Cabaña del cazador - Sótano")</f>
        <v>Cabaña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f>
        <v>헌터스 롯지 - 지하</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7" t="s">
        <v>2832</v>
      </c>
      <c r="AJ74" s="123" t="s">
        <v>2833</v>
      </c>
      <c r="AK74" s="171"/>
      <c r="AL74" s="171"/>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7" t="s">
        <v>2847</v>
      </c>
      <c r="AJ75" s="123" t="s">
        <v>2848</v>
      </c>
      <c r="AK75" s="171"/>
      <c r="AL75" s="171"/>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7" t="s">
        <v>2856</v>
      </c>
      <c r="AJ76" s="123" t="s">
        <v>2857</v>
      </c>
      <c r="AK76" s="171"/>
      <c r="AL76" s="171"/>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7" t="s">
        <v>2866</v>
      </c>
      <c r="AJ77" s="123" t="s">
        <v>2867</v>
      </c>
      <c r="AK77" s="171"/>
      <c r="AL77" s="171"/>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ist das Licht über der zentralen Treppe")</f>
        <v>Im Entwicklungsgebiet (Mine)-4 ist das Licht über der zentralen Treppe</v>
      </c>
      <c r="AF78" s="117" t="s">
        <v>2875</v>
      </c>
      <c r="AG78" s="93" t="s">
        <v>2868</v>
      </c>
      <c r="AH78" s="94" t="s">
        <v>2846</v>
      </c>
      <c r="AI78" s="177" t="s">
        <v>2876</v>
      </c>
      <c r="AJ78" s="123" t="s">
        <v>2877</v>
      </c>
      <c r="AK78" s="171"/>
      <c r="AL78" s="171"/>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7" t="s">
        <v>2886</v>
      </c>
      <c r="AJ79" s="123" t="s">
        <v>2887</v>
      </c>
      <c r="AK79" s="171"/>
      <c r="AL79" s="171"/>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7" t="s">
        <v>2896</v>
      </c>
      <c r="AJ80" s="123" t="s">
        <v>2897</v>
      </c>
      <c r="AK80" s="171"/>
      <c r="AL80" s="171"/>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2898</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7" t="s">
        <v>2909</v>
      </c>
      <c r="AJ81" s="123" t="s">
        <v>2910</v>
      </c>
      <c r="AK81" s="171"/>
      <c r="AL81" s="171"/>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7" t="s">
        <v>2922</v>
      </c>
      <c r="AJ82" s="123" t="s">
        <v>2923</v>
      </c>
      <c r="AK82" s="171"/>
      <c r="AL82" s="171"/>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7" t="s">
        <v>2934</v>
      </c>
      <c r="AJ83" s="123" t="s">
        <v>2935</v>
      </c>
      <c r="AK83" s="171"/>
      <c r="AL83" s="171"/>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7" t="s">
        <v>2946</v>
      </c>
      <c r="AJ84" s="123" t="s">
        <v>2947</v>
      </c>
      <c r="AK84" s="171"/>
      <c r="AL84" s="171"/>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7" t="s">
        <v>2959</v>
      </c>
      <c r="AJ85" s="123" t="s">
        <v>2960</v>
      </c>
      <c r="AK85" s="171"/>
      <c r="AL85" s="171"/>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7" t="s">
        <v>2970</v>
      </c>
      <c r="AJ86" s="123" t="s">
        <v>2971</v>
      </c>
      <c r="AK86" s="171"/>
      <c r="AL86" s="171"/>
    </row>
    <row r="87">
      <c r="A87" s="84" t="s">
        <v>2972</v>
      </c>
      <c r="B87" s="100" t="s">
        <v>2973</v>
      </c>
      <c r="C87" s="97" t="s">
        <v>2974</v>
      </c>
      <c r="D87" s="52" t="s">
        <v>2975</v>
      </c>
      <c r="E87" s="84" t="s">
        <v>2972</v>
      </c>
      <c r="F87" s="100" t="s">
        <v>2973</v>
      </c>
      <c r="G87" s="173" t="s">
        <v>2976</v>
      </c>
      <c r="H87" s="174"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7" t="s">
        <v>2980</v>
      </c>
      <c r="AJ87" s="123" t="s">
        <v>2981</v>
      </c>
      <c r="AK87" s="171"/>
      <c r="AL87" s="171"/>
    </row>
    <row r="88">
      <c r="A88" s="84" t="s">
        <v>2982</v>
      </c>
      <c r="B88" s="100" t="s">
        <v>2983</v>
      </c>
      <c r="C88" s="97" t="s">
        <v>2984</v>
      </c>
      <c r="D88" s="52" t="s">
        <v>2985</v>
      </c>
      <c r="E88" s="84" t="s">
        <v>2982</v>
      </c>
      <c r="F88" s="100" t="s">
        <v>2983</v>
      </c>
      <c r="G88" s="173" t="s">
        <v>2986</v>
      </c>
      <c r="H88" s="174"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7" t="s">
        <v>2990</v>
      </c>
      <c r="AJ88" s="123" t="s">
        <v>2991</v>
      </c>
      <c r="AK88" s="171"/>
      <c r="AL88" s="171"/>
    </row>
    <row r="89">
      <c r="A89" s="84" t="s">
        <v>2992</v>
      </c>
      <c r="B89" s="100" t="s">
        <v>2993</v>
      </c>
      <c r="C89" s="97" t="s">
        <v>2994</v>
      </c>
      <c r="D89" s="52" t="s">
        <v>2995</v>
      </c>
      <c r="E89" s="84" t="s">
        <v>2992</v>
      </c>
      <c r="F89" s="100" t="s">
        <v>2993</v>
      </c>
      <c r="G89" s="173" t="s">
        <v>2996</v>
      </c>
      <c r="H89" s="174"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7" t="s">
        <v>3000</v>
      </c>
      <c r="AJ89" s="178" t="s">
        <v>3001</v>
      </c>
      <c r="AK89" s="171"/>
      <c r="AL89" s="171"/>
    </row>
    <row r="90">
      <c r="A90" s="84" t="s">
        <v>3002</v>
      </c>
      <c r="B90" s="100" t="s">
        <v>3003</v>
      </c>
      <c r="C90" s="97" t="s">
        <v>3004</v>
      </c>
      <c r="D90" s="52" t="s">
        <v>3005</v>
      </c>
      <c r="E90" s="84" t="s">
        <v>3002</v>
      </c>
      <c r="F90" s="100" t="s">
        <v>3006</v>
      </c>
      <c r="G90" s="173" t="s">
        <v>3007</v>
      </c>
      <c r="H90" s="174"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7" t="s">
        <v>3015</v>
      </c>
      <c r="AJ90" s="123" t="s">
        <v>3016</v>
      </c>
      <c r="AK90" s="171"/>
      <c r="AL90" s="171"/>
    </row>
    <row r="91">
      <c r="A91" s="84" t="s">
        <v>3017</v>
      </c>
      <c r="B91" s="100" t="s">
        <v>3018</v>
      </c>
      <c r="C91" s="97" t="s">
        <v>3019</v>
      </c>
      <c r="D91" s="52" t="s">
        <v>3020</v>
      </c>
      <c r="E91" s="84" t="s">
        <v>3017</v>
      </c>
      <c r="F91" s="100" t="s">
        <v>3021</v>
      </c>
      <c r="G91" s="173" t="s">
        <v>3022</v>
      </c>
      <c r="H91" s="174"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7" t="s">
        <v>3030</v>
      </c>
      <c r="AJ91" s="120" t="s">
        <v>3031</v>
      </c>
      <c r="AK91" s="171"/>
      <c r="AL91" s="171"/>
    </row>
    <row r="92">
      <c r="A92" s="84" t="s">
        <v>3032</v>
      </c>
      <c r="B92" s="100" t="s">
        <v>3033</v>
      </c>
      <c r="C92" s="97" t="s">
        <v>3034</v>
      </c>
      <c r="D92" s="52" t="s">
        <v>590</v>
      </c>
      <c r="E92" s="84" t="s">
        <v>3032</v>
      </c>
      <c r="F92" s="100" t="s">
        <v>3035</v>
      </c>
      <c r="G92" s="173" t="s">
        <v>3036</v>
      </c>
      <c r="H92" s="174"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7" t="s">
        <v>3041</v>
      </c>
      <c r="AJ92" s="123" t="s">
        <v>3042</v>
      </c>
      <c r="AK92" s="171"/>
      <c r="AL92" s="171"/>
    </row>
    <row r="93">
      <c r="A93" s="84" t="s">
        <v>3043</v>
      </c>
      <c r="B93" s="100" t="s">
        <v>3044</v>
      </c>
      <c r="C93" s="97" t="s">
        <v>3045</v>
      </c>
      <c r="D93" s="52" t="s">
        <v>590</v>
      </c>
      <c r="E93" s="84" t="s">
        <v>3043</v>
      </c>
      <c r="F93" s="100" t="s">
        <v>3046</v>
      </c>
      <c r="G93" s="173" t="s">
        <v>3047</v>
      </c>
      <c r="H93" s="174"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7" t="s">
        <v>3052</v>
      </c>
      <c r="AJ93" s="123" t="s">
        <v>3042</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3053</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3"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3056</v>
      </c>
      <c r="I3" s="141" t="s">
        <v>3057</v>
      </c>
      <c r="J3" s="46"/>
      <c r="K3" s="46"/>
      <c r="L3" s="46"/>
      <c r="M3" s="46"/>
      <c r="N3" s="46"/>
      <c r="O3" s="46"/>
      <c r="P3" s="46"/>
      <c r="Q3" s="46"/>
      <c r="R3" s="46"/>
      <c r="S3" s="46"/>
      <c r="T3" s="46"/>
      <c r="U3" s="46"/>
      <c r="V3" s="46"/>
      <c r="W3" s="46"/>
    </row>
    <row r="4">
      <c r="A4" s="52" t="s">
        <v>3058</v>
      </c>
      <c r="B4" s="203" t="str">
        <f>IFERROR(__xludf.DUMMYFUNCTION("GOOGLETRANSLATE(A4,""zh-tw"",""ja"")"),"ALTはアニメーションのパフォーマンスを高速化します")</f>
        <v>ALTはアニメーションのパフォーマンスを高速化します</v>
      </c>
      <c r="C4" s="52" t="s">
        <v>3059</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3060</v>
      </c>
      <c r="I4" s="141" t="s">
        <v>3061</v>
      </c>
      <c r="J4" s="46"/>
      <c r="K4" s="46"/>
      <c r="L4" s="46"/>
      <c r="M4" s="46"/>
      <c r="N4" s="46"/>
      <c r="O4" s="46"/>
      <c r="P4" s="46"/>
      <c r="Q4" s="46"/>
      <c r="R4" s="46"/>
      <c r="S4" s="46"/>
      <c r="T4" s="46"/>
      <c r="U4" s="46"/>
      <c r="V4" s="46"/>
      <c r="W4" s="46"/>
    </row>
    <row r="5">
      <c r="A5" s="52" t="s">
        <v>3062</v>
      </c>
      <c r="B5" s="203" t="str">
        <f>IFERROR(__xludf.DUMMYFUNCTION("GOOGLETRANSLATE(A5,""zh-tw"",""ja"")"),"CTRLキーで会話をスピードアップ")</f>
        <v>CTRLキーで会話をスピードアップ</v>
      </c>
      <c r="C5" s="52" t="s">
        <v>3063</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3064</v>
      </c>
      <c r="I5" s="141" t="s">
        <v>3065</v>
      </c>
      <c r="J5" s="46"/>
      <c r="K5" s="46"/>
      <c r="L5" s="46"/>
      <c r="M5" s="46"/>
      <c r="N5" s="46"/>
      <c r="O5" s="46"/>
      <c r="P5" s="46"/>
      <c r="Q5" s="46"/>
      <c r="R5" s="46"/>
      <c r="S5" s="46"/>
      <c r="T5" s="46"/>
      <c r="U5" s="46"/>
      <c r="V5" s="46"/>
      <c r="W5" s="46"/>
    </row>
    <row r="6">
      <c r="A6" s="52" t="s">
        <v>3066</v>
      </c>
      <c r="B6" s="203" t="str">
        <f>IFERROR(__xludf.DUMMYFUNCTION("GOOGLETRANSLATE(A6,""zh-tw"",""ja"")"),"Zキーで会話を進める")</f>
        <v>Zキーで会話を進める</v>
      </c>
      <c r="C6" s="52" t="s">
        <v>3067</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3068</v>
      </c>
      <c r="I6" s="141" t="s">
        <v>3069</v>
      </c>
      <c r="J6" s="46"/>
      <c r="K6" s="46"/>
      <c r="L6" s="46"/>
      <c r="M6" s="46"/>
      <c r="N6" s="46"/>
      <c r="O6" s="46"/>
      <c r="P6" s="46"/>
      <c r="Q6" s="46"/>
      <c r="R6" s="46"/>
      <c r="S6" s="46"/>
      <c r="T6" s="46"/>
      <c r="U6" s="46"/>
      <c r="V6" s="46"/>
      <c r="W6" s="46"/>
    </row>
    <row r="7">
      <c r="A7" s="52" t="s">
        <v>3070</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받은 후 빠르게 스크린샷을 찍을 수 있습니다.")</f>
        <v>F7은 카메라를 받은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3072</v>
      </c>
      <c r="I7" s="141" t="s">
        <v>3073</v>
      </c>
      <c r="J7" s="46"/>
      <c r="K7" s="46"/>
      <c r="L7" s="46"/>
      <c r="M7" s="46"/>
      <c r="N7" s="46"/>
      <c r="O7" s="46"/>
      <c r="P7" s="46"/>
      <c r="Q7" s="46"/>
      <c r="R7" s="46"/>
      <c r="S7" s="46"/>
      <c r="T7" s="46"/>
      <c r="U7" s="46"/>
      <c r="V7" s="46"/>
      <c r="W7" s="46"/>
    </row>
    <row r="8">
      <c r="A8" s="52" t="s">
        <v>3074</v>
      </c>
      <c r="B8" s="203" t="str">
        <f>IFERROR(__xludf.DUMMYFUNCTION("GOOGLETRANSLATE(A8,""zh-tw"",""ja"")"),"F12 でコンソールを表示")</f>
        <v>F12 でコンソールを表示</v>
      </c>
      <c r="C8" s="52" t="s">
        <v>3075</v>
      </c>
      <c r="D8" s="203" t="str">
        <f>IFERROR(__xludf.DUMMYFUNCTION("GOOGLETRANSLATE(A8,""zh-tw"",""zh"")"),"F12可显示控制台")</f>
        <v>F12可显示控制台</v>
      </c>
      <c r="E8" s="55" t="str">
        <f>IFERROR(__xludf.DUMMYFUNCTION("GOOGLETRANSLATE(A8,""zh-tw"",""es-MX"")"),"F12 para mostrar la consola")</f>
        <v>F12 para mostrar la consola</v>
      </c>
      <c r="F8" s="204"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03" t="s">
        <v>3076</v>
      </c>
      <c r="I8" s="141" t="s">
        <v>3077</v>
      </c>
      <c r="J8" s="46"/>
      <c r="K8" s="46"/>
      <c r="L8" s="46"/>
      <c r="M8" s="46"/>
      <c r="N8" s="46"/>
      <c r="O8" s="46"/>
      <c r="P8" s="46"/>
      <c r="Q8" s="46"/>
      <c r="R8" s="46"/>
      <c r="S8" s="46"/>
      <c r="T8" s="46"/>
      <c r="U8" s="46"/>
      <c r="V8" s="46"/>
      <c r="W8" s="46"/>
    </row>
    <row r="9">
      <c r="A9" s="52" t="s">
        <v>3078</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3080</v>
      </c>
      <c r="I9" s="141" t="s">
        <v>3081</v>
      </c>
      <c r="J9" s="46"/>
      <c r="K9" s="46"/>
      <c r="L9" s="46"/>
      <c r="M9" s="46"/>
      <c r="N9" s="46"/>
      <c r="O9" s="46"/>
      <c r="P9" s="46"/>
      <c r="Q9" s="46"/>
      <c r="R9" s="46"/>
      <c r="S9" s="46"/>
      <c r="T9" s="46"/>
      <c r="U9" s="46"/>
      <c r="V9" s="46"/>
      <c r="W9" s="46"/>
    </row>
    <row r="10">
      <c r="A10" s="52" t="s">
        <v>3082</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3084</v>
      </c>
      <c r="I10" s="141" t="s">
        <v>3085</v>
      </c>
      <c r="J10" s="46"/>
      <c r="K10" s="46"/>
      <c r="L10" s="46"/>
      <c r="M10" s="46"/>
      <c r="N10" s="46"/>
      <c r="O10" s="46"/>
      <c r="P10" s="46"/>
      <c r="Q10" s="46"/>
      <c r="R10" s="46"/>
      <c r="S10" s="46"/>
      <c r="T10" s="46"/>
      <c r="U10" s="46"/>
      <c r="V10" s="46"/>
      <c r="W10" s="46"/>
    </row>
    <row r="11">
      <c r="A11" s="52" t="s">
        <v>3086</v>
      </c>
      <c r="B11" s="203" t="s">
        <v>3087</v>
      </c>
      <c r="C11" s="52" t="s">
        <v>3088</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3089</v>
      </c>
      <c r="I11" s="141" t="s">
        <v>3090</v>
      </c>
      <c r="J11" s="46"/>
      <c r="K11" s="46"/>
      <c r="L11" s="46"/>
      <c r="M11" s="46"/>
      <c r="N11" s="46"/>
      <c r="O11" s="46"/>
      <c r="P11" s="46"/>
      <c r="Q11" s="46"/>
      <c r="R11" s="46"/>
      <c r="S11" s="46"/>
      <c r="T11" s="46"/>
      <c r="U11" s="46"/>
      <c r="V11" s="46"/>
      <c r="W11" s="46"/>
    </row>
    <row r="12">
      <c r="A12" s="52" t="s">
        <v>3091</v>
      </c>
      <c r="B12" s="203" t="s">
        <v>3092</v>
      </c>
      <c r="C12" s="52" t="s">
        <v>3093</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3094</v>
      </c>
      <c r="I12" s="141" t="s">
        <v>3095</v>
      </c>
      <c r="J12" s="46"/>
      <c r="K12" s="46"/>
      <c r="L12" s="46"/>
      <c r="M12" s="46"/>
      <c r="N12" s="46"/>
      <c r="O12" s="46"/>
      <c r="P12" s="46"/>
      <c r="Q12" s="46"/>
      <c r="R12" s="46"/>
      <c r="S12" s="46"/>
      <c r="T12" s="46"/>
      <c r="U12" s="46"/>
      <c r="V12" s="46"/>
      <c r="W12" s="46"/>
    </row>
    <row r="13">
      <c r="A13" s="52" t="s">
        <v>3096</v>
      </c>
      <c r="B13" s="203" t="s">
        <v>3097</v>
      </c>
      <c r="C13" s="52" t="s">
        <v>3098</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3099</v>
      </c>
      <c r="I13" s="141" t="s">
        <v>3100</v>
      </c>
      <c r="J13" s="46"/>
      <c r="K13" s="46"/>
      <c r="L13" s="46"/>
      <c r="M13" s="46"/>
      <c r="N13" s="46"/>
      <c r="O13" s="46"/>
      <c r="P13" s="46"/>
      <c r="Q13" s="46"/>
      <c r="R13" s="46"/>
      <c r="S13" s="46"/>
      <c r="T13" s="46"/>
      <c r="U13" s="46"/>
      <c r="V13" s="46"/>
      <c r="W13" s="46"/>
    </row>
    <row r="14">
      <c r="A14" s="52" t="s">
        <v>3101</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3103</v>
      </c>
      <c r="I14" s="141" t="s">
        <v>3104</v>
      </c>
      <c r="J14" s="46"/>
      <c r="K14" s="46"/>
      <c r="L14" s="46"/>
      <c r="M14" s="46"/>
      <c r="N14" s="46"/>
      <c r="O14" s="46"/>
      <c r="P14" s="46"/>
      <c r="Q14" s="46"/>
      <c r="R14" s="46"/>
      <c r="S14" s="46"/>
      <c r="T14" s="46"/>
      <c r="U14" s="46"/>
      <c r="V14" s="46"/>
      <c r="W14" s="46"/>
    </row>
    <row r="15">
      <c r="A15" s="52" t="s">
        <v>3105</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3" t="s">
        <v>3107</v>
      </c>
      <c r="I15" s="141" t="s">
        <v>3108</v>
      </c>
      <c r="J15" s="46"/>
      <c r="K15" s="46"/>
      <c r="L15" s="46"/>
      <c r="M15" s="46"/>
      <c r="N15" s="46"/>
      <c r="O15" s="46"/>
      <c r="P15" s="46"/>
      <c r="Q15" s="46"/>
      <c r="R15" s="46"/>
      <c r="S15" s="46"/>
      <c r="T15" s="46"/>
      <c r="U15" s="46"/>
      <c r="V15" s="46"/>
      <c r="W15" s="46"/>
    </row>
    <row r="16">
      <c r="A16" s="52" t="s">
        <v>3109</v>
      </c>
      <c r="B16" s="203" t="str">
        <f>IFERROR(__xludf.DUMMYFUNCTION("GOOGLETRANSLATE(A16,""zh-tw"",""ja"")"),"ガチャポンの後ろから近づくとジャンプします。")</f>
        <v>ガチャポンの後ろから近づくとジャンプします。</v>
      </c>
      <c r="C16" s="52" t="s">
        <v>3110</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3111</v>
      </c>
      <c r="I16" s="141" t="s">
        <v>3112</v>
      </c>
      <c r="J16" s="46"/>
      <c r="K16" s="46"/>
      <c r="L16" s="46"/>
      <c r="M16" s="46"/>
      <c r="N16" s="46"/>
      <c r="O16" s="46"/>
      <c r="P16" s="46"/>
      <c r="Q16" s="46"/>
      <c r="R16" s="46"/>
      <c r="S16" s="46"/>
      <c r="T16" s="46"/>
      <c r="U16" s="46"/>
      <c r="V16" s="46"/>
      <c r="W16" s="46"/>
    </row>
    <row r="17">
      <c r="A17" s="52" t="s">
        <v>3113</v>
      </c>
      <c r="B17" s="203" t="s">
        <v>3114</v>
      </c>
      <c r="C17" s="52" t="s">
        <v>3115</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3116</v>
      </c>
      <c r="I17" s="141" t="s">
        <v>3117</v>
      </c>
      <c r="J17" s="46"/>
      <c r="K17" s="46"/>
      <c r="L17" s="46"/>
      <c r="M17" s="46"/>
      <c r="N17" s="46"/>
      <c r="O17" s="46"/>
      <c r="P17" s="46"/>
      <c r="Q17" s="46"/>
      <c r="R17" s="46"/>
      <c r="S17" s="46"/>
      <c r="T17" s="46"/>
      <c r="U17" s="46"/>
      <c r="V17" s="46"/>
      <c r="W17" s="46"/>
    </row>
    <row r="18">
      <c r="A18" s="52" t="s">
        <v>3118</v>
      </c>
      <c r="B18" s="203" t="s">
        <v>3119</v>
      </c>
      <c r="C18" s="52" t="s">
        <v>3120</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3121</v>
      </c>
      <c r="I18" s="141" t="s">
        <v>3122</v>
      </c>
      <c r="J18" s="46"/>
      <c r="K18" s="46"/>
      <c r="L18" s="46"/>
      <c r="M18" s="46"/>
      <c r="N18" s="46"/>
      <c r="O18" s="46"/>
      <c r="P18" s="46"/>
      <c r="Q18" s="46"/>
      <c r="R18" s="46"/>
      <c r="S18" s="46"/>
      <c r="T18" s="46"/>
      <c r="U18" s="46"/>
      <c r="V18" s="46"/>
      <c r="W18" s="46"/>
    </row>
    <row r="19">
      <c r="A19" s="52" t="s">
        <v>3123</v>
      </c>
      <c r="B19" s="203" t="s">
        <v>3124</v>
      </c>
      <c r="C19" s="52" t="s">
        <v>3125</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3126</v>
      </c>
      <c r="I19" s="141" t="s">
        <v>3127</v>
      </c>
      <c r="J19" s="46"/>
      <c r="K19" s="46"/>
      <c r="L19" s="46"/>
      <c r="M19" s="46"/>
      <c r="N19" s="46"/>
      <c r="O19" s="46"/>
      <c r="P19" s="46"/>
      <c r="Q19" s="46"/>
      <c r="R19" s="46"/>
      <c r="S19" s="46"/>
      <c r="T19" s="46"/>
      <c r="U19" s="46"/>
      <c r="V19" s="46"/>
      <c r="W19" s="46"/>
    </row>
    <row r="20">
      <c r="A20" s="52" t="s">
        <v>3128</v>
      </c>
      <c r="B20" s="203" t="s">
        <v>3129</v>
      </c>
      <c r="C20" s="52" t="s">
        <v>3130</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3131</v>
      </c>
      <c r="I20" s="141" t="s">
        <v>3132</v>
      </c>
      <c r="J20" s="46"/>
      <c r="K20" s="46"/>
      <c r="L20" s="46"/>
      <c r="M20" s="46"/>
      <c r="N20" s="46"/>
      <c r="O20" s="46"/>
      <c r="P20" s="46"/>
      <c r="Q20" s="46"/>
      <c r="R20" s="46"/>
      <c r="S20" s="46"/>
      <c r="T20" s="46"/>
      <c r="U20" s="46"/>
      <c r="V20" s="46"/>
      <c r="W20" s="46"/>
    </row>
    <row r="21">
      <c r="A21" s="52" t="s">
        <v>3133</v>
      </c>
      <c r="B21" s="203" t="s">
        <v>3134</v>
      </c>
      <c r="C21" s="52" t="s">
        <v>3135</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3136</v>
      </c>
      <c r="I21" s="141" t="s">
        <v>3137</v>
      </c>
      <c r="J21" s="46"/>
      <c r="K21" s="46"/>
      <c r="L21" s="46"/>
      <c r="M21" s="46"/>
      <c r="N21" s="46"/>
      <c r="O21" s="46"/>
      <c r="P21" s="46"/>
      <c r="Q21" s="46"/>
      <c r="R21" s="46"/>
      <c r="S21" s="46"/>
      <c r="T21" s="46"/>
      <c r="U21" s="46"/>
      <c r="V21" s="46"/>
      <c r="W21" s="46"/>
    </row>
    <row r="22">
      <c r="A22" s="52" t="s">
        <v>3138</v>
      </c>
      <c r="B22" s="203" t="s">
        <v>3139</v>
      </c>
      <c r="C22" s="52" t="s">
        <v>3140</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3141</v>
      </c>
      <c r="I22" s="141" t="s">
        <v>3142</v>
      </c>
      <c r="J22" s="46"/>
      <c r="K22" s="46"/>
      <c r="L22" s="46"/>
      <c r="M22" s="46"/>
      <c r="N22" s="46"/>
      <c r="O22" s="46"/>
      <c r="P22" s="46"/>
      <c r="Q22" s="46"/>
      <c r="R22" s="46"/>
      <c r="S22" s="46"/>
      <c r="T22" s="46"/>
      <c r="U22" s="46"/>
      <c r="V22" s="46"/>
      <c r="W22" s="46"/>
    </row>
    <row r="23">
      <c r="A23" s="52" t="s">
        <v>3143</v>
      </c>
      <c r="B23" s="203" t="str">
        <f>IFERROR(__xludf.DUMMYFUNCTION("GOOGLETRANSLATE(A23,""zh-tw"",""ja"")"),"メカが消えるとマップ名が変わります")</f>
        <v>メカが消えるとマップ名が変わります</v>
      </c>
      <c r="C23" s="52" t="s">
        <v>3144</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3145</v>
      </c>
      <c r="I23" s="141" t="s">
        <v>3146</v>
      </c>
      <c r="J23" s="46"/>
      <c r="K23" s="46"/>
      <c r="L23" s="46"/>
      <c r="M23" s="46"/>
      <c r="N23" s="46"/>
      <c r="O23" s="46"/>
      <c r="P23" s="46"/>
      <c r="Q23" s="46"/>
      <c r="R23" s="46"/>
      <c r="S23" s="46"/>
      <c r="T23" s="46"/>
      <c r="U23" s="46"/>
      <c r="V23" s="46"/>
      <c r="W23" s="46"/>
    </row>
    <row r="24">
      <c r="A24" s="52" t="s">
        <v>3147</v>
      </c>
      <c r="B24" s="203" t="s">
        <v>3148</v>
      </c>
      <c r="C24" s="52" t="s">
        <v>3149</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3150</v>
      </c>
      <c r="I24" s="141" t="s">
        <v>3151</v>
      </c>
      <c r="J24" s="46"/>
      <c r="K24" s="46"/>
      <c r="L24" s="46"/>
      <c r="M24" s="46"/>
      <c r="N24" s="46"/>
      <c r="O24" s="46"/>
      <c r="P24" s="46"/>
      <c r="Q24" s="46"/>
      <c r="R24" s="46"/>
      <c r="S24" s="46"/>
      <c r="T24" s="46"/>
      <c r="U24" s="46"/>
      <c r="V24" s="46"/>
      <c r="W24" s="46"/>
    </row>
    <row r="25">
      <c r="A25" s="52" t="s">
        <v>3152</v>
      </c>
      <c r="B25" s="203" t="s">
        <v>3153</v>
      </c>
      <c r="C25" s="52" t="s">
        <v>3154</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3155</v>
      </c>
      <c r="I25" s="141" t="s">
        <v>3156</v>
      </c>
      <c r="J25" s="46"/>
      <c r="K25" s="46"/>
      <c r="L25" s="46"/>
      <c r="M25" s="46"/>
      <c r="N25" s="46"/>
      <c r="O25" s="46"/>
      <c r="P25" s="46"/>
      <c r="Q25" s="46"/>
      <c r="R25" s="46"/>
      <c r="S25" s="46"/>
      <c r="T25" s="46"/>
      <c r="U25" s="46"/>
      <c r="V25" s="46"/>
      <c r="W25" s="46"/>
    </row>
    <row r="26">
      <c r="A26" s="52" t="s">
        <v>3157</v>
      </c>
      <c r="B26" s="203" t="s">
        <v>3158</v>
      </c>
      <c r="C26" s="52" t="s">
        <v>3159</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3160</v>
      </c>
      <c r="I26" s="141" t="s">
        <v>3161</v>
      </c>
      <c r="J26" s="46"/>
      <c r="K26" s="46"/>
      <c r="L26" s="46"/>
      <c r="M26" s="46"/>
      <c r="N26" s="46"/>
      <c r="O26" s="46"/>
      <c r="P26" s="46"/>
      <c r="Q26" s="46"/>
      <c r="R26" s="46"/>
      <c r="S26" s="46"/>
      <c r="T26" s="46"/>
      <c r="U26" s="46"/>
      <c r="V26" s="46"/>
      <c r="W26" s="46"/>
    </row>
    <row r="27">
      <c r="A27" s="52" t="s">
        <v>3162</v>
      </c>
      <c r="B27" s="203" t="s">
        <v>3163</v>
      </c>
      <c r="C27" s="52" t="s">
        <v>3164</v>
      </c>
      <c r="D27" s="203"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4"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3" t="s">
        <v>3165</v>
      </c>
      <c r="I27" s="141" t="s">
        <v>3166</v>
      </c>
      <c r="J27" s="46"/>
      <c r="K27" s="46"/>
      <c r="L27" s="46"/>
      <c r="M27" s="46"/>
      <c r="N27" s="46"/>
      <c r="O27" s="46"/>
      <c r="P27" s="46"/>
      <c r="Q27" s="46"/>
      <c r="R27" s="46"/>
      <c r="S27" s="46"/>
      <c r="T27" s="46"/>
      <c r="U27" s="46"/>
      <c r="V27" s="46"/>
      <c r="W27" s="46"/>
    </row>
    <row r="28">
      <c r="A28" s="52" t="s">
        <v>3167</v>
      </c>
      <c r="B28" s="203" t="str">
        <f>IFERROR(__xludf.DUMMYFUNCTION("GOOGLETRANSLATE(A28,""zh-tw"",""ja"")"),"ナイトはとても良いらしいですね、今後に期待できそうです")</f>
        <v>ナイトはとても良いらしいですね、今後に期待できそうです</v>
      </c>
      <c r="C28" s="52" t="s">
        <v>3168</v>
      </c>
      <c r="D28" s="203" t="s">
        <v>3169</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3170</v>
      </c>
      <c r="I28" s="141" t="s">
        <v>3171</v>
      </c>
      <c r="J28" s="46"/>
      <c r="K28" s="46"/>
      <c r="L28" s="46"/>
      <c r="M28" s="46"/>
      <c r="N28" s="46"/>
      <c r="O28" s="46"/>
      <c r="P28" s="46"/>
      <c r="Q28" s="46"/>
      <c r="R28" s="46"/>
      <c r="S28" s="46"/>
      <c r="T28" s="46"/>
      <c r="U28" s="46"/>
      <c r="V28" s="46"/>
      <c r="W28" s="46"/>
    </row>
    <row r="29">
      <c r="A29" s="206" t="s">
        <v>3172</v>
      </c>
      <c r="B29" s="203" t="s">
        <v>3173</v>
      </c>
      <c r="C29" s="52" t="s">
        <v>3174</v>
      </c>
      <c r="D29" s="203" t="s">
        <v>3175</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3176</v>
      </c>
      <c r="I29" s="141" t="s">
        <v>3177</v>
      </c>
      <c r="J29" s="46"/>
      <c r="K29" s="46"/>
      <c r="L29" s="46"/>
      <c r="M29" s="46"/>
      <c r="N29" s="46"/>
      <c r="O29" s="46"/>
      <c r="P29" s="46"/>
      <c r="Q29" s="46"/>
      <c r="R29" s="46"/>
      <c r="S29" s="46"/>
      <c r="T29" s="46"/>
      <c r="U29" s="46"/>
      <c r="V29" s="46"/>
      <c r="W29" s="46"/>
    </row>
    <row r="30">
      <c r="A30" s="52" t="s">
        <v>3178</v>
      </c>
      <c r="B30" s="203" t="s">
        <v>3179</v>
      </c>
      <c r="C30" s="52" t="s">
        <v>3180</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03" t="s">
        <v>3181</v>
      </c>
      <c r="I30" s="141" t="s">
        <v>3182</v>
      </c>
      <c r="J30" s="46"/>
      <c r="K30" s="46"/>
      <c r="L30" s="46"/>
      <c r="M30" s="46"/>
      <c r="N30" s="46"/>
      <c r="O30" s="46"/>
      <c r="P30" s="46"/>
      <c r="Q30" s="46"/>
      <c r="R30" s="46"/>
      <c r="S30" s="46"/>
      <c r="T30" s="46"/>
      <c r="U30" s="46"/>
      <c r="V30" s="46"/>
      <c r="W30" s="46"/>
    </row>
    <row r="31">
      <c r="A31" s="52" t="s">
        <v>3183</v>
      </c>
      <c r="B31" s="203" t="s">
        <v>3184</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3185</v>
      </c>
      <c r="I31" s="141" t="s">
        <v>3186</v>
      </c>
      <c r="J31" s="46"/>
      <c r="K31" s="46"/>
      <c r="L31" s="46"/>
      <c r="M31" s="46"/>
      <c r="N31" s="46"/>
      <c r="O31" s="46"/>
      <c r="P31" s="46"/>
      <c r="Q31" s="46"/>
      <c r="R31" s="46"/>
      <c r="S31" s="46"/>
      <c r="T31" s="46"/>
      <c r="U31" s="46"/>
      <c r="V31" s="46"/>
      <c r="W31" s="46"/>
    </row>
    <row r="32">
      <c r="A32" s="52" t="s">
        <v>3187</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3189</v>
      </c>
      <c r="I32" s="141" t="s">
        <v>3190</v>
      </c>
      <c r="J32" s="46"/>
      <c r="K32" s="46"/>
      <c r="L32" s="46"/>
      <c r="M32" s="46"/>
      <c r="N32" s="46"/>
      <c r="O32" s="46"/>
      <c r="P32" s="46"/>
      <c r="Q32" s="46"/>
      <c r="R32" s="46"/>
      <c r="S32" s="46"/>
      <c r="T32" s="46"/>
      <c r="U32" s="46"/>
      <c r="V32" s="46"/>
      <c r="W32" s="46"/>
    </row>
    <row r="33">
      <c r="A33" s="52" t="s">
        <v>3191</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3193</v>
      </c>
      <c r="I33" s="141" t="s">
        <v>3194</v>
      </c>
      <c r="J33" s="46"/>
      <c r="K33" s="46"/>
      <c r="L33" s="46"/>
      <c r="M33" s="46"/>
      <c r="N33" s="46"/>
      <c r="O33" s="46"/>
      <c r="P33" s="46"/>
      <c r="Q33" s="46"/>
      <c r="R33" s="46"/>
      <c r="S33" s="46"/>
      <c r="T33" s="46"/>
      <c r="U33" s="46"/>
      <c r="V33" s="46"/>
      <c r="W33" s="46"/>
    </row>
    <row r="34">
      <c r="A34" s="52" t="s">
        <v>3195</v>
      </c>
      <c r="B34" s="203" t="s">
        <v>3196</v>
      </c>
      <c r="C34" s="52" t="s">
        <v>3197</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3198</v>
      </c>
      <c r="I34" s="141" t="s">
        <v>3199</v>
      </c>
      <c r="J34" s="46"/>
      <c r="K34" s="46"/>
      <c r="L34" s="46"/>
      <c r="M34" s="46"/>
      <c r="N34" s="46"/>
      <c r="O34" s="46"/>
      <c r="P34" s="46"/>
      <c r="Q34" s="46"/>
      <c r="R34" s="46"/>
      <c r="S34" s="46"/>
      <c r="T34" s="46"/>
      <c r="U34" s="46"/>
      <c r="V34" s="46"/>
      <c r="W34" s="46"/>
    </row>
    <row r="35">
      <c r="A35" s="52" t="s">
        <v>3200</v>
      </c>
      <c r="B35" s="203" t="s">
        <v>3201</v>
      </c>
      <c r="C35" s="52" t="s">
        <v>3202</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3203</v>
      </c>
      <c r="I35" s="141" t="s">
        <v>3204</v>
      </c>
      <c r="J35" s="46"/>
      <c r="K35" s="46"/>
      <c r="L35" s="46"/>
      <c r="M35" s="46"/>
      <c r="N35" s="46"/>
      <c r="O35" s="46"/>
      <c r="P35" s="46"/>
      <c r="Q35" s="46"/>
      <c r="R35" s="46"/>
      <c r="S35" s="46"/>
      <c r="T35" s="46"/>
      <c r="U35" s="46"/>
      <c r="V35" s="46"/>
      <c r="W35" s="46"/>
    </row>
    <row r="36">
      <c r="A36" s="52" t="s">
        <v>3205</v>
      </c>
      <c r="B36" s="203" t="str">
        <f>IFERROR(__xludf.DUMMYFUNCTION("GOOGLETRANSLATE(A36,""zh-tw"",""ja"")"),"生き物が可愛いほど、攻撃力が高くなります。")</f>
        <v>生き物が可愛いほど、攻撃力が高くなります。</v>
      </c>
      <c r="C36" s="52" t="s">
        <v>3206</v>
      </c>
      <c r="D36" s="203" t="s">
        <v>3207</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3208</v>
      </c>
      <c r="I36" s="141" t="s">
        <v>3209</v>
      </c>
      <c r="J36" s="46"/>
      <c r="K36" s="46"/>
      <c r="L36" s="46"/>
      <c r="M36" s="46"/>
      <c r="N36" s="46"/>
      <c r="O36" s="46"/>
      <c r="P36" s="46"/>
      <c r="Q36" s="46"/>
      <c r="R36" s="46"/>
      <c r="S36" s="46"/>
      <c r="T36" s="46"/>
      <c r="U36" s="46"/>
      <c r="V36" s="46"/>
      <c r="W36" s="46"/>
    </row>
    <row r="37">
      <c r="A37" s="52" t="s">
        <v>3210</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3212</v>
      </c>
      <c r="I37" s="141" t="s">
        <v>3213</v>
      </c>
      <c r="J37" s="46"/>
      <c r="K37" s="46"/>
      <c r="L37" s="46"/>
      <c r="M37" s="46"/>
      <c r="N37" s="46"/>
      <c r="O37" s="46"/>
      <c r="P37" s="46"/>
      <c r="Q37" s="46"/>
      <c r="R37" s="46"/>
      <c r="S37" s="46"/>
      <c r="T37" s="46"/>
      <c r="U37" s="46"/>
      <c r="V37" s="46"/>
      <c r="W37" s="46"/>
    </row>
    <row r="38">
      <c r="A38" s="52" t="s">
        <v>3214</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3216</v>
      </c>
      <c r="I38" s="141" t="s">
        <v>3217</v>
      </c>
      <c r="J38" s="46"/>
      <c r="K38" s="46"/>
      <c r="L38" s="46"/>
      <c r="M38" s="46"/>
      <c r="N38" s="46"/>
      <c r="O38" s="46"/>
      <c r="P38" s="46"/>
      <c r="Q38" s="46"/>
      <c r="R38" s="46"/>
      <c r="S38" s="46"/>
      <c r="T38" s="46"/>
      <c r="U38" s="46"/>
      <c r="V38" s="46"/>
      <c r="W38" s="46"/>
    </row>
    <row r="39">
      <c r="A39" s="52" t="s">
        <v>3218</v>
      </c>
      <c r="B39" s="203" t="s">
        <v>3219</v>
      </c>
      <c r="C39" s="52" t="s">
        <v>3220</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3221</v>
      </c>
      <c r="I39" s="141" t="s">
        <v>3222</v>
      </c>
      <c r="J39" s="46"/>
      <c r="K39" s="46"/>
      <c r="L39" s="46"/>
      <c r="M39" s="46"/>
      <c r="N39" s="46"/>
      <c r="O39" s="46"/>
      <c r="P39" s="46"/>
      <c r="Q39" s="46"/>
      <c r="R39" s="46"/>
      <c r="S39" s="46"/>
      <c r="T39" s="46"/>
      <c r="U39" s="46"/>
      <c r="V39" s="46"/>
      <c r="W39" s="46"/>
    </row>
    <row r="40">
      <c r="A40" s="52" t="s">
        <v>3223</v>
      </c>
      <c r="B40" s="203" t="s">
        <v>3224</v>
      </c>
      <c r="C40" s="52" t="s">
        <v>3225</v>
      </c>
      <c r="D40" s="203"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3227</v>
      </c>
      <c r="I40" s="141" t="s">
        <v>3228</v>
      </c>
      <c r="J40" s="46"/>
      <c r="K40" s="46"/>
      <c r="L40" s="46"/>
      <c r="M40" s="46"/>
      <c r="N40" s="46"/>
      <c r="O40" s="46"/>
      <c r="P40" s="46"/>
      <c r="Q40" s="46"/>
      <c r="R40" s="46"/>
      <c r="S40" s="46"/>
      <c r="T40" s="46"/>
      <c r="U40" s="46"/>
      <c r="V40" s="46"/>
      <c r="W40" s="46"/>
    </row>
    <row r="41">
      <c r="A41" s="52" t="s">
        <v>3229</v>
      </c>
      <c r="B41" s="203" t="s">
        <v>3230</v>
      </c>
      <c r="C41" s="52" t="s">
        <v>3231</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3232</v>
      </c>
      <c r="J41" s="46"/>
      <c r="K41" s="46"/>
      <c r="L41" s="46"/>
      <c r="M41" s="46"/>
      <c r="N41" s="46"/>
      <c r="O41" s="46"/>
      <c r="P41" s="46"/>
      <c r="Q41" s="46"/>
      <c r="R41" s="46"/>
      <c r="S41" s="46"/>
      <c r="T41" s="46"/>
      <c r="U41" s="46"/>
      <c r="V41" s="46"/>
      <c r="W41" s="46"/>
    </row>
    <row r="42">
      <c r="A42" s="52" t="s">
        <v>3233</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3235</v>
      </c>
      <c r="J42" s="46"/>
      <c r="K42" s="46"/>
      <c r="L42" s="46"/>
      <c r="M42" s="46"/>
      <c r="N42" s="46"/>
      <c r="O42" s="46"/>
      <c r="P42" s="46"/>
      <c r="Q42" s="46"/>
      <c r="R42" s="46"/>
      <c r="S42" s="46"/>
      <c r="T42" s="46"/>
      <c r="U42" s="46"/>
      <c r="V42" s="46"/>
      <c r="W42" s="46"/>
    </row>
    <row r="43">
      <c r="A43" s="52" t="s">
        <v>3236</v>
      </c>
      <c r="B43" s="203" t="s">
        <v>3237</v>
      </c>
      <c r="C43" s="52" t="s">
        <v>3238</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3239</v>
      </c>
      <c r="J43" s="46"/>
      <c r="K43" s="46"/>
      <c r="L43" s="46"/>
      <c r="M43" s="46"/>
      <c r="N43" s="46"/>
      <c r="O43" s="46"/>
      <c r="P43" s="46"/>
      <c r="Q43" s="46"/>
      <c r="R43" s="46"/>
      <c r="S43" s="46"/>
      <c r="T43" s="46"/>
      <c r="U43" s="46"/>
      <c r="V43" s="46"/>
      <c r="W43" s="46"/>
    </row>
    <row r="44">
      <c r="A44" s="52" t="s">
        <v>3240</v>
      </c>
      <c r="B44" s="203" t="s">
        <v>3241</v>
      </c>
      <c r="C44" s="52" t="s">
        <v>3242</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3243</v>
      </c>
      <c r="J44" s="46"/>
      <c r="K44" s="46"/>
      <c r="L44" s="46"/>
      <c r="M44" s="46"/>
      <c r="N44" s="46"/>
      <c r="O44" s="46"/>
      <c r="P44" s="46"/>
      <c r="Q44" s="46"/>
      <c r="R44" s="46"/>
      <c r="S44" s="46"/>
      <c r="T44" s="46"/>
      <c r="U44" s="46"/>
      <c r="V44" s="46"/>
      <c r="W44" s="46"/>
    </row>
    <row r="45">
      <c r="A45" s="52" t="s">
        <v>3244</v>
      </c>
      <c r="B45" s="203" t="s">
        <v>3245</v>
      </c>
      <c r="C45" s="52" t="s">
        <v>3246</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3247</v>
      </c>
      <c r="J45" s="46"/>
      <c r="K45" s="46"/>
      <c r="L45" s="46"/>
      <c r="M45" s="46"/>
      <c r="N45" s="46"/>
      <c r="O45" s="46"/>
      <c r="P45" s="46"/>
      <c r="Q45" s="46"/>
      <c r="R45" s="46"/>
      <c r="S45" s="46"/>
      <c r="T45" s="46"/>
      <c r="U45" s="46"/>
      <c r="V45" s="46"/>
      <c r="W45" s="46"/>
    </row>
    <row r="46">
      <c r="A46" s="52" t="s">
        <v>3248</v>
      </c>
      <c r="B46" s="203" t="s">
        <v>3249</v>
      </c>
      <c r="C46" s="52" t="s">
        <v>3250</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3251</v>
      </c>
      <c r="J46" s="46"/>
      <c r="K46" s="46"/>
      <c r="L46" s="46"/>
      <c r="M46" s="46"/>
      <c r="N46" s="46"/>
      <c r="O46" s="46"/>
      <c r="P46" s="46"/>
      <c r="Q46" s="46"/>
      <c r="R46" s="46"/>
      <c r="S46" s="46"/>
      <c r="T46" s="46"/>
      <c r="U46" s="46"/>
      <c r="V46" s="46"/>
      <c r="W46" s="46"/>
    </row>
    <row r="47">
      <c r="A47" s="52" t="s">
        <v>3252</v>
      </c>
      <c r="B47" s="203" t="s">
        <v>3253</v>
      </c>
      <c r="C47" s="52" t="s">
        <v>3254</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3255</v>
      </c>
      <c r="J47" s="46"/>
      <c r="K47" s="46"/>
      <c r="L47" s="46"/>
      <c r="M47" s="46"/>
      <c r="N47" s="46"/>
      <c r="O47" s="46"/>
      <c r="P47" s="46"/>
      <c r="Q47" s="46"/>
      <c r="R47" s="46"/>
      <c r="S47" s="46"/>
      <c r="T47" s="46"/>
      <c r="U47" s="46"/>
      <c r="V47" s="46"/>
      <c r="W47" s="46"/>
    </row>
    <row r="48">
      <c r="A48" s="52" t="s">
        <v>3256</v>
      </c>
      <c r="B48" s="203" t="s">
        <v>3257</v>
      </c>
      <c r="C48" s="52" t="s">
        <v>3258</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3259</v>
      </c>
      <c r="J48" s="46"/>
      <c r="K48" s="46"/>
      <c r="L48" s="46"/>
      <c r="M48" s="46"/>
      <c r="N48" s="46"/>
      <c r="O48" s="46"/>
      <c r="P48" s="46"/>
      <c r="Q48" s="46"/>
      <c r="R48" s="46"/>
      <c r="S48" s="46"/>
      <c r="T48" s="46"/>
      <c r="U48" s="46"/>
      <c r="V48" s="46"/>
      <c r="W48" s="46"/>
    </row>
    <row r="49">
      <c r="A49" s="52" t="s">
        <v>3260</v>
      </c>
      <c r="B49" s="203" t="s">
        <v>3261</v>
      </c>
      <c r="C49" s="52" t="s">
        <v>3262</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el Gachapón y la obtención de objetos (implementado).
Los eventos aleatorios relacionados con tu hermana también se ven afectados por la suerte (aún no implementado).")</f>
        <v>La suerte puede influir en el Gachapón y la obtención de objetos (implementado).
Los eventos aleatorios relacionados con tu hermana también se ven afectados por la suerte (aún no implementado).</v>
      </c>
      <c r="F49" s="204" t="str">
        <f>IFERROR(__xludf.DUMMYFUNCTION("GOOGLETRANSLATE(A49,""zh-tw"",""KO"")"),"행운은 가챠폰과 아이템 드랍에 영향을 줄 수 있습니다(구현됨).
자매와 관련된 확률 이벤트도 행운의 영향을 받습니다(아직 구현되지 않음).")</f>
        <v>행운은 가챠폰과 아이템 드랍에 영향을 줄 수 있습니다(구현됨).
자매와 관련된 확률 이벤트도 행운의 영향을 받습니다(아직 구현되지 않음).</v>
      </c>
      <c r="G49" s="55" t="str">
        <f>IFERROR(__xludf.DUMMYFUNCTION("GOOGLETRANSLATE(A49,""zh-tw"",""ru"")"),"Удача может влиять на Гачапон и выпадение предметов (реализовано).
Случайные события, связанные с вашей сестрой, также зависят от Удачи (пока не реализовано).")</f>
        <v>Удача может влиять на Гачапон и выпадение предметов (реализовано).
Случайные события, связанные с вашей сестрой, также зависят от Удачи (пока не реализовано).</v>
      </c>
      <c r="H49" s="204" t="str">
        <f>IFERROR(__xludf.DUMMYFUNCTION("GOOGLETRANSLATE(A49,""zh-tw"",""de"")"),"Glück kann Gachapon und Item-Drops beeinflussen (implementiert).
Zufällige Ereignisse im Zusammenhang mit deiner Schwester werden ebenfalls durch Glück beeinflusst (noch nicht implementiert).")</f>
        <v>Glück kann Gachapon und Item-Drops beeinflussen (implementiert).
Zufällige Ereignisse im Zusammenhang mit deiner Schwester werden ebenfalls durch Glück beeinflusst (noch nicht implementiert).</v>
      </c>
      <c r="I49" s="141" t="s">
        <v>3263</v>
      </c>
      <c r="J49" s="46"/>
      <c r="K49" s="46"/>
      <c r="L49" s="46"/>
      <c r="M49" s="46"/>
      <c r="N49" s="46"/>
      <c r="O49" s="46"/>
      <c r="P49" s="46"/>
      <c r="Q49" s="46"/>
      <c r="R49" s="46"/>
      <c r="S49" s="46"/>
      <c r="T49" s="46"/>
      <c r="U49" s="46"/>
      <c r="V49" s="46"/>
      <c r="W49" s="46"/>
    </row>
    <row r="50">
      <c r="A50" s="52" t="s">
        <v>3264</v>
      </c>
      <c r="B50" s="203" t="s">
        <v>3265</v>
      </c>
      <c r="C50" s="52" t="s">
        <v>3266</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3267</v>
      </c>
      <c r="J50" s="46"/>
      <c r="K50" s="46"/>
      <c r="L50" s="46"/>
      <c r="M50" s="46"/>
      <c r="N50" s="46"/>
      <c r="O50" s="46"/>
      <c r="P50" s="46"/>
      <c r="Q50" s="46"/>
      <c r="R50" s="46"/>
      <c r="S50" s="46"/>
      <c r="T50" s="46"/>
      <c r="U50" s="46"/>
      <c r="V50" s="46"/>
      <c r="W50" s="46"/>
    </row>
    <row r="51">
      <c r="A51" s="52" t="s">
        <v>3268</v>
      </c>
      <c r="B51" s="203" t="s">
        <v>3269</v>
      </c>
      <c r="C51" s="55" t="s">
        <v>3270</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3271</v>
      </c>
      <c r="J51" s="46"/>
      <c r="K51" s="46"/>
      <c r="L51" s="46"/>
      <c r="M51" s="46"/>
      <c r="N51" s="46"/>
      <c r="O51" s="46"/>
      <c r="P51" s="46"/>
      <c r="Q51" s="46"/>
      <c r="R51" s="46"/>
      <c r="S51" s="46"/>
      <c r="T51" s="46"/>
      <c r="U51" s="46"/>
      <c r="V51" s="46"/>
      <c r="W51" s="46"/>
    </row>
    <row r="52">
      <c r="A52" s="52" t="s">
        <v>3272</v>
      </c>
      <c r="B52" s="203" t="s">
        <v>3273</v>
      </c>
      <c r="C52" s="52" t="s">
        <v>3274</v>
      </c>
      <c r="D52" s="203"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3276</v>
      </c>
      <c r="J52" s="46"/>
      <c r="K52" s="46"/>
      <c r="L52" s="46"/>
      <c r="M52" s="46"/>
      <c r="N52" s="46"/>
      <c r="O52" s="46"/>
      <c r="P52" s="46"/>
      <c r="Q52" s="46"/>
      <c r="R52" s="46"/>
      <c r="S52" s="46"/>
      <c r="T52" s="46"/>
      <c r="U52" s="46"/>
      <c r="V52" s="46"/>
      <c r="W52" s="46"/>
    </row>
    <row r="53">
      <c r="A53" s="52" t="s">
        <v>3277</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3279</v>
      </c>
      <c r="J53" s="46"/>
      <c r="K53" s="46"/>
      <c r="L53" s="46"/>
      <c r="M53" s="46"/>
      <c r="N53" s="46"/>
      <c r="O53" s="46"/>
      <c r="P53" s="46"/>
      <c r="Q53" s="46"/>
      <c r="R53" s="46"/>
      <c r="S53" s="46"/>
      <c r="T53" s="46"/>
      <c r="U53" s="46"/>
      <c r="V53" s="46"/>
      <c r="W53" s="46"/>
    </row>
    <row r="54">
      <c r="A54" s="52" t="s">
        <v>3280</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내의 적이나 떨어진 아이템은 무작위로 교체됩니다(아직 구현되지 않음).")</f>
        <v>퍼스 룬을 던지면 범위 내 영향력이 발생하고, 범위 내의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3282</v>
      </c>
      <c r="J54" s="46"/>
      <c r="K54" s="46"/>
      <c r="L54" s="46"/>
      <c r="M54" s="46"/>
      <c r="N54" s="46"/>
      <c r="O54" s="46"/>
      <c r="P54" s="46"/>
      <c r="Q54" s="46"/>
      <c r="R54" s="46"/>
      <c r="S54" s="46"/>
      <c r="T54" s="46"/>
      <c r="U54" s="46"/>
      <c r="V54" s="46"/>
      <c r="W54" s="46"/>
    </row>
    <row r="55">
      <c r="A55" s="52" t="s">
        <v>3283</v>
      </c>
      <c r="B55" s="203" t="s">
        <v>3284</v>
      </c>
      <c r="C55" s="52" t="s">
        <v>3285</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3286</v>
      </c>
      <c r="J55" s="46"/>
      <c r="K55" s="46"/>
      <c r="L55" s="46"/>
      <c r="M55" s="46"/>
      <c r="N55" s="46"/>
      <c r="O55" s="46"/>
      <c r="P55" s="46"/>
      <c r="Q55" s="46"/>
      <c r="R55" s="46"/>
      <c r="S55" s="46"/>
      <c r="T55" s="46"/>
      <c r="U55" s="46"/>
      <c r="V55" s="46"/>
      <c r="W55" s="46"/>
    </row>
    <row r="56">
      <c r="A56" s="52" t="s">
        <v>3287</v>
      </c>
      <c r="B56" s="203" t="str">
        <f>IFERROR(__xludf.DUMMYFUNCTION("GOOGLETRANSLATE(A56,""zh-tw"",""ja"")"),"ガチャポンが騎士の足元に落ちたら、拾ってくれるよ")</f>
        <v>ガチャポンが騎士の足元に落ちたら、拾ってくれるよ</v>
      </c>
      <c r="C56" s="52" t="s">
        <v>3288</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3289</v>
      </c>
      <c r="J56" s="46"/>
      <c r="K56" s="46"/>
      <c r="L56" s="46"/>
      <c r="M56" s="46"/>
      <c r="N56" s="46"/>
      <c r="O56" s="46"/>
      <c r="P56" s="46"/>
      <c r="Q56" s="46"/>
      <c r="R56" s="46"/>
      <c r="S56" s="46"/>
      <c r="T56" s="46"/>
      <c r="U56" s="46"/>
      <c r="V56" s="46"/>
      <c r="W56" s="46"/>
    </row>
    <row r="57">
      <c r="A57" s="52" t="s">
        <v>3290</v>
      </c>
      <c r="B57" s="203" t="s">
        <v>3291</v>
      </c>
      <c r="C57" s="52" t="s">
        <v>3292</v>
      </c>
      <c r="D57" s="203"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3294</v>
      </c>
      <c r="J57" s="46"/>
      <c r="K57" s="46"/>
      <c r="L57" s="46"/>
      <c r="M57" s="46"/>
      <c r="N57" s="46"/>
      <c r="O57" s="46"/>
      <c r="P57" s="46"/>
      <c r="Q57" s="46"/>
      <c r="R57" s="46"/>
      <c r="S57" s="46"/>
      <c r="T57" s="46"/>
      <c r="U57" s="46"/>
      <c r="V57" s="46"/>
      <c r="W57" s="46"/>
    </row>
    <row r="58">
      <c r="A58" s="52" t="s">
        <v>3295</v>
      </c>
      <c r="B58" s="203" t="s">
        <v>3296</v>
      </c>
      <c r="C58" s="52" t="s">
        <v>3297</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4"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1" t="s">
        <v>3298</v>
      </c>
      <c r="J58" s="46"/>
      <c r="K58" s="46"/>
      <c r="L58" s="46"/>
      <c r="M58" s="46"/>
      <c r="N58" s="46"/>
      <c r="O58" s="46"/>
      <c r="P58" s="46"/>
      <c r="Q58" s="46"/>
      <c r="R58" s="46"/>
      <c r="S58" s="46"/>
      <c r="T58" s="46"/>
      <c r="U58" s="46"/>
      <c r="V58" s="46"/>
      <c r="W58" s="46"/>
    </row>
    <row r="59">
      <c r="A59" s="52" t="s">
        <v>3299</v>
      </c>
      <c r="B59" s="203" t="s">
        <v>3300</v>
      </c>
      <c r="C59" s="52" t="s">
        <v>3301</v>
      </c>
      <c r="D59" s="203" t="s">
        <v>3302</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3303</v>
      </c>
      <c r="J59" s="46"/>
      <c r="K59" s="46"/>
      <c r="L59" s="46"/>
      <c r="M59" s="46"/>
      <c r="N59" s="46"/>
      <c r="O59" s="46"/>
      <c r="P59" s="46"/>
      <c r="Q59" s="46"/>
      <c r="R59" s="46"/>
      <c r="S59" s="46"/>
      <c r="T59" s="46"/>
      <c r="U59" s="46"/>
      <c r="V59" s="46"/>
      <c r="W59" s="46"/>
    </row>
    <row r="60">
      <c r="A60" s="52" t="s">
        <v>3304</v>
      </c>
      <c r="B60" s="203" t="s">
        <v>3305</v>
      </c>
      <c r="C60" s="52" t="s">
        <v>3306</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1" t="s">
        <v>3307</v>
      </c>
      <c r="J60" s="46"/>
      <c r="K60" s="46"/>
      <c r="L60" s="46"/>
      <c r="M60" s="46"/>
      <c r="N60" s="46"/>
      <c r="O60" s="46"/>
      <c r="P60" s="46"/>
      <c r="Q60" s="46"/>
      <c r="R60" s="46"/>
      <c r="S60" s="46"/>
      <c r="T60" s="46"/>
      <c r="U60" s="46"/>
      <c r="V60" s="46"/>
      <c r="W60" s="46"/>
    </row>
    <row r="61">
      <c r="A61" s="52" t="s">
        <v>3308</v>
      </c>
      <c r="B61" s="203" t="s">
        <v>3309</v>
      </c>
      <c r="C61" s="52" t="s">
        <v>3310</v>
      </c>
      <c r="D61" s="203"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바친다 해도 말이죠.")</f>
        <v>움직이는 쇼핑 카트나 고양이 소녀 아사바의 공격은 몬스터에게 피해를 입힐 수 있습니다.
심연의 보스조차도 고양이 소녀 아사바를 막을 수 없습니다. 목숨을 바친다 해도 말이죠.</v>
      </c>
      <c r="G61" s="55" t="str">
        <f>IFERROR(__xludf.DUMMYFUNCTION("GOOGLETRANSLATE(A61,""zh-tw"",""ru"")"),"Урон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f>
        <v>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3312</v>
      </c>
      <c r="J61" s="46"/>
      <c r="K61" s="46"/>
      <c r="L61" s="46"/>
      <c r="M61" s="46"/>
      <c r="N61" s="46"/>
      <c r="O61" s="46"/>
      <c r="P61" s="46"/>
      <c r="Q61" s="46"/>
      <c r="R61" s="46"/>
      <c r="S61" s="46"/>
      <c r="T61" s="46"/>
      <c r="U61" s="46"/>
      <c r="V61" s="46"/>
      <c r="W61" s="46"/>
    </row>
    <row r="62">
      <c r="A62" s="52" t="s">
        <v>3313</v>
      </c>
      <c r="B62" s="203" t="s">
        <v>3314</v>
      </c>
      <c r="C62" s="52" t="s">
        <v>3315</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1" t="s">
        <v>3316</v>
      </c>
      <c r="J62" s="46"/>
      <c r="K62" s="46"/>
      <c r="L62" s="46"/>
      <c r="M62" s="46"/>
      <c r="N62" s="46"/>
      <c r="O62" s="46"/>
      <c r="P62" s="46"/>
      <c r="Q62" s="46"/>
      <c r="R62" s="46"/>
      <c r="S62" s="46"/>
      <c r="T62" s="46"/>
      <c r="U62" s="46"/>
      <c r="V62" s="46"/>
      <c r="W62" s="46"/>
    </row>
    <row r="63">
      <c r="A63" s="52" t="s">
        <v>3317</v>
      </c>
      <c r="B63" s="203" t="s">
        <v>3318</v>
      </c>
      <c r="C63" s="52" t="s">
        <v>3319</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unterschiedliche Nagellackfarben.")</f>
        <v>Meine Schwester trägt bei unterschiedlichem Wetter unterschiedliche Nagellackfarben.</v>
      </c>
      <c r="I63" s="141" t="s">
        <v>3320</v>
      </c>
      <c r="J63" s="46"/>
      <c r="K63" s="46"/>
      <c r="L63" s="46"/>
      <c r="M63" s="46"/>
      <c r="N63" s="46"/>
      <c r="O63" s="46"/>
      <c r="P63" s="46"/>
      <c r="Q63" s="46"/>
      <c r="R63" s="46"/>
      <c r="S63" s="46"/>
      <c r="T63" s="46"/>
      <c r="U63" s="46"/>
      <c r="V63" s="46"/>
      <c r="W63" s="46"/>
    </row>
    <row r="64">
      <c r="A64" s="52" t="s">
        <v>3321</v>
      </c>
      <c r="B64" s="203" t="s">
        <v>3322</v>
      </c>
      <c r="C64" s="52" t="s">
        <v>3323</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3324</v>
      </c>
      <c r="J64" s="46"/>
      <c r="K64" s="46"/>
      <c r="L64" s="46"/>
      <c r="M64" s="46"/>
      <c r="N64" s="46"/>
      <c r="O64" s="46"/>
      <c r="P64" s="46"/>
      <c r="Q64" s="46"/>
      <c r="R64" s="46"/>
      <c r="S64" s="46"/>
      <c r="T64" s="46"/>
      <c r="U64" s="46"/>
      <c r="V64" s="46"/>
      <c r="W64" s="46"/>
    </row>
    <row r="65">
      <c r="A65" s="52" t="s">
        <v>3325</v>
      </c>
      <c r="B65" s="203" t="s">
        <v>3326</v>
      </c>
      <c r="C65" s="52" t="s">
        <v>3327</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3328</v>
      </c>
      <c r="J65" s="46"/>
      <c r="K65" s="46"/>
      <c r="L65" s="46"/>
      <c r="M65" s="46"/>
      <c r="N65" s="46"/>
      <c r="O65" s="46"/>
      <c r="P65" s="46"/>
      <c r="Q65" s="46"/>
      <c r="R65" s="46"/>
      <c r="S65" s="46"/>
      <c r="T65" s="46"/>
      <c r="U65" s="46"/>
      <c r="V65" s="46"/>
      <c r="W65" s="46"/>
    </row>
    <row r="66">
      <c r="A66" s="52" t="s">
        <v>3329</v>
      </c>
      <c r="B66" s="203" t="s">
        <v>3330</v>
      </c>
      <c r="C66" s="52" t="s">
        <v>3331</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3332</v>
      </c>
      <c r="J66" s="46"/>
      <c r="K66" s="46"/>
      <c r="L66" s="46"/>
      <c r="M66" s="46"/>
      <c r="N66" s="46"/>
      <c r="O66" s="46"/>
      <c r="P66" s="46"/>
      <c r="Q66" s="46"/>
      <c r="R66" s="46"/>
      <c r="S66" s="46"/>
      <c r="T66" s="46"/>
      <c r="U66" s="46"/>
      <c r="V66" s="46"/>
      <c r="W66" s="46"/>
    </row>
    <row r="67">
      <c r="A67" s="52" t="s">
        <v>3333</v>
      </c>
      <c r="B67" s="203" t="s">
        <v>3334</v>
      </c>
      <c r="C67" s="52" t="s">
        <v>3335</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3336</v>
      </c>
      <c r="J67" s="46"/>
      <c r="K67" s="46"/>
      <c r="L67" s="46"/>
      <c r="M67" s="46"/>
      <c r="N67" s="46"/>
      <c r="O67" s="46"/>
      <c r="P67" s="46"/>
      <c r="Q67" s="46"/>
      <c r="R67" s="46"/>
      <c r="S67" s="46"/>
      <c r="T67" s="46"/>
      <c r="U67" s="46"/>
      <c r="V67" s="46"/>
      <c r="W67" s="46"/>
    </row>
    <row r="68">
      <c r="A68" s="52" t="s">
        <v>3337</v>
      </c>
      <c r="B68" s="203" t="str">
        <f>IFERROR(__xludf.DUMMYFUNCTION("GOOGLETRANSLATE(A68,""zh-tw"",""ja"")"),"Shiftキーで歩行と走行の姿勢を切り替えることができます")</f>
        <v>Shiftキーで歩行と走行の姿勢を切り替えることができます</v>
      </c>
      <c r="C68" s="52" t="s">
        <v>3338</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3339</v>
      </c>
      <c r="J68" s="46"/>
      <c r="K68" s="46"/>
      <c r="L68" s="46"/>
      <c r="M68" s="46"/>
      <c r="N68" s="46"/>
      <c r="O68" s="46"/>
      <c r="P68" s="46"/>
      <c r="Q68" s="46"/>
      <c r="R68" s="46"/>
      <c r="S68" s="46"/>
      <c r="T68" s="46"/>
      <c r="U68" s="46"/>
      <c r="V68" s="46"/>
      <c r="W68" s="46"/>
    </row>
    <row r="69">
      <c r="A69" s="52" t="s">
        <v>3340</v>
      </c>
      <c r="B69" s="203" t="s">
        <v>3341</v>
      </c>
      <c r="C69" s="52" t="s">
        <v>3342</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1" t="s">
        <v>3343</v>
      </c>
      <c r="J69" s="46"/>
      <c r="K69" s="46"/>
      <c r="L69" s="46"/>
      <c r="M69" s="46"/>
      <c r="N69" s="46"/>
      <c r="O69" s="46"/>
      <c r="P69" s="46"/>
      <c r="Q69" s="46"/>
      <c r="R69" s="46"/>
      <c r="S69" s="46"/>
      <c r="T69" s="46"/>
      <c r="U69" s="46"/>
      <c r="V69" s="46"/>
      <c r="W69" s="46"/>
    </row>
    <row r="70">
      <c r="A70" s="52" t="s">
        <v>3344</v>
      </c>
      <c r="B70" s="203" t="s">
        <v>3345</v>
      </c>
      <c r="C70" s="52" t="s">
        <v>3346</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3347</v>
      </c>
      <c r="J70" s="46"/>
      <c r="K70" s="46"/>
      <c r="L70" s="46"/>
      <c r="M70" s="46"/>
      <c r="N70" s="46"/>
      <c r="O70" s="46"/>
      <c r="P70" s="46"/>
      <c r="Q70" s="46"/>
      <c r="R70" s="46"/>
      <c r="S70" s="46"/>
      <c r="T70" s="46"/>
      <c r="U70" s="46"/>
      <c r="V70" s="46"/>
      <c r="W70" s="46"/>
    </row>
    <row r="71">
      <c r="A71" s="52" t="s">
        <v>3348</v>
      </c>
      <c r="B71" s="203" t="s">
        <v>3349</v>
      </c>
      <c r="C71" s="52" t="s">
        <v>3350</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3351</v>
      </c>
      <c r="J71" s="46"/>
      <c r="K71" s="46"/>
      <c r="L71" s="46"/>
      <c r="M71" s="46"/>
      <c r="N71" s="46"/>
      <c r="O71" s="46"/>
      <c r="P71" s="46"/>
      <c r="Q71" s="46"/>
      <c r="R71" s="46"/>
      <c r="S71" s="46"/>
      <c r="T71" s="46"/>
      <c r="U71" s="46"/>
      <c r="V71" s="46"/>
      <c r="W71" s="46"/>
    </row>
    <row r="72">
      <c r="A72" s="52" t="s">
        <v>3352</v>
      </c>
      <c r="B72" s="203" t="s">
        <v>3353</v>
      </c>
      <c r="C72" s="52" t="s">
        <v>3354</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3355</v>
      </c>
      <c r="J72" s="46"/>
      <c r="K72" s="46"/>
      <c r="L72" s="46"/>
      <c r="M72" s="46"/>
      <c r="N72" s="46"/>
      <c r="O72" s="46"/>
      <c r="P72" s="46"/>
      <c r="Q72" s="46"/>
      <c r="R72" s="46"/>
      <c r="S72" s="46"/>
      <c r="T72" s="46"/>
      <c r="U72" s="46"/>
      <c r="V72" s="46"/>
      <c r="W72" s="46"/>
    </row>
    <row r="73">
      <c r="A73" s="52" t="s">
        <v>3356</v>
      </c>
      <c r="B73" s="203" t="s">
        <v>3357</v>
      </c>
      <c r="C73" s="52" t="s">
        <v>3358</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3359</v>
      </c>
      <c r="I73" s="141" t="s">
        <v>3360</v>
      </c>
      <c r="J73" s="46"/>
      <c r="K73" s="46"/>
      <c r="L73" s="46"/>
      <c r="M73" s="46"/>
      <c r="N73" s="46"/>
      <c r="O73" s="46"/>
      <c r="P73" s="46"/>
      <c r="Q73" s="46"/>
      <c r="R73" s="46"/>
      <c r="S73" s="46"/>
      <c r="T73" s="46"/>
      <c r="U73" s="46"/>
      <c r="V73" s="46"/>
      <c r="W73" s="46"/>
    </row>
    <row r="74">
      <c r="A74" s="52" t="s">
        <v>3361</v>
      </c>
      <c r="B74" s="203" t="s">
        <v>3362</v>
      </c>
      <c r="C74" s="52" t="s">
        <v>3363</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3" t="s">
        <v>3364</v>
      </c>
      <c r="I74" s="141" t="s">
        <v>3365</v>
      </c>
      <c r="J74" s="46"/>
      <c r="K74" s="46"/>
      <c r="L74" s="46"/>
      <c r="M74" s="46"/>
      <c r="N74" s="46"/>
      <c r="O74" s="46"/>
      <c r="P74" s="46"/>
      <c r="Q74" s="46"/>
      <c r="R74" s="46"/>
      <c r="S74" s="46"/>
      <c r="T74" s="46"/>
      <c r="U74" s="46"/>
      <c r="V74" s="46"/>
      <c r="W74" s="46"/>
    </row>
    <row r="75">
      <c r="A75" s="52" t="s">
        <v>3366</v>
      </c>
      <c r="B75" s="203" t="s">
        <v>3367</v>
      </c>
      <c r="C75" s="52" t="s">
        <v>3368</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3369</v>
      </c>
      <c r="I75" s="141" t="s">
        <v>3370</v>
      </c>
      <c r="J75" s="46"/>
      <c r="K75" s="46"/>
      <c r="L75" s="46"/>
      <c r="M75" s="46"/>
      <c r="N75" s="46"/>
      <c r="O75" s="46"/>
      <c r="P75" s="46"/>
      <c r="Q75" s="46"/>
      <c r="R75" s="46"/>
      <c r="S75" s="46"/>
      <c r="T75" s="46"/>
      <c r="U75" s="46"/>
      <c r="V75" s="46"/>
      <c r="W75" s="46"/>
    </row>
    <row r="76">
      <c r="A76" s="52" t="s">
        <v>3371</v>
      </c>
      <c r="B76" s="203" t="s">
        <v>3372</v>
      </c>
      <c r="C76" s="52" t="s">
        <v>3373</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3374</v>
      </c>
      <c r="I76" s="141" t="s">
        <v>3375</v>
      </c>
      <c r="J76" s="46"/>
      <c r="K76" s="46"/>
      <c r="L76" s="46"/>
      <c r="M76" s="46"/>
      <c r="N76" s="46"/>
      <c r="O76" s="46"/>
      <c r="P76" s="46"/>
      <c r="Q76" s="46"/>
      <c r="R76" s="46"/>
      <c r="S76" s="46"/>
      <c r="T76" s="46"/>
      <c r="U76" s="46"/>
      <c r="V76" s="46"/>
      <c r="W76" s="46"/>
    </row>
    <row r="77">
      <c r="A77" s="52" t="s">
        <v>3376</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3378</v>
      </c>
      <c r="I77" s="141" t="s">
        <v>3379</v>
      </c>
      <c r="J77" s="46"/>
      <c r="K77" s="46"/>
      <c r="L77" s="46"/>
      <c r="M77" s="46"/>
      <c r="N77" s="46"/>
      <c r="O77" s="46"/>
      <c r="P77" s="46"/>
      <c r="Q77" s="46"/>
      <c r="R77" s="46"/>
      <c r="S77" s="46"/>
      <c r="T77" s="46"/>
      <c r="U77" s="46"/>
      <c r="V77" s="46"/>
      <c r="W77" s="46"/>
    </row>
    <row r="78">
      <c r="A78" s="52" t="s">
        <v>3380</v>
      </c>
      <c r="B78" s="203"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3381</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3" t="s">
        <v>3382</v>
      </c>
      <c r="I78" s="141" t="s">
        <v>3383</v>
      </c>
      <c r="J78" s="46"/>
      <c r="K78" s="46"/>
      <c r="L78" s="46"/>
      <c r="M78" s="46"/>
      <c r="N78" s="46"/>
      <c r="O78" s="46"/>
      <c r="P78" s="46"/>
      <c r="Q78" s="46"/>
      <c r="R78" s="46"/>
      <c r="S78" s="46"/>
      <c r="T78" s="46"/>
      <c r="U78" s="46"/>
      <c r="V78" s="46"/>
      <c r="W78" s="46"/>
    </row>
    <row r="79">
      <c r="A79" s="52" t="s">
        <v>3384</v>
      </c>
      <c r="B79" s="203"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3386</v>
      </c>
      <c r="J79" s="46"/>
      <c r="K79" s="46"/>
      <c r="L79" s="46"/>
      <c r="M79" s="46"/>
      <c r="N79" s="46"/>
      <c r="O79" s="46"/>
      <c r="P79" s="46"/>
      <c r="Q79" s="46"/>
      <c r="R79" s="46"/>
      <c r="S79" s="46"/>
      <c r="T79" s="46"/>
      <c r="U79" s="46"/>
      <c r="V79" s="46"/>
      <c r="W79" s="46"/>
    </row>
    <row r="80">
      <c r="A80" s="55" t="s">
        <v>3387</v>
      </c>
      <c r="B80" s="204" t="s">
        <v>3388</v>
      </c>
      <c r="C80" s="55" t="s">
        <v>3389</v>
      </c>
      <c r="D80" s="203" t="str">
        <f>IFERROR(__xludf.DUMMYFUNCTION("GOOGLETRANSLATE(A80,""zh-tw"",""zh"")"),"牛奶是最好的解辣饮品，能大幅缩短解除辣哭了的持续时间")</f>
        <v>牛奶是最好的解辣饮品，能大幅缩短解除辣哭了的持续时间</v>
      </c>
      <c r="E80" s="207" t="s">
        <v>3390</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3391</v>
      </c>
      <c r="I80" s="141" t="s">
        <v>3392</v>
      </c>
      <c r="J80" s="46"/>
      <c r="K80" s="46"/>
      <c r="L80" s="46"/>
      <c r="M80" s="46"/>
      <c r="N80" s="46"/>
      <c r="O80" s="46"/>
      <c r="P80" s="46"/>
      <c r="Q80" s="46"/>
      <c r="R80" s="46"/>
      <c r="S80" s="46"/>
      <c r="T80" s="46"/>
      <c r="U80" s="46"/>
      <c r="V80" s="46"/>
      <c r="W80" s="46"/>
    </row>
    <row r="81">
      <c r="A81" s="55" t="s">
        <v>3393</v>
      </c>
      <c r="B81" s="204" t="s">
        <v>3394</v>
      </c>
      <c r="C81" s="55" t="s">
        <v>3395</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3396</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3397</v>
      </c>
      <c r="I81" s="208" t="s">
        <v>3398</v>
      </c>
      <c r="J81" s="46"/>
      <c r="K81" s="46"/>
      <c r="L81" s="46"/>
      <c r="M81" s="46"/>
      <c r="N81" s="46"/>
      <c r="O81" s="46"/>
      <c r="P81" s="46"/>
      <c r="Q81" s="46"/>
      <c r="R81" s="46"/>
      <c r="S81" s="46"/>
      <c r="T81" s="46"/>
      <c r="U81" s="46"/>
      <c r="V81" s="46"/>
      <c r="W81" s="46"/>
    </row>
    <row r="82">
      <c r="A82" s="55" t="s">
        <v>3399</v>
      </c>
      <c r="B82" s="204" t="s">
        <v>3400</v>
      </c>
      <c r="C82" s="55" t="s">
        <v>3401</v>
      </c>
      <c r="D82" s="203" t="str">
        <f>IFERROR(__xludf.DUMMYFUNCTION("GOOGLETRANSLATE(A82,""zh-tw"",""zh"")"),"ASABA通常会出现在路边的草莓丛中")</f>
        <v>ASABA通常会出现在路边的草莓丛中</v>
      </c>
      <c r="E82" s="207" t="s">
        <v>3402</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3403</v>
      </c>
      <c r="I82" s="141" t="s">
        <v>3404</v>
      </c>
      <c r="J82" s="46"/>
      <c r="K82" s="46"/>
      <c r="L82" s="46"/>
      <c r="M82" s="46"/>
      <c r="N82" s="46"/>
      <c r="O82" s="46"/>
      <c r="P82" s="46"/>
      <c r="Q82" s="46"/>
      <c r="R82" s="46"/>
      <c r="S82" s="46"/>
      <c r="T82" s="46"/>
      <c r="U82" s="46"/>
      <c r="V82" s="46"/>
      <c r="W82" s="46"/>
    </row>
    <row r="83">
      <c r="A83" s="55" t="s">
        <v>3405</v>
      </c>
      <c r="B83" s="204" t="s">
        <v>3406</v>
      </c>
      <c r="C83" s="55" t="s">
        <v>3407</v>
      </c>
      <c r="D83" s="203" t="str">
        <f>IFERROR(__xludf.DUMMYFUNCTION("GOOGLETRANSLATE(A83,""zh-tw"",""zh"")"),"""草莓""食材，目前无实际用途，等待未来更新")</f>
        <v>"草莓"食材，目前无实际用途，等待未来更新</v>
      </c>
      <c r="E83" s="207" t="s">
        <v>3408</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3409</v>
      </c>
      <c r="I83" s="208" t="s">
        <v>3410</v>
      </c>
      <c r="J83" s="46"/>
      <c r="K83" s="46"/>
      <c r="L83" s="46"/>
      <c r="M83" s="46"/>
      <c r="N83" s="46"/>
      <c r="O83" s="46"/>
      <c r="P83" s="46"/>
      <c r="Q83" s="46"/>
      <c r="R83" s="46"/>
      <c r="S83" s="46"/>
      <c r="T83" s="46"/>
      <c r="U83" s="46"/>
      <c r="V83" s="46"/>
      <c r="W83" s="46"/>
    </row>
    <row r="84">
      <c r="A84" s="55" t="s">
        <v>3411</v>
      </c>
      <c r="B84" s="204" t="s">
        <v>3412</v>
      </c>
      <c r="C84" s="55" t="s">
        <v>3413</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3414</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3415</v>
      </c>
      <c r="I84" s="110" t="s">
        <v>3416</v>
      </c>
      <c r="J84" s="46"/>
      <c r="K84" s="46"/>
      <c r="L84" s="46"/>
      <c r="M84" s="46"/>
      <c r="N84" s="46"/>
      <c r="O84" s="46"/>
      <c r="P84" s="46"/>
      <c r="Q84" s="46"/>
      <c r="R84" s="46"/>
      <c r="S84" s="46"/>
      <c r="T84" s="46"/>
      <c r="U84" s="46"/>
      <c r="V84" s="46"/>
      <c r="W84" s="46"/>
    </row>
    <row r="85">
      <c r="A85" s="52" t="s">
        <v>3417</v>
      </c>
      <c r="B85" s="203" t="s">
        <v>3418</v>
      </c>
      <c r="C85" s="52" t="s">
        <v>3419</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3420</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3421</v>
      </c>
      <c r="I85" s="110" t="s">
        <v>3422</v>
      </c>
      <c r="J85" s="46"/>
      <c r="K85" s="46"/>
      <c r="L85" s="46"/>
      <c r="M85" s="46"/>
      <c r="N85" s="46"/>
      <c r="O85" s="46"/>
      <c r="P85" s="46"/>
      <c r="Q85" s="46"/>
      <c r="R85" s="46"/>
      <c r="S85" s="46"/>
      <c r="T85" s="46"/>
      <c r="U85" s="46"/>
      <c r="V85" s="46"/>
      <c r="W85" s="46"/>
    </row>
    <row r="86" ht="53.25" customHeight="1">
      <c r="A86" s="55" t="s">
        <v>3423</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3425</v>
      </c>
      <c r="I86" s="141" t="s">
        <v>3426</v>
      </c>
      <c r="J86" s="46"/>
      <c r="K86" s="46"/>
      <c r="L86" s="46"/>
      <c r="M86" s="46"/>
      <c r="N86" s="46"/>
      <c r="O86" s="46"/>
      <c r="P86" s="46"/>
      <c r="Q86" s="46"/>
      <c r="R86" s="46"/>
      <c r="S86" s="46"/>
      <c r="T86" s="46"/>
      <c r="U86" s="46"/>
      <c r="V86" s="46"/>
      <c r="W86" s="46"/>
    </row>
    <row r="87">
      <c r="A87" s="52" t="s">
        <v>3427</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3429</v>
      </c>
      <c r="I87" s="141" t="s">
        <v>3430</v>
      </c>
      <c r="J87" s="46"/>
      <c r="K87" s="46"/>
      <c r="L87" s="46"/>
      <c r="M87" s="46"/>
      <c r="N87" s="46"/>
      <c r="O87" s="46"/>
      <c r="P87" s="46"/>
      <c r="Q87" s="46"/>
      <c r="R87" s="46"/>
      <c r="S87" s="46"/>
      <c r="T87" s="46"/>
      <c r="U87" s="46"/>
      <c r="V87" s="46"/>
      <c r="W87" s="46"/>
    </row>
    <row r="88">
      <c r="A88" s="55" t="s">
        <v>3431</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3433</v>
      </c>
      <c r="I88" s="141" t="s">
        <v>3434</v>
      </c>
      <c r="J88" s="46"/>
      <c r="K88" s="46"/>
      <c r="L88" s="46"/>
      <c r="M88" s="46"/>
      <c r="N88" s="46"/>
      <c r="O88" s="46"/>
      <c r="P88" s="46"/>
      <c r="Q88" s="46"/>
      <c r="R88" s="46"/>
      <c r="S88" s="46"/>
      <c r="T88" s="46"/>
      <c r="U88" s="46"/>
      <c r="V88" s="46"/>
      <c r="W88" s="46"/>
    </row>
    <row r="89">
      <c r="A89" s="55" t="s">
        <v>3435</v>
      </c>
      <c r="B89" s="204" t="s">
        <v>3436</v>
      </c>
      <c r="C89" s="55" t="s">
        <v>3437</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3438</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3439</v>
      </c>
      <c r="I89" s="141" t="s">
        <v>3440</v>
      </c>
      <c r="J89" s="46"/>
      <c r="K89" s="46"/>
      <c r="L89" s="46"/>
      <c r="M89" s="46"/>
      <c r="N89" s="46"/>
      <c r="O89" s="46"/>
      <c r="P89" s="46"/>
      <c r="Q89" s="46"/>
      <c r="R89" s="46"/>
      <c r="S89" s="46"/>
      <c r="T89" s="46"/>
      <c r="U89" s="46"/>
      <c r="V89" s="46"/>
      <c r="W89" s="46"/>
    </row>
    <row r="90">
      <c r="A90" s="52" t="s">
        <v>3441</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3442</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3443</v>
      </c>
      <c r="I90" s="208" t="s">
        <v>3444</v>
      </c>
      <c r="J90" s="46"/>
      <c r="K90" s="46"/>
      <c r="L90" s="46"/>
      <c r="M90" s="46"/>
      <c r="N90" s="46"/>
      <c r="O90" s="46"/>
      <c r="P90" s="46"/>
      <c r="Q90" s="46"/>
      <c r="R90" s="46"/>
      <c r="S90" s="46"/>
      <c r="T90" s="46"/>
      <c r="U90" s="46"/>
      <c r="V90" s="46"/>
      <c r="W90" s="46"/>
    </row>
    <row r="91">
      <c r="A91" s="52" t="s">
        <v>3445</v>
      </c>
      <c r="B91" s="203" t="str">
        <f>IFERROR(__xludf.DUMMYFUNCTION("GOOGLETRANSLATE(A91,""zh-tw"",""ja"")"),"「冒険者の道：石碑」マップでは、石板で討伐回数を確認できます。")</f>
        <v>「冒険者の道：石碑」マップでは、石板で討伐回数を確認できます。</v>
      </c>
      <c r="C91" s="52" t="s">
        <v>3446</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3447</v>
      </c>
      <c r="I91" s="141" t="s">
        <v>3448</v>
      </c>
      <c r="J91" s="46"/>
      <c r="K91" s="46"/>
      <c r="L91" s="46"/>
      <c r="M91" s="46"/>
      <c r="N91" s="46"/>
      <c r="O91" s="46"/>
      <c r="P91" s="46"/>
      <c r="Q91" s="46"/>
      <c r="R91" s="46"/>
      <c r="S91" s="46"/>
      <c r="T91" s="46"/>
      <c r="U91" s="46"/>
      <c r="V91" s="46"/>
      <c r="W91" s="46"/>
    </row>
    <row r="92">
      <c r="A92" s="55" t="s">
        <v>3449</v>
      </c>
      <c r="B92" s="204" t="s">
        <v>3450</v>
      </c>
      <c r="C92" s="55" t="s">
        <v>3451</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3452</v>
      </c>
      <c r="I92" s="141" t="s">
        <v>3453</v>
      </c>
      <c r="J92" s="46"/>
      <c r="K92" s="46"/>
      <c r="L92" s="46"/>
      <c r="M92" s="46"/>
      <c r="N92" s="46"/>
      <c r="O92" s="46"/>
      <c r="P92" s="46"/>
      <c r="Q92" s="46"/>
      <c r="R92" s="46"/>
      <c r="S92" s="46"/>
      <c r="T92" s="46"/>
      <c r="U92" s="46"/>
      <c r="V92" s="46"/>
      <c r="W92" s="46"/>
    </row>
    <row r="93">
      <c r="A93" s="55" t="s">
        <v>3454</v>
      </c>
      <c r="B93" s="204" t="s">
        <v>3455</v>
      </c>
      <c r="C93" s="55" t="s">
        <v>3456</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3457</v>
      </c>
      <c r="I93" s="141" t="s">
        <v>3458</v>
      </c>
      <c r="J93" s="46"/>
      <c r="K93" s="46"/>
      <c r="L93" s="46"/>
      <c r="M93" s="46"/>
      <c r="N93" s="46"/>
      <c r="O93" s="46"/>
      <c r="P93" s="46"/>
      <c r="Q93" s="46"/>
      <c r="R93" s="46"/>
      <c r="S93" s="46"/>
      <c r="T93" s="46"/>
      <c r="U93" s="46"/>
      <c r="V93" s="46"/>
      <c r="W93" s="46"/>
    </row>
    <row r="94">
      <c r="A94" s="52" t="s">
        <v>3459</v>
      </c>
      <c r="B94" s="203" t="s">
        <v>3460</v>
      </c>
      <c r="C94" s="52" t="s">
        <v>3461</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3462</v>
      </c>
      <c r="J94" s="46"/>
      <c r="K94" s="46"/>
      <c r="L94" s="46"/>
      <c r="M94" s="46"/>
      <c r="N94" s="46"/>
      <c r="O94" s="46"/>
      <c r="P94" s="46"/>
      <c r="Q94" s="46"/>
      <c r="R94" s="46"/>
      <c r="S94" s="46"/>
      <c r="T94" s="46"/>
      <c r="U94" s="46"/>
      <c r="V94" s="46"/>
      <c r="W94" s="46"/>
    </row>
    <row r="95">
      <c r="A95" s="55" t="s">
        <v>3463</v>
      </c>
      <c r="B95" s="204" t="s">
        <v>3464</v>
      </c>
      <c r="C95" s="55" t="s">
        <v>3465</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 이동 중 미리 차에서 뛰어내릴 수 있습니다(일부 효과도 그에 따라 변경됩니다)")</f>
        <v>미니카트 이동 중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3466</v>
      </c>
      <c r="I95" s="141" t="s">
        <v>3467</v>
      </c>
      <c r="J95" s="46"/>
      <c r="K95" s="46"/>
      <c r="L95" s="46"/>
      <c r="M95" s="46"/>
      <c r="N95" s="46"/>
      <c r="O95" s="46"/>
      <c r="P95" s="46"/>
      <c r="Q95" s="46"/>
      <c r="R95" s="46"/>
      <c r="S95" s="46"/>
      <c r="T95" s="46"/>
      <c r="U95" s="46"/>
      <c r="V95" s="46"/>
      <c r="W95" s="46"/>
    </row>
    <row r="96">
      <c r="A96" s="52" t="s">
        <v>3468</v>
      </c>
      <c r="B96" s="203" t="s">
        <v>3469</v>
      </c>
      <c r="C96" s="52" t="s">
        <v>3470</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3471</v>
      </c>
      <c r="I96" s="141" t="s">
        <v>3472</v>
      </c>
      <c r="J96" s="46"/>
      <c r="K96" s="46"/>
      <c r="L96" s="46"/>
      <c r="M96" s="46"/>
      <c r="N96" s="46"/>
      <c r="O96" s="46"/>
      <c r="P96" s="46"/>
      <c r="Q96" s="46"/>
      <c r="R96" s="46"/>
      <c r="S96" s="46"/>
      <c r="T96" s="46"/>
      <c r="U96" s="46"/>
      <c r="V96" s="46"/>
      <c r="W96" s="46"/>
    </row>
    <row r="97">
      <c r="A97" s="55" t="s">
        <v>3473</v>
      </c>
      <c r="B97" s="203" t="s">
        <v>3474</v>
      </c>
      <c r="C97" s="55" t="s">
        <v>3475</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3476</v>
      </c>
      <c r="I97" s="141" t="s">
        <v>3477</v>
      </c>
      <c r="J97" s="46"/>
      <c r="K97" s="46"/>
      <c r="L97" s="46"/>
      <c r="M97" s="46"/>
      <c r="N97" s="46"/>
      <c r="O97" s="46"/>
      <c r="P97" s="46"/>
      <c r="Q97" s="46"/>
      <c r="R97" s="46"/>
      <c r="S97" s="46"/>
      <c r="T97" s="46"/>
      <c r="U97" s="46"/>
      <c r="V97" s="46"/>
      <c r="W97" s="46"/>
    </row>
    <row r="98">
      <c r="A98" s="55" t="s">
        <v>3478</v>
      </c>
      <c r="B98" s="204" t="s">
        <v>3479</v>
      </c>
      <c r="C98" s="55" t="s">
        <v>3480</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3481</v>
      </c>
      <c r="I98" s="141" t="s">
        <v>3482</v>
      </c>
      <c r="J98" s="46"/>
      <c r="K98" s="46"/>
      <c r="L98" s="46"/>
      <c r="M98" s="46"/>
      <c r="N98" s="46"/>
      <c r="O98" s="46"/>
      <c r="P98" s="46"/>
      <c r="Q98" s="46"/>
      <c r="R98" s="46"/>
      <c r="S98" s="46"/>
      <c r="T98" s="46"/>
      <c r="U98" s="46"/>
      <c r="V98" s="46"/>
      <c r="W98" s="46"/>
    </row>
    <row r="99">
      <c r="A99" s="55" t="s">
        <v>3483</v>
      </c>
      <c r="B99" s="204" t="s">
        <v>3484</v>
      </c>
      <c r="C99" s="55" t="s">
        <v>3485</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3486</v>
      </c>
      <c r="I99" s="141" t="s">
        <v>3487</v>
      </c>
      <c r="J99" s="46"/>
      <c r="K99" s="46"/>
      <c r="L99" s="46"/>
      <c r="M99" s="46"/>
      <c r="N99" s="46"/>
      <c r="O99" s="46"/>
      <c r="P99" s="46"/>
      <c r="Q99" s="46"/>
      <c r="R99" s="46"/>
      <c r="S99" s="46"/>
      <c r="T99" s="46"/>
      <c r="U99" s="46"/>
      <c r="V99" s="46"/>
      <c r="W99" s="46"/>
    </row>
    <row r="100">
      <c r="A100" s="52" t="s">
        <v>3488</v>
      </c>
      <c r="B100" s="204" t="s">
        <v>3489</v>
      </c>
      <c r="C100" s="55" t="s">
        <v>3490</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3491</v>
      </c>
      <c r="I100" s="141" t="s">
        <v>3492</v>
      </c>
      <c r="J100" s="46"/>
      <c r="K100" s="46"/>
      <c r="L100" s="46"/>
      <c r="M100" s="46"/>
      <c r="N100" s="46"/>
      <c r="O100" s="46"/>
      <c r="P100" s="46"/>
      <c r="Q100" s="46"/>
      <c r="R100" s="46"/>
      <c r="S100" s="46"/>
      <c r="T100" s="46"/>
      <c r="U100" s="46"/>
      <c r="V100" s="46"/>
      <c r="W100" s="46"/>
    </row>
    <row r="101">
      <c r="A101" s="52" t="s">
        <v>3493</v>
      </c>
      <c r="B101" s="204" t="s">
        <v>3494</v>
      </c>
      <c r="C101" s="55" t="s">
        <v>3495</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las hermanas menores y los hermanos mayores.")</f>
        <v>Las fresas y zanahorias de ASABA actualmente no tienen ningún efecto especial en la dieta de las hermanas menores y los hermanos mayores.</v>
      </c>
      <c r="F101" s="204" t="str">
        <f>IFERROR(__xludf.DUMMYFUNCTION("GOOGLETRANSLATE(A101,""zh-tw"",""KO"")"),"아사바의 딸기/당근은 현재로선 남동생이나 여동생의 식단에 특별한 영향을 미치지 않습니다.")</f>
        <v>아사바의 딸기/당근은 현재로선 남동생이나 여동생의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младших сестер и старших братьев.")</f>
        <v>Клубника/морковь ASABA в настоящее время не оказывают особого влияния на рацион младших сестер и старших братьев.</v>
      </c>
      <c r="H101" s="204" t="s">
        <v>3496</v>
      </c>
      <c r="I101" s="141" t="s">
        <v>3497</v>
      </c>
      <c r="J101" s="46"/>
      <c r="K101" s="46"/>
      <c r="L101" s="46"/>
      <c r="M101" s="46"/>
      <c r="N101" s="46"/>
      <c r="O101" s="46"/>
      <c r="P101" s="46"/>
      <c r="Q101" s="46"/>
      <c r="R101" s="46"/>
      <c r="S101" s="46"/>
      <c r="T101" s="46"/>
      <c r="U101" s="46"/>
      <c r="V101" s="46"/>
      <c r="W101" s="46"/>
    </row>
    <row r="102">
      <c r="A102" s="52" t="s">
        <v>3498</v>
      </c>
      <c r="B102" s="204" t="s">
        <v>3499</v>
      </c>
      <c r="C102" s="55" t="s">
        <v>3500</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3501</v>
      </c>
      <c r="I102" s="141" t="s">
        <v>3502</v>
      </c>
      <c r="J102" s="46"/>
      <c r="K102" s="46"/>
      <c r="L102" s="46"/>
      <c r="M102" s="46"/>
      <c r="N102" s="46"/>
      <c r="O102" s="46"/>
      <c r="P102" s="46"/>
      <c r="Q102" s="46"/>
      <c r="R102" s="46"/>
      <c r="S102" s="46"/>
      <c r="T102" s="46"/>
      <c r="U102" s="46"/>
      <c r="V102" s="46"/>
      <c r="W102" s="46"/>
    </row>
    <row r="103">
      <c r="A103" s="52" t="s">
        <v>3503</v>
      </c>
      <c r="B103" s="203" t="s">
        <v>3504</v>
      </c>
      <c r="C103" s="52" t="s">
        <v>3505</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4"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3" t="s">
        <v>3506</v>
      </c>
      <c r="I103" s="141" t="s">
        <v>3507</v>
      </c>
      <c r="J103" s="46"/>
      <c r="K103" s="46"/>
      <c r="L103" s="46"/>
      <c r="M103" s="46"/>
      <c r="N103" s="46"/>
      <c r="O103" s="46"/>
      <c r="P103" s="46"/>
      <c r="Q103" s="46"/>
      <c r="R103" s="46"/>
      <c r="S103" s="46"/>
      <c r="T103" s="46"/>
      <c r="U103" s="46"/>
      <c r="V103" s="46"/>
      <c r="W103" s="46"/>
    </row>
    <row r="104">
      <c r="A104" s="52" t="s">
        <v>3508</v>
      </c>
      <c r="B104" s="203" t="s">
        <v>3509</v>
      </c>
      <c r="C104" s="52" t="s">
        <v>3510</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с"&amp;"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превышат"&amp;"ь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вр"&amp;"емя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"&amp;"молот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будуще"&amp;"м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지역에 도달할 수 있습니다. 깃털은 물이나 얼음에 닿을 수 없습니다.")</f>
        <v>새 깃털, 지팡이 부양 장치, 그리고 다른 물건들은 모두 떠다니며 특정 지역에 도달할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3514</v>
      </c>
      <c r="J105" s="46"/>
      <c r="K105" s="46"/>
      <c r="L105" s="46"/>
      <c r="M105" s="46"/>
      <c r="N105" s="46"/>
      <c r="O105" s="46"/>
      <c r="P105" s="46"/>
      <c r="Q105" s="46"/>
      <c r="R105" s="46"/>
      <c r="S105" s="46"/>
      <c r="T105" s="46"/>
      <c r="U105" s="46"/>
      <c r="V105" s="46"/>
      <c r="W105" s="46"/>
    </row>
    <row r="106">
      <c r="A106" s="52" t="s">
        <v>3515</v>
      </c>
      <c r="B106" s="203" t="s">
        <v>3516</v>
      </c>
      <c r="C106" s="52" t="s">
        <v>3517</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3518</v>
      </c>
      <c r="I106" s="141" t="s">
        <v>3519</v>
      </c>
      <c r="J106" s="46"/>
      <c r="K106" s="46"/>
      <c r="L106" s="46"/>
      <c r="M106" s="46"/>
      <c r="N106" s="46"/>
      <c r="O106" s="46"/>
      <c r="P106" s="46"/>
      <c r="Q106" s="46"/>
      <c r="R106" s="46"/>
      <c r="S106" s="46"/>
      <c r="T106" s="46"/>
      <c r="U106" s="46"/>
      <c r="V106" s="46"/>
      <c r="W106" s="46"/>
    </row>
    <row r="107">
      <c r="A107" s="52" t="s">
        <v>3520</v>
      </c>
      <c r="B107" s="203" t="s">
        <v>3521</v>
      </c>
      <c r="C107" s="52" t="s">
        <v>3522</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3523</v>
      </c>
      <c r="I107" s="141" t="s">
        <v>3524</v>
      </c>
      <c r="J107" s="46"/>
      <c r="K107" s="46"/>
      <c r="L107" s="46"/>
      <c r="M107" s="46"/>
      <c r="N107" s="46"/>
      <c r="O107" s="46"/>
      <c r="P107" s="46"/>
      <c r="Q107" s="46"/>
      <c r="R107" s="46"/>
      <c r="S107" s="46"/>
      <c r="T107" s="46"/>
      <c r="U107" s="46"/>
      <c r="V107" s="46"/>
      <c r="W107" s="46"/>
    </row>
    <row r="108">
      <c r="A108" s="52" t="s">
        <v>3525</v>
      </c>
      <c r="B108" s="203" t="s">
        <v>3526</v>
      </c>
      <c r="C108" s="52" t="s">
        <v>3527</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3528</v>
      </c>
      <c r="I108" s="141" t="s">
        <v>3529</v>
      </c>
      <c r="J108" s="46"/>
      <c r="K108" s="46"/>
      <c r="L108" s="46"/>
      <c r="M108" s="46"/>
      <c r="N108" s="46"/>
      <c r="O108" s="46"/>
      <c r="P108" s="46"/>
      <c r="Q108" s="46"/>
      <c r="R108" s="46"/>
      <c r="S108" s="46"/>
      <c r="T108" s="46"/>
      <c r="U108" s="46"/>
      <c r="V108" s="46"/>
      <c r="W108" s="46"/>
    </row>
    <row r="109">
      <c r="A109" s="52" t="s">
        <v>3530</v>
      </c>
      <c r="B109" s="203" t="s">
        <v>3531</v>
      </c>
      <c r="C109" s="52" t="s">
        <v>3532</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3533</v>
      </c>
      <c r="I109" s="110" t="s">
        <v>3534</v>
      </c>
      <c r="J109" s="46"/>
      <c r="K109" s="46"/>
      <c r="L109" s="46"/>
      <c r="M109" s="46"/>
      <c r="N109" s="46"/>
      <c r="O109" s="46"/>
      <c r="P109" s="46"/>
      <c r="Q109" s="46"/>
      <c r="R109" s="46"/>
      <c r="S109" s="46"/>
      <c r="T109" s="46"/>
      <c r="U109" s="46"/>
      <c r="V109" s="46"/>
      <c r="W109" s="46"/>
    </row>
    <row r="110">
      <c r="A110" s="52" t="s">
        <v>3535</v>
      </c>
      <c r="B110" s="203" t="s">
        <v>3536</v>
      </c>
      <c r="C110" s="52" t="s">
        <v>3537</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3538</v>
      </c>
      <c r="I110" s="141" t="s">
        <v>3539</v>
      </c>
      <c r="J110" s="46"/>
      <c r="K110" s="46"/>
      <c r="L110" s="46"/>
      <c r="M110" s="46"/>
      <c r="N110" s="46"/>
      <c r="O110" s="46"/>
      <c r="P110" s="46"/>
      <c r="Q110" s="46"/>
      <c r="R110" s="46"/>
      <c r="S110" s="46"/>
      <c r="T110" s="46"/>
      <c r="U110" s="46"/>
      <c r="V110" s="46"/>
      <c r="W110" s="46"/>
    </row>
    <row r="111">
      <c r="A111" s="52" t="s">
        <v>3540</v>
      </c>
      <c r="B111" s="203" t="s">
        <v>3541</v>
      </c>
      <c r="C111" s="52" t="s">
        <v>3542</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3543</v>
      </c>
      <c r="I111" s="141" t="s">
        <v>3544</v>
      </c>
      <c r="J111" s="46"/>
      <c r="K111" s="46"/>
      <c r="L111" s="46"/>
      <c r="M111" s="46"/>
      <c r="N111" s="46"/>
      <c r="O111" s="46"/>
      <c r="P111" s="46"/>
      <c r="Q111" s="46"/>
      <c r="R111" s="46"/>
      <c r="S111" s="46"/>
      <c r="T111" s="46"/>
      <c r="U111" s="46"/>
      <c r="V111" s="46"/>
      <c r="W111" s="46"/>
    </row>
    <row r="112">
      <c r="A112" s="52" t="s">
        <v>3545</v>
      </c>
      <c r="B112" s="203" t="s">
        <v>3546</v>
      </c>
      <c r="C112" s="52" t="s">
        <v>3547</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3548</v>
      </c>
      <c r="I112" s="141" t="s">
        <v>3549</v>
      </c>
      <c r="J112" s="46"/>
      <c r="K112" s="46"/>
      <c r="L112" s="46"/>
      <c r="M112" s="46"/>
      <c r="N112" s="46"/>
      <c r="O112" s="46"/>
      <c r="P112" s="46"/>
      <c r="Q112" s="46"/>
      <c r="R112" s="46"/>
      <c r="S112" s="46"/>
      <c r="T112" s="46"/>
      <c r="U112" s="46"/>
      <c r="V112" s="46"/>
      <c r="W112" s="46"/>
    </row>
    <row r="113">
      <c r="A113" s="52" t="s">
        <v>3550</v>
      </c>
      <c r="B113" s="203" t="s">
        <v>3551</v>
      </c>
      <c r="C113" s="52" t="s">
        <v>3552</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3553</v>
      </c>
      <c r="I113" s="141" t="s">
        <v>3554</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3555</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3556</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3557</v>
      </c>
      <c r="I3" s="221"/>
      <c r="J3" s="220" t="s">
        <v>3558</v>
      </c>
      <c r="M3" s="221"/>
      <c r="N3" s="220" t="s">
        <v>3559</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3560</v>
      </c>
      <c r="B5" s="224"/>
      <c r="C5" s="224"/>
      <c r="D5" s="224"/>
      <c r="E5" s="225"/>
      <c r="F5" s="223" t="str">
        <f>IFERROR(__xludf.DUMMYFUNCTION("GOOGLETRANSLATE(A5,""zh-tw"",""ja"")"),"野生地域")</f>
        <v>野生地域</v>
      </c>
      <c r="G5" s="224"/>
      <c r="H5" s="224"/>
      <c r="I5" s="225"/>
      <c r="J5" s="223" t="s">
        <v>3561</v>
      </c>
      <c r="K5" s="224"/>
      <c r="L5" s="224"/>
      <c r="M5" s="225"/>
      <c r="N5" s="226" t="s">
        <v>3562</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3563</v>
      </c>
      <c r="F6" s="231" t="s">
        <v>723</v>
      </c>
      <c r="G6" s="232" t="s">
        <v>723</v>
      </c>
      <c r="H6" s="233" t="s">
        <v>3564</v>
      </c>
      <c r="I6" s="231" t="s">
        <v>723</v>
      </c>
      <c r="J6" s="234" t="s">
        <v>723</v>
      </c>
      <c r="K6" s="235" t="s">
        <v>723</v>
      </c>
      <c r="L6" s="234" t="s">
        <v>723</v>
      </c>
      <c r="M6" s="236" t="s">
        <v>3565</v>
      </c>
      <c r="N6" s="237" t="s">
        <v>723</v>
      </c>
      <c r="O6" s="237" t="s">
        <v>723</v>
      </c>
      <c r="P6" s="238" t="s">
        <v>723</v>
      </c>
      <c r="Q6" s="238" t="s">
        <v>723</v>
      </c>
      <c r="R6" s="239" t="s">
        <v>3566</v>
      </c>
      <c r="S6" s="240"/>
      <c r="T6" s="241"/>
      <c r="U6" s="241"/>
      <c r="V6" s="242"/>
      <c r="W6" s="243"/>
      <c r="X6" s="243"/>
      <c r="Y6" s="243"/>
      <c r="Z6" s="243"/>
      <c r="AA6" s="243"/>
    </row>
    <row r="7" ht="75.0" customHeight="1">
      <c r="A7" s="229" t="s">
        <v>723</v>
      </c>
      <c r="B7" s="229" t="s">
        <v>723</v>
      </c>
      <c r="C7" s="229" t="s">
        <v>3567</v>
      </c>
      <c r="D7" s="244" t="s">
        <v>3568</v>
      </c>
      <c r="E7" s="245" t="s">
        <v>3569</v>
      </c>
      <c r="F7" s="231" t="str">
        <f>IFERROR(__xludf.DUMMYFUNCTION("GOOGLETRANSLATE(B7,""zh-tw"",""ja"")"),"-")</f>
        <v>-</v>
      </c>
      <c r="G7" s="232" t="s">
        <v>3570</v>
      </c>
      <c r="H7" s="246" t="s">
        <v>3571</v>
      </c>
      <c r="I7" s="231" t="str">
        <f>IFERROR(__xludf.DUMMYFUNCTION("GOOGLETRANSLATE(#REF!,""zh-tw"",""ja"")"),"#REF!")</f>
        <v>#REF!</v>
      </c>
      <c r="J7" s="234" t="str">
        <f>IFERROR(__xludf.DUMMYFUNCTION("GOOGLETRANSLATE(B7,""zh-tw"",""en"")"),"-")</f>
        <v>-</v>
      </c>
      <c r="K7" s="235" t="s">
        <v>3572</v>
      </c>
      <c r="L7" s="234" t="str">
        <f>IFERROR(__xludf.DUMMYFUNCTION("GOOGLETRANSLATE(D7,""zh-tw"",""en"")"),"Development Area (Mine)-2")</f>
        <v>Development Area (Mine)-2</v>
      </c>
      <c r="M7" s="247" t="s">
        <v>3573</v>
      </c>
      <c r="N7" s="237" t="s">
        <v>723</v>
      </c>
      <c r="O7" s="237" t="str">
        <f>IFERROR(__xludf.DUMMYFUNCTION("GOOGLETRANSLATE(B7,""zh-tw"",""zh"")"),"-")</f>
        <v>-</v>
      </c>
      <c r="P7" s="238" t="s">
        <v>3574</v>
      </c>
      <c r="Q7" s="248" t="s">
        <v>723</v>
      </c>
      <c r="R7" s="249" t="s">
        <v>3575</v>
      </c>
      <c r="S7" s="240"/>
      <c r="T7" s="241"/>
      <c r="U7" s="241"/>
      <c r="V7" s="250"/>
      <c r="W7" s="243"/>
      <c r="X7" s="243"/>
      <c r="Y7" s="243"/>
      <c r="Z7" s="243"/>
      <c r="AA7" s="243"/>
    </row>
    <row r="8">
      <c r="A8" s="229" t="s">
        <v>723</v>
      </c>
      <c r="B8" s="230" t="s">
        <v>3576</v>
      </c>
      <c r="C8" s="230" t="s">
        <v>3577</v>
      </c>
      <c r="D8" s="230" t="s">
        <v>3578</v>
      </c>
      <c r="E8" s="229" t="s">
        <v>3579</v>
      </c>
      <c r="F8" s="233" t="s">
        <v>3580</v>
      </c>
      <c r="G8" s="233" t="s">
        <v>3581</v>
      </c>
      <c r="H8" s="231" t="s">
        <v>3582</v>
      </c>
      <c r="I8" s="231" t="str">
        <f>IFERROR(__xludf.DUMMYFUNCTION("GOOGLETRANSLATE(#REF!,""zh-tw"",""ja"")"),"#REF!")</f>
        <v>#REF!</v>
      </c>
      <c r="J8" s="236" t="s">
        <v>3583</v>
      </c>
      <c r="K8" s="236" t="s">
        <v>3584</v>
      </c>
      <c r="L8" s="234" t="s">
        <v>3585</v>
      </c>
      <c r="M8" s="234" t="s">
        <v>3585</v>
      </c>
      <c r="N8" s="237" t="s">
        <v>723</v>
      </c>
      <c r="O8" s="239" t="s">
        <v>3586</v>
      </c>
      <c r="P8" s="239" t="s">
        <v>3587</v>
      </c>
      <c r="Q8" s="239" t="s">
        <v>3588</v>
      </c>
      <c r="R8" s="237" t="s">
        <v>3589</v>
      </c>
      <c r="S8" s="251"/>
      <c r="T8" s="241"/>
      <c r="U8" s="241"/>
      <c r="V8" s="241"/>
      <c r="W8" s="243"/>
      <c r="X8" s="243"/>
      <c r="Y8" s="243"/>
      <c r="Z8" s="243"/>
      <c r="AA8" s="243"/>
    </row>
    <row r="9">
      <c r="A9" s="229" t="s">
        <v>723</v>
      </c>
      <c r="B9" s="230" t="s">
        <v>3590</v>
      </c>
      <c r="C9" s="230" t="s">
        <v>3591</v>
      </c>
      <c r="D9" s="244" t="s">
        <v>723</v>
      </c>
      <c r="E9" s="252" t="s">
        <v>3592</v>
      </c>
      <c r="F9" s="233" t="s">
        <v>3593</v>
      </c>
      <c r="G9" s="233" t="s">
        <v>3594</v>
      </c>
      <c r="H9" s="233" t="s">
        <v>3595</v>
      </c>
      <c r="I9" s="231" t="s">
        <v>723</v>
      </c>
      <c r="J9" s="236" t="s">
        <v>3596</v>
      </c>
      <c r="K9" s="236" t="s">
        <v>3597</v>
      </c>
      <c r="L9" s="235" t="s">
        <v>723</v>
      </c>
      <c r="M9" s="236" t="s">
        <v>3598</v>
      </c>
      <c r="N9" s="237" t="s">
        <v>723</v>
      </c>
      <c r="O9" s="239" t="s">
        <v>3599</v>
      </c>
      <c r="P9" s="239" t="s">
        <v>3600</v>
      </c>
      <c r="Q9" s="238" t="s">
        <v>723</v>
      </c>
      <c r="R9" s="239" t="s">
        <v>3601</v>
      </c>
      <c r="S9" s="240"/>
      <c r="T9" s="241"/>
      <c r="U9" s="241"/>
      <c r="V9" s="241"/>
      <c r="W9" s="243"/>
      <c r="X9" s="243"/>
      <c r="Y9" s="243"/>
      <c r="Z9" s="243"/>
      <c r="AA9" s="243"/>
    </row>
    <row r="10" ht="60.0" customHeight="1">
      <c r="A10" s="229" t="s">
        <v>723</v>
      </c>
      <c r="B10" s="230" t="s">
        <v>3602</v>
      </c>
      <c r="C10" s="253" t="s">
        <v>3603</v>
      </c>
      <c r="D10" s="230" t="s">
        <v>3604</v>
      </c>
      <c r="E10" s="230" t="s">
        <v>3605</v>
      </c>
      <c r="F10" s="233" t="s">
        <v>3606</v>
      </c>
      <c r="G10" s="254" t="s">
        <v>3607</v>
      </c>
      <c r="H10" s="233" t="s">
        <v>3608</v>
      </c>
      <c r="I10" s="232" t="s">
        <v>723</v>
      </c>
      <c r="J10" s="236" t="s">
        <v>3609</v>
      </c>
      <c r="K10" s="255" t="s">
        <v>3610</v>
      </c>
      <c r="L10" s="236" t="s">
        <v>3611</v>
      </c>
      <c r="M10" s="236" t="s">
        <v>3612</v>
      </c>
      <c r="N10" s="237" t="s">
        <v>723</v>
      </c>
      <c r="O10" s="256" t="s">
        <v>3613</v>
      </c>
      <c r="P10" s="257" t="s">
        <v>3614</v>
      </c>
      <c r="Q10" s="239" t="s">
        <v>3615</v>
      </c>
      <c r="R10" s="258" t="s">
        <v>3616</v>
      </c>
      <c r="S10" s="240"/>
      <c r="T10" s="259"/>
      <c r="U10" s="241"/>
      <c r="V10" s="241"/>
      <c r="W10" s="260"/>
      <c r="X10" s="260"/>
      <c r="Y10" s="260"/>
      <c r="Z10" s="260"/>
      <c r="AA10" s="260"/>
    </row>
    <row r="11" ht="65.25" customHeight="1">
      <c r="A11" s="229" t="s">
        <v>723</v>
      </c>
      <c r="B11" s="230" t="s">
        <v>3617</v>
      </c>
      <c r="C11" s="261"/>
      <c r="D11" s="245" t="s">
        <v>3618</v>
      </c>
      <c r="E11" s="245" t="s">
        <v>3619</v>
      </c>
      <c r="F11" s="233" t="s">
        <v>3620</v>
      </c>
      <c r="G11" s="261"/>
      <c r="H11" s="233" t="s">
        <v>3621</v>
      </c>
      <c r="I11" s="233" t="s">
        <v>3622</v>
      </c>
      <c r="J11" s="236" t="s">
        <v>3623</v>
      </c>
      <c r="K11" s="261"/>
      <c r="L11" s="236" t="s">
        <v>3624</v>
      </c>
      <c r="M11" s="236" t="s">
        <v>3625</v>
      </c>
      <c r="N11" s="237" t="s">
        <v>723</v>
      </c>
      <c r="O11" s="239" t="s">
        <v>3626</v>
      </c>
      <c r="P11" s="261"/>
      <c r="Q11" s="239" t="s">
        <v>3627</v>
      </c>
      <c r="R11" s="239" t="s">
        <v>3628</v>
      </c>
      <c r="S11" s="240"/>
      <c r="T11" s="219"/>
      <c r="U11" s="241"/>
      <c r="V11" s="241"/>
      <c r="W11" s="262"/>
      <c r="X11" s="262"/>
      <c r="Y11" s="262"/>
      <c r="Z11" s="262"/>
      <c r="AA11" s="262"/>
    </row>
    <row r="12">
      <c r="A12" s="229" t="s">
        <v>723</v>
      </c>
      <c r="B12" s="230" t="s">
        <v>3629</v>
      </c>
      <c r="C12" s="229" t="s">
        <v>3630</v>
      </c>
      <c r="D12" s="230" t="s">
        <v>3631</v>
      </c>
      <c r="E12" s="245" t="s">
        <v>3632</v>
      </c>
      <c r="F12" s="233" t="s">
        <v>3633</v>
      </c>
      <c r="G12" s="231" t="s">
        <v>3634</v>
      </c>
      <c r="H12" s="231" t="str">
        <f>IFERROR(__xludf.DUMMYFUNCTION("GOOGLETRANSLATE(D12,""zh-tw"",""ja"")"),"▲
ハンターズロッジ
R69
▼")</f>
        <v>▲
ハンターズロッジ
R69
▼</v>
      </c>
      <c r="I12" s="231" t="str">
        <f>IFERROR(__xludf.DUMMYFUNCTION("GOOGLETRANSLATE(#REF!,""zh-tw"",""ja"")"),"#REF!")</f>
        <v>#REF!</v>
      </c>
      <c r="J12" s="236" t="s">
        <v>3635</v>
      </c>
      <c r="K12" s="234" t="s">
        <v>3636</v>
      </c>
      <c r="L12" s="234" t="s">
        <v>3637</v>
      </c>
      <c r="M12" s="236" t="s">
        <v>3638</v>
      </c>
      <c r="N12" s="237" t="s">
        <v>723</v>
      </c>
      <c r="O12" s="239" t="s">
        <v>3639</v>
      </c>
      <c r="P12" s="237" t="str">
        <f>IFERROR(__xludf.DUMMYFUNCTION("GOOGLETRANSLATE(C12,""zh-tw"",""zh"")"),"提前回家
R1")</f>
        <v>提前回家
R1</v>
      </c>
      <c r="Q12" s="239" t="s">
        <v>3640</v>
      </c>
      <c r="R12" s="239" t="s">
        <v>3641</v>
      </c>
      <c r="S12" s="240"/>
      <c r="T12" s="241"/>
      <c r="U12" s="241"/>
      <c r="V12" s="241"/>
      <c r="W12" s="243"/>
      <c r="X12" s="243"/>
      <c r="Y12" s="243"/>
      <c r="Z12" s="243"/>
      <c r="AA12" s="243"/>
    </row>
    <row r="13">
      <c r="A13" s="229" t="s">
        <v>723</v>
      </c>
      <c r="B13" s="230" t="s">
        <v>3642</v>
      </c>
      <c r="C13" s="229" t="s">
        <v>3643</v>
      </c>
      <c r="D13" s="230" t="s">
        <v>3644</v>
      </c>
      <c r="E13" s="229" t="s">
        <v>723</v>
      </c>
      <c r="F13" s="232"/>
      <c r="G13" s="231"/>
      <c r="H13" s="231"/>
      <c r="I13" s="231"/>
      <c r="J13" s="236" t="s">
        <v>3645</v>
      </c>
      <c r="K13" s="234" t="s">
        <v>3646</v>
      </c>
      <c r="L13" s="234" t="s">
        <v>3647</v>
      </c>
      <c r="M13" s="234"/>
      <c r="N13" s="237" t="s">
        <v>723</v>
      </c>
      <c r="O13" s="239" t="s">
        <v>3648</v>
      </c>
      <c r="P13" s="237" t="s">
        <v>3649</v>
      </c>
      <c r="Q13" s="239" t="s">
        <v>3650</v>
      </c>
      <c r="R13" s="237" t="s">
        <v>723</v>
      </c>
      <c r="S13" s="240"/>
      <c r="T13" s="241"/>
      <c r="U13" s="241"/>
      <c r="V13" s="263"/>
      <c r="W13" s="243"/>
      <c r="X13" s="243"/>
      <c r="Y13" s="243"/>
      <c r="Z13" s="243"/>
      <c r="AA13" s="243"/>
    </row>
    <row r="14">
      <c r="A14" s="229" t="s">
        <v>723</v>
      </c>
      <c r="B14" s="230" t="s">
        <v>3651</v>
      </c>
      <c r="C14" s="229" t="s">
        <v>2585</v>
      </c>
      <c r="D14" s="229" t="s">
        <v>723</v>
      </c>
      <c r="E14" s="229" t="s">
        <v>723</v>
      </c>
      <c r="F14" s="232"/>
      <c r="G14" s="231"/>
      <c r="H14" s="231"/>
      <c r="I14" s="231"/>
      <c r="J14" s="236" t="s">
        <v>3652</v>
      </c>
      <c r="K14" s="234" t="s">
        <v>2591</v>
      </c>
      <c r="L14" s="234"/>
      <c r="M14" s="234"/>
      <c r="N14" s="237" t="s">
        <v>723</v>
      </c>
      <c r="O14" s="239" t="s">
        <v>3653</v>
      </c>
      <c r="P14" s="237" t="s">
        <v>3654</v>
      </c>
      <c r="Q14" s="237" t="s">
        <v>723</v>
      </c>
      <c r="R14" s="237" t="s">
        <v>723</v>
      </c>
      <c r="S14" s="264"/>
      <c r="T14" s="241"/>
      <c r="U14" s="263"/>
      <c r="V14" s="263"/>
      <c r="W14" s="243"/>
      <c r="X14" s="243"/>
      <c r="Y14" s="243"/>
      <c r="Z14" s="243"/>
      <c r="AA14" s="243"/>
    </row>
    <row r="15">
      <c r="A15" s="229" t="s">
        <v>3655</v>
      </c>
      <c r="B15" s="230" t="s">
        <v>3656</v>
      </c>
      <c r="C15" s="229" t="s">
        <v>3657</v>
      </c>
      <c r="D15" s="229" t="s">
        <v>723</v>
      </c>
      <c r="E15" s="229" t="s">
        <v>723</v>
      </c>
      <c r="F15" s="232"/>
      <c r="G15" s="231"/>
      <c r="H15" s="231"/>
      <c r="I15" s="231"/>
      <c r="J15" s="236" t="s">
        <v>3658</v>
      </c>
      <c r="K15" s="234" t="s">
        <v>3659</v>
      </c>
      <c r="L15" s="234"/>
      <c r="M15" s="234"/>
      <c r="N15" s="237" t="s">
        <v>3660</v>
      </c>
      <c r="O15" s="239" t="s">
        <v>3661</v>
      </c>
      <c r="P15" s="237" t="s">
        <v>3660</v>
      </c>
      <c r="Q15" s="237" t="s">
        <v>723</v>
      </c>
      <c r="R15" s="237" t="s">
        <v>723</v>
      </c>
      <c r="S15" s="240"/>
      <c r="T15" s="241"/>
      <c r="U15" s="263"/>
      <c r="V15" s="263"/>
      <c r="W15" s="243"/>
      <c r="X15" s="243"/>
      <c r="Y15" s="243"/>
      <c r="Z15" s="243"/>
      <c r="AA15" s="243"/>
    </row>
    <row r="16">
      <c r="A16" s="223" t="s">
        <v>3567</v>
      </c>
      <c r="B16" s="224"/>
      <c r="C16" s="224"/>
      <c r="D16" s="224"/>
      <c r="E16" s="225"/>
      <c r="F16" s="223" t="str">
        <f>IFERROR(__xludf.DUMMYFUNCTION("GOOGLETRANSLATE(A16,""zh-tw"",""ja"")"),"遺跡エリア")</f>
        <v>遺跡エリア</v>
      </c>
      <c r="G16" s="224"/>
      <c r="H16" s="224"/>
      <c r="I16" s="225"/>
      <c r="J16" s="223" t="s">
        <v>3662</v>
      </c>
      <c r="K16" s="224"/>
      <c r="L16" s="224"/>
      <c r="M16" s="225"/>
      <c r="N16" s="223" t="s">
        <v>3574</v>
      </c>
      <c r="O16" s="224"/>
      <c r="P16" s="224"/>
      <c r="Q16" s="224"/>
      <c r="R16" s="225"/>
      <c r="S16" s="265"/>
      <c r="T16" s="218"/>
      <c r="U16" s="218"/>
      <c r="V16" s="219"/>
      <c r="W16" s="266"/>
      <c r="X16" s="266"/>
      <c r="Y16" s="266"/>
      <c r="Z16" s="266"/>
      <c r="AA16" s="266"/>
      <c r="AB16" s="266"/>
    </row>
    <row r="17">
      <c r="A17" s="229" t="s">
        <v>723</v>
      </c>
      <c r="B17" s="229" t="s">
        <v>723</v>
      </c>
      <c r="C17" s="230" t="s">
        <v>3663</v>
      </c>
      <c r="D17" s="229" t="s">
        <v>723</v>
      </c>
      <c r="E17" s="229" t="s">
        <v>723</v>
      </c>
      <c r="F17" s="231"/>
      <c r="G17" s="267" t="s">
        <v>3664</v>
      </c>
      <c r="H17" s="268"/>
      <c r="I17" s="268"/>
      <c r="J17" s="269"/>
      <c r="K17" s="270" t="s">
        <v>3665</v>
      </c>
      <c r="L17" s="269"/>
      <c r="M17" s="269"/>
      <c r="N17" s="271" t="s">
        <v>723</v>
      </c>
      <c r="O17" s="271" t="s">
        <v>723</v>
      </c>
      <c r="P17" s="272" t="s">
        <v>3666</v>
      </c>
      <c r="Q17" s="271" t="s">
        <v>723</v>
      </c>
      <c r="R17" s="271" t="s">
        <v>723</v>
      </c>
      <c r="S17" s="273"/>
      <c r="T17" s="274"/>
      <c r="U17" s="263"/>
      <c r="V17" s="263"/>
      <c r="W17" s="275"/>
      <c r="X17" s="275"/>
      <c r="Y17" s="275"/>
      <c r="Z17" s="275"/>
      <c r="AA17" s="275"/>
      <c r="AB17" s="275"/>
    </row>
    <row r="18">
      <c r="A18" s="229" t="s">
        <v>723</v>
      </c>
      <c r="B18" s="230" t="s">
        <v>3667</v>
      </c>
      <c r="C18" s="230" t="s">
        <v>3668</v>
      </c>
      <c r="D18" s="229" t="s">
        <v>723</v>
      </c>
      <c r="E18" s="229" t="s">
        <v>723</v>
      </c>
      <c r="F18" s="233" t="s">
        <v>3669</v>
      </c>
      <c r="G18" s="233" t="s">
        <v>3670</v>
      </c>
      <c r="H18" s="268"/>
      <c r="I18" s="268"/>
      <c r="J18" s="276" t="s">
        <v>3671</v>
      </c>
      <c r="K18" s="277" t="s">
        <v>3672</v>
      </c>
      <c r="L18" s="269"/>
      <c r="M18" s="269"/>
      <c r="N18" s="271" t="s">
        <v>723</v>
      </c>
      <c r="O18" s="278" t="s">
        <v>3673</v>
      </c>
      <c r="P18" s="278" t="s">
        <v>3674</v>
      </c>
      <c r="Q18" s="271" t="s">
        <v>723</v>
      </c>
      <c r="R18" s="271" t="s">
        <v>723</v>
      </c>
      <c r="S18" s="251"/>
      <c r="T18" s="241"/>
      <c r="U18" s="263"/>
      <c r="V18" s="263"/>
      <c r="W18" s="275"/>
      <c r="X18" s="275"/>
      <c r="Y18" s="275"/>
      <c r="Z18" s="275"/>
      <c r="AA18" s="275"/>
      <c r="AB18" s="275"/>
    </row>
    <row r="19">
      <c r="A19" s="229" t="s">
        <v>723</v>
      </c>
      <c r="B19" s="229" t="s">
        <v>723</v>
      </c>
      <c r="C19" s="279" t="s">
        <v>3675</v>
      </c>
      <c r="D19" s="229" t="s">
        <v>3676</v>
      </c>
      <c r="E19" s="229" t="s">
        <v>723</v>
      </c>
      <c r="F19" s="231"/>
      <c r="G19" s="280" t="s">
        <v>3677</v>
      </c>
      <c r="H19" s="268"/>
      <c r="I19" s="268"/>
      <c r="J19" s="269"/>
      <c r="K19" s="281" t="s">
        <v>3678</v>
      </c>
      <c r="L19" s="269"/>
      <c r="M19" s="269"/>
      <c r="N19" s="271" t="s">
        <v>723</v>
      </c>
      <c r="O19" s="271" t="s">
        <v>723</v>
      </c>
      <c r="P19" s="282" t="s">
        <v>3679</v>
      </c>
      <c r="Q19" s="271" t="s">
        <v>3680</v>
      </c>
      <c r="R19" s="271" t="s">
        <v>723</v>
      </c>
      <c r="S19" s="273"/>
      <c r="T19" s="250"/>
      <c r="U19" s="263"/>
      <c r="V19" s="263"/>
      <c r="W19" s="275"/>
      <c r="X19" s="275"/>
      <c r="Y19" s="275"/>
      <c r="Z19" s="275"/>
      <c r="AA19" s="275"/>
      <c r="AB19" s="275"/>
    </row>
    <row r="20">
      <c r="A20" s="229" t="s">
        <v>723</v>
      </c>
      <c r="B20" s="229" t="s">
        <v>723</v>
      </c>
      <c r="C20" s="279" t="s">
        <v>3681</v>
      </c>
      <c r="D20" s="230" t="s">
        <v>3682</v>
      </c>
      <c r="E20" s="229" t="s">
        <v>723</v>
      </c>
      <c r="F20" s="231"/>
      <c r="G20" s="280" t="s">
        <v>3683</v>
      </c>
      <c r="H20" s="233" t="s">
        <v>3684</v>
      </c>
      <c r="I20" s="268"/>
      <c r="J20" s="269"/>
      <c r="K20" s="283" t="s">
        <v>3685</v>
      </c>
      <c r="L20" s="236" t="s">
        <v>3686</v>
      </c>
      <c r="M20" s="269"/>
      <c r="N20" s="271" t="s">
        <v>723</v>
      </c>
      <c r="O20" s="271" t="s">
        <v>723</v>
      </c>
      <c r="P20" s="284" t="s">
        <v>3687</v>
      </c>
      <c r="Q20" s="278" t="s">
        <v>3688</v>
      </c>
      <c r="R20" s="271" t="s">
        <v>723</v>
      </c>
      <c r="S20" s="273"/>
      <c r="T20" s="241"/>
      <c r="U20" s="242"/>
      <c r="V20" s="263"/>
      <c r="W20" s="275"/>
      <c r="X20" s="275"/>
      <c r="Y20" s="275"/>
      <c r="Z20" s="275"/>
      <c r="AA20" s="275"/>
      <c r="AB20" s="275"/>
    </row>
    <row r="21">
      <c r="A21" s="285" t="s">
        <v>723</v>
      </c>
      <c r="B21" s="285" t="s">
        <v>723</v>
      </c>
      <c r="C21" s="230" t="s">
        <v>3689</v>
      </c>
      <c r="D21" s="229" t="s">
        <v>723</v>
      </c>
      <c r="E21" s="229" t="s">
        <v>723</v>
      </c>
      <c r="F21" s="231"/>
      <c r="G21" s="233" t="s">
        <v>3690</v>
      </c>
      <c r="H21" s="268"/>
      <c r="I21" s="268"/>
      <c r="J21" s="269"/>
      <c r="K21" s="277" t="s">
        <v>3691</v>
      </c>
      <c r="L21" s="269"/>
      <c r="M21" s="269"/>
      <c r="N21" s="271" t="s">
        <v>723</v>
      </c>
      <c r="O21" s="271" t="s">
        <v>723</v>
      </c>
      <c r="P21" s="278" t="s">
        <v>3692</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Y1" s="291" t="s">
        <v>3693</v>
      </c>
      <c r="AB1" s="292"/>
      <c r="AC1" s="292"/>
      <c r="AD1" s="292"/>
      <c r="AE1" s="292"/>
    </row>
    <row r="2" ht="41.25" customHeight="1">
      <c r="AB2" s="292"/>
      <c r="AC2" s="292"/>
      <c r="AD2" s="292"/>
      <c r="AE2" s="292"/>
    </row>
    <row r="3" ht="88.5" customHeight="1">
      <c r="A3" s="70" t="s">
        <v>3694</v>
      </c>
      <c r="B3" s="293" t="s">
        <v>3695</v>
      </c>
      <c r="C3" s="294" t="s">
        <v>3696</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3697</v>
      </c>
      <c r="H3" s="293" t="s">
        <v>3698</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3699</v>
      </c>
      <c r="W3" s="14" t="s">
        <v>3700</v>
      </c>
      <c r="X3" s="301" t="s">
        <v>3701</v>
      </c>
      <c r="Y3" s="160" t="s">
        <v>3702</v>
      </c>
      <c r="Z3" s="302" t="s">
        <v>3703</v>
      </c>
      <c r="AA3" s="303" t="s">
        <v>3704</v>
      </c>
      <c r="AB3" s="304"/>
      <c r="AC3" s="304"/>
      <c r="AD3" s="304"/>
      <c r="AE3" s="304"/>
    </row>
    <row r="4">
      <c r="A4" s="100" t="s">
        <v>3705</v>
      </c>
      <c r="B4" s="117" t="s">
        <v>3706</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3707</v>
      </c>
      <c r="H4" s="309" t="s">
        <v>3708</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3709</v>
      </c>
      <c r="W4" s="309" t="s">
        <v>3710</v>
      </c>
      <c r="X4" s="311" t="s">
        <v>3711</v>
      </c>
      <c r="Y4" s="94" t="s">
        <v>3712</v>
      </c>
      <c r="Z4" s="123" t="s">
        <v>3713</v>
      </c>
      <c r="AA4" s="312" t="s">
        <v>723</v>
      </c>
      <c r="AB4" s="17"/>
      <c r="AC4" s="17"/>
      <c r="AD4" s="17"/>
      <c r="AE4" s="17"/>
    </row>
    <row r="5">
      <c r="A5" s="100" t="s">
        <v>3714</v>
      </c>
      <c r="B5" s="117" t="s">
        <v>3715</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3716</v>
      </c>
      <c r="H5" s="309" t="s">
        <v>3717</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3718</v>
      </c>
      <c r="Q5" s="117" t="s">
        <v>3719</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3720</v>
      </c>
      <c r="W5" s="309" t="s">
        <v>3721</v>
      </c>
      <c r="X5" s="311" t="s">
        <v>3711</v>
      </c>
      <c r="Y5" s="94" t="s">
        <v>3722</v>
      </c>
      <c r="Z5" s="123" t="s">
        <v>3723</v>
      </c>
      <c r="AA5" s="312" t="s">
        <v>723</v>
      </c>
      <c r="AB5" s="17"/>
      <c r="AC5" s="17"/>
      <c r="AD5" s="17"/>
      <c r="AE5" s="17"/>
    </row>
    <row r="6">
      <c r="A6" s="100" t="s">
        <v>3724</v>
      </c>
      <c r="B6" s="117" t="s">
        <v>3725</v>
      </c>
      <c r="C6" s="305" t="s">
        <v>723</v>
      </c>
      <c r="D6" s="306" t="str">
        <f>IFERROR(__xludf.DUMMYFUNCTION("GOOGLETRANSLATE(A6,""zh-tw"",""ja"")"),"猫スライム")</f>
        <v>猫スライム</v>
      </c>
      <c r="E6" s="309" t="s">
        <v>3726</v>
      </c>
      <c r="F6" s="308" t="str">
        <f>IFERROR(__xludf.DUMMYFUNCTION("GOOGLETRANSLATE(C6,""zh-tw"",""ja"")"),"-")</f>
        <v>-</v>
      </c>
      <c r="G6" s="126" t="s">
        <v>3727</v>
      </c>
      <c r="H6" s="309" t="s">
        <v>3728</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3729</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3730</v>
      </c>
      <c r="W6" s="309" t="s">
        <v>3731</v>
      </c>
      <c r="X6" s="311" t="s">
        <v>3711</v>
      </c>
      <c r="Y6" s="94" t="s">
        <v>3732</v>
      </c>
      <c r="Z6" s="123" t="s">
        <v>3733</v>
      </c>
      <c r="AA6" s="312" t="s">
        <v>723</v>
      </c>
      <c r="AB6" s="17"/>
      <c r="AC6" s="17"/>
      <c r="AD6" s="17"/>
      <c r="AE6" s="17"/>
    </row>
    <row r="7">
      <c r="A7" s="100" t="s">
        <v>3734</v>
      </c>
      <c r="B7" s="117" t="s">
        <v>3735</v>
      </c>
      <c r="C7" s="305" t="s">
        <v>723</v>
      </c>
      <c r="D7" s="306" t="str">
        <f>IFERROR(__xludf.DUMMYFUNCTION("GOOGLETRANSLATE(A7,""zh-tw"",""ja"")"),"草食スライム")</f>
        <v>草食スライム</v>
      </c>
      <c r="E7" s="309" t="s">
        <v>3736</v>
      </c>
      <c r="F7" s="308" t="str">
        <f>IFERROR(__xludf.DUMMYFUNCTION("GOOGLETRANSLATE(C7,""zh-tw"",""ja"")"),"-")</f>
        <v>-</v>
      </c>
      <c r="G7" s="126" t="s">
        <v>3737</v>
      </c>
      <c r="H7" s="309" t="s">
        <v>3738</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3739</v>
      </c>
      <c r="Q7" s="117" t="s">
        <v>3740</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3741</v>
      </c>
      <c r="W7" s="309" t="s">
        <v>3742</v>
      </c>
      <c r="X7" s="311" t="s">
        <v>3711</v>
      </c>
      <c r="Y7" s="94" t="s">
        <v>3743</v>
      </c>
      <c r="Z7" s="123" t="s">
        <v>3744</v>
      </c>
      <c r="AA7" s="312" t="s">
        <v>723</v>
      </c>
      <c r="AB7" s="17"/>
      <c r="AC7" s="17"/>
      <c r="AD7" s="17"/>
      <c r="AE7" s="17"/>
    </row>
    <row r="8">
      <c r="A8" s="100" t="s">
        <v>3745</v>
      </c>
      <c r="B8" s="117" t="s">
        <v>3746</v>
      </c>
      <c r="C8" s="305" t="s">
        <v>723</v>
      </c>
      <c r="D8" s="126" t="s">
        <v>3747</v>
      </c>
      <c r="E8" s="309" t="s">
        <v>3748</v>
      </c>
      <c r="F8" s="308" t="str">
        <f>IFERROR(__xludf.DUMMYFUNCTION("GOOGLETRANSLATE(C8,""zh-tw"",""ja"")"),"-")</f>
        <v>-</v>
      </c>
      <c r="G8" s="126" t="s">
        <v>3749</v>
      </c>
      <c r="H8" s="309" t="s">
        <v>3750</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0" t="str">
        <f>IFERROR(__xludf.DUMMYFUNCTION("GOOGLETRANSLATE(C8,""zh-tw"",""es-MX"")"),"-")</f>
        <v>-</v>
      </c>
      <c r="P8" s="100" t="s">
        <v>3751</v>
      </c>
      <c r="Q8" s="117" t="s">
        <v>3752</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3753</v>
      </c>
      <c r="W8" s="309" t="s">
        <v>3754</v>
      </c>
      <c r="X8" s="311" t="s">
        <v>3711</v>
      </c>
      <c r="Y8" s="94" t="s">
        <v>3755</v>
      </c>
      <c r="Z8" s="123" t="s">
        <v>3756</v>
      </c>
      <c r="AA8" s="312" t="s">
        <v>723</v>
      </c>
      <c r="AB8" s="17"/>
      <c r="AC8" s="17"/>
      <c r="AD8" s="17"/>
      <c r="AE8" s="17"/>
    </row>
    <row r="9">
      <c r="A9" s="100" t="s">
        <v>3757</v>
      </c>
      <c r="B9" s="117" t="s">
        <v>3758</v>
      </c>
      <c r="C9" s="305" t="s">
        <v>723</v>
      </c>
      <c r="D9" s="306" t="str">
        <f>IFERROR(__xludf.DUMMYFUNCTION("GOOGLETRANSLATE(A9,""zh-tw"",""ja"")"),"ジャックスライム")</f>
        <v>ジャックスライム</v>
      </c>
      <c r="E9" s="309" t="s">
        <v>3759</v>
      </c>
      <c r="F9" s="308" t="str">
        <f>IFERROR(__xludf.DUMMYFUNCTION("GOOGLETRANSLATE(C9,""zh-tw"",""ja"")"),"-")</f>
        <v>-</v>
      </c>
      <c r="G9" s="126" t="s">
        <v>3760</v>
      </c>
      <c r="H9" s="309" t="s">
        <v>3761</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3762</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3763</v>
      </c>
      <c r="W9" s="309" t="s">
        <v>3764</v>
      </c>
      <c r="X9" s="311" t="s">
        <v>3711</v>
      </c>
      <c r="Y9" s="94" t="s">
        <v>3765</v>
      </c>
      <c r="Z9" s="123" t="s">
        <v>3766</v>
      </c>
      <c r="AA9" s="312" t="s">
        <v>723</v>
      </c>
      <c r="AB9" s="17"/>
      <c r="AC9" s="17"/>
      <c r="AD9" s="17"/>
      <c r="AE9" s="17"/>
    </row>
    <row r="10" ht="41.25" customHeight="1">
      <c r="A10" s="100" t="s">
        <v>3767</v>
      </c>
      <c r="B10" s="117" t="s">
        <v>3768</v>
      </c>
      <c r="C10" s="305" t="s">
        <v>723</v>
      </c>
      <c r="D10" s="126" t="s">
        <v>3769</v>
      </c>
      <c r="E10" s="309" t="s">
        <v>3770</v>
      </c>
      <c r="F10" s="308" t="str">
        <f>IFERROR(__xludf.DUMMYFUNCTION("GOOGLETRANSLATE(C10,""zh-tw"",""ja"")"),"-")</f>
        <v>-</v>
      </c>
      <c r="G10" s="126" t="s">
        <v>3771</v>
      </c>
      <c r="H10" s="309" t="s">
        <v>3772</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3773</v>
      </c>
      <c r="Q10" s="117" t="s">
        <v>3774</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3775</v>
      </c>
      <c r="W10" s="309" t="s">
        <v>3776</v>
      </c>
      <c r="X10" s="311" t="s">
        <v>3711</v>
      </c>
      <c r="Y10" s="94" t="s">
        <v>3777</v>
      </c>
      <c r="Z10" s="123" t="s">
        <v>3778</v>
      </c>
      <c r="AA10" s="312" t="s">
        <v>723</v>
      </c>
      <c r="AB10" s="17"/>
      <c r="AC10" s="17"/>
      <c r="AD10" s="17"/>
      <c r="AE10" s="17"/>
    </row>
    <row r="11">
      <c r="A11" s="100" t="s">
        <v>3779</v>
      </c>
      <c r="B11" s="117" t="s">
        <v>3780</v>
      </c>
      <c r="C11" s="305" t="s">
        <v>723</v>
      </c>
      <c r="D11" s="306" t="str">
        <f>IFERROR(__xludf.DUMMYFUNCTION("GOOGLETRANSLATE(A11,""zh-tw"",""ja"")"),"ビリビリスライム")</f>
        <v>ビリビリスライム</v>
      </c>
      <c r="E11" s="309" t="s">
        <v>3781</v>
      </c>
      <c r="F11" s="308" t="str">
        <f>IFERROR(__xludf.DUMMYFUNCTION("GOOGLETRANSLATE(C11,""zh-tw"",""ja"")"),"-")</f>
        <v>-</v>
      </c>
      <c r="G11" s="126" t="s">
        <v>3782</v>
      </c>
      <c r="H11" s="309" t="s">
        <v>3783</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3784</v>
      </c>
      <c r="Q11" s="117" t="s">
        <v>3785</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3786</v>
      </c>
      <c r="W11" s="309" t="s">
        <v>3787</v>
      </c>
      <c r="X11" s="311" t="s">
        <v>3711</v>
      </c>
      <c r="Y11" s="94" t="s">
        <v>3788</v>
      </c>
      <c r="Z11" s="123" t="s">
        <v>3789</v>
      </c>
      <c r="AA11" s="312" t="s">
        <v>723</v>
      </c>
      <c r="AB11" s="17"/>
      <c r="AC11" s="17"/>
      <c r="AD11" s="17"/>
      <c r="AE11" s="17"/>
    </row>
    <row r="12">
      <c r="A12" s="100" t="s">
        <v>3790</v>
      </c>
      <c r="B12" s="117" t="s">
        <v>3791</v>
      </c>
      <c r="C12" s="305" t="s">
        <v>723</v>
      </c>
      <c r="D12" s="126" t="s">
        <v>3792</v>
      </c>
      <c r="E12" s="309" t="s">
        <v>3793</v>
      </c>
      <c r="F12" s="308" t="str">
        <f>IFERROR(__xludf.DUMMYFUNCTION("GOOGLETRANSLATE(C12,""zh-tw"",""ja"")"),"-")</f>
        <v>-</v>
      </c>
      <c r="G12" s="126" t="s">
        <v>3794</v>
      </c>
      <c r="H12" s="309" t="s">
        <v>3795</v>
      </c>
      <c r="I12" s="308" t="str">
        <f>IFERROR(__xludf.DUMMYFUNCTION("GOOGLETRANSLATE(C12,""zh-tw"",""en"")"),"-")</f>
        <v>-</v>
      </c>
      <c r="J12" s="306" t="str">
        <f>IFERROR(__xludf.DUMMYFUNCTION("GOOGLETRANSLATE(A12,""zh-tw"",""zh"")"),"初级兽人")</f>
        <v>初级兽人</v>
      </c>
      <c r="K12" s="309" t="s">
        <v>3796</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3797</v>
      </c>
      <c r="Q12" s="117" t="s">
        <v>3798</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3799</v>
      </c>
      <c r="W12" s="309" t="s">
        <v>3800</v>
      </c>
      <c r="X12" s="311" t="s">
        <v>3711</v>
      </c>
      <c r="Y12" s="94" t="s">
        <v>3801</v>
      </c>
      <c r="Z12" s="123" t="s">
        <v>3802</v>
      </c>
      <c r="AA12" s="312" t="s">
        <v>723</v>
      </c>
      <c r="AB12" s="17"/>
      <c r="AC12" s="17"/>
      <c r="AD12" s="17"/>
      <c r="AE12" s="17"/>
    </row>
    <row r="13">
      <c r="A13" s="100" t="s">
        <v>3803</v>
      </c>
      <c r="B13" s="117" t="s">
        <v>3804</v>
      </c>
      <c r="C13" s="305" t="s">
        <v>723</v>
      </c>
      <c r="D13" s="126" t="s">
        <v>3803</v>
      </c>
      <c r="E13" s="309" t="s">
        <v>3805</v>
      </c>
      <c r="F13" s="308" t="str">
        <f>IFERROR(__xludf.DUMMYFUNCTION("GOOGLETRANSLATE(C13,""zh-tw"",""ja"")"),"-")</f>
        <v>-</v>
      </c>
      <c r="G13" s="126" t="s">
        <v>3806</v>
      </c>
      <c r="H13" s="309" t="s">
        <v>3807</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3808</v>
      </c>
      <c r="Q13" s="117" t="s">
        <v>3809</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3810</v>
      </c>
      <c r="W13" s="309" t="s">
        <v>3811</v>
      </c>
      <c r="X13" s="311" t="s">
        <v>3711</v>
      </c>
      <c r="Y13" s="94" t="s">
        <v>3812</v>
      </c>
      <c r="Z13" s="123" t="s">
        <v>3813</v>
      </c>
      <c r="AA13" s="312" t="s">
        <v>723</v>
      </c>
      <c r="AB13" s="17"/>
      <c r="AC13" s="17"/>
      <c r="AD13" s="17"/>
      <c r="AE13" s="17"/>
    </row>
    <row r="14">
      <c r="A14" s="100" t="s">
        <v>3814</v>
      </c>
      <c r="B14" s="117" t="s">
        <v>3815</v>
      </c>
      <c r="C14" s="305" t="s">
        <v>723</v>
      </c>
      <c r="D14" s="126" t="s">
        <v>3816</v>
      </c>
      <c r="E14" s="309" t="s">
        <v>3817</v>
      </c>
      <c r="F14" s="308" t="str">
        <f>IFERROR(__xludf.DUMMYFUNCTION("GOOGLETRANSLATE(C14,""zh-tw"",""ja"")"),"-")</f>
        <v>-</v>
      </c>
      <c r="G14" s="126" t="s">
        <v>3818</v>
      </c>
      <c r="H14" s="309" t="s">
        <v>3819</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3820</v>
      </c>
      <c r="W14" s="309" t="s">
        <v>3821</v>
      </c>
      <c r="X14" s="311" t="s">
        <v>3711</v>
      </c>
      <c r="Y14" s="94" t="s">
        <v>3822</v>
      </c>
      <c r="Z14" s="123" t="s">
        <v>3823</v>
      </c>
      <c r="AA14" s="312" t="s">
        <v>723</v>
      </c>
      <c r="AB14" s="17"/>
      <c r="AC14" s="17"/>
      <c r="AD14" s="17"/>
      <c r="AE14" s="17"/>
    </row>
    <row r="15">
      <c r="A15" s="100" t="s">
        <v>3824</v>
      </c>
      <c r="B15" s="117" t="s">
        <v>3825</v>
      </c>
      <c r="C15" s="305" t="s">
        <v>723</v>
      </c>
      <c r="D15" s="126" t="s">
        <v>3824</v>
      </c>
      <c r="E15" s="309" t="s">
        <v>3826</v>
      </c>
      <c r="F15" s="308" t="str">
        <f>IFERROR(__xludf.DUMMYFUNCTION("GOOGLETRANSLATE(C15,""zh-tw"",""ja"")"),"-")</f>
        <v>-</v>
      </c>
      <c r="G15" s="126" t="s">
        <v>3827</v>
      </c>
      <c r="H15" s="309" t="s">
        <v>3828</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3829</v>
      </c>
      <c r="Q15" s="117" t="s">
        <v>3830</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3831</v>
      </c>
      <c r="W15" s="309" t="s">
        <v>3832</v>
      </c>
      <c r="X15" s="311" t="s">
        <v>3711</v>
      </c>
      <c r="Y15" s="94" t="s">
        <v>3833</v>
      </c>
      <c r="Z15" s="123" t="s">
        <v>3834</v>
      </c>
      <c r="AA15" s="312" t="s">
        <v>723</v>
      </c>
      <c r="AB15" s="17"/>
      <c r="AC15" s="17"/>
      <c r="AD15" s="17"/>
      <c r="AE15" s="17"/>
    </row>
    <row r="16">
      <c r="A16" s="100" t="s">
        <v>3835</v>
      </c>
      <c r="B16" s="117" t="s">
        <v>3836</v>
      </c>
      <c r="C16" s="305" t="s">
        <v>723</v>
      </c>
      <c r="D16" s="126" t="s">
        <v>3837</v>
      </c>
      <c r="E16" s="309" t="s">
        <v>3838</v>
      </c>
      <c r="F16" s="308" t="str">
        <f>IFERROR(__xludf.DUMMYFUNCTION("GOOGLETRANSLATE(C16,""zh-tw"",""ja"")"),"-")</f>
        <v>-</v>
      </c>
      <c r="G16" s="126" t="s">
        <v>3839</v>
      </c>
      <c r="H16" s="309" t="s">
        <v>3840</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3841</v>
      </c>
      <c r="Q16" s="309" t="s">
        <v>3842</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3843</v>
      </c>
      <c r="W16" s="309" t="s">
        <v>3844</v>
      </c>
      <c r="X16" s="311" t="s">
        <v>3711</v>
      </c>
      <c r="Y16" s="94" t="s">
        <v>3845</v>
      </c>
      <c r="Z16" s="123" t="s">
        <v>3846</v>
      </c>
      <c r="AA16" s="312" t="s">
        <v>723</v>
      </c>
      <c r="AB16" s="17"/>
      <c r="AC16" s="17"/>
      <c r="AD16" s="17"/>
      <c r="AE16" s="17"/>
    </row>
    <row r="17">
      <c r="A17" s="100" t="s">
        <v>3847</v>
      </c>
      <c r="B17" s="117" t="s">
        <v>3848</v>
      </c>
      <c r="C17" s="305" t="s">
        <v>723</v>
      </c>
      <c r="D17" s="126" t="s">
        <v>3849</v>
      </c>
      <c r="E17" s="307" t="str">
        <f>IFERROR(__xludf.DUMMYFUNCTION("GOOGLETRANSLATE(B17,""zh-tw"",""ja"")"),"ナイトソード")</f>
        <v>ナイトソード</v>
      </c>
      <c r="F17" s="308" t="str">
        <f>IFERROR(__xludf.DUMMYFUNCTION("GOOGLETRANSLATE(C17,""zh-tw"",""ja"")"),"-")</f>
        <v>-</v>
      </c>
      <c r="G17" s="126" t="s">
        <v>3850</v>
      </c>
      <c r="H17" s="309" t="s">
        <v>3851</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3852</v>
      </c>
      <c r="Q17" s="117" t="s">
        <v>3853</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3854</v>
      </c>
      <c r="W17" s="309" t="s">
        <v>3855</v>
      </c>
      <c r="X17" s="311" t="s">
        <v>3856</v>
      </c>
      <c r="Y17" s="94" t="s">
        <v>3857</v>
      </c>
      <c r="Z17" s="123" t="s">
        <v>3858</v>
      </c>
      <c r="AA17" s="312" t="s">
        <v>723</v>
      </c>
      <c r="AB17" s="17"/>
      <c r="AC17" s="17"/>
      <c r="AD17" s="17"/>
      <c r="AE17" s="17"/>
    </row>
    <row r="18">
      <c r="A18" s="100" t="s">
        <v>3859</v>
      </c>
      <c r="B18" s="117" t="s">
        <v>3859</v>
      </c>
      <c r="C18" s="305" t="s">
        <v>3860</v>
      </c>
      <c r="D18" s="306" t="str">
        <f>IFERROR(__xludf.DUMMYFUNCTION("GOOGLETRANSLATE(A18,""zh-tw"",""ja"")"),"とても大きな卵")</f>
        <v>とても大きな卵</v>
      </c>
      <c r="E18" s="307" t="str">
        <f>IFERROR(__xludf.DUMMYFUNCTION("GOOGLETRANSLATE(B18,""zh-tw"",""ja"")"),"とても大きな卵")</f>
        <v>とても大きな卵</v>
      </c>
      <c r="F18" s="311" t="s">
        <v>3861</v>
      </c>
      <c r="G18" s="126" t="s">
        <v>3862</v>
      </c>
      <c r="H18" s="309" t="s">
        <v>3862</v>
      </c>
      <c r="I18" s="311" t="s">
        <v>3863</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al pie de las ruinas (no se puede romper)")</f>
        <v>Recogido al pie de las ruinas (no se puede romper)</v>
      </c>
      <c r="P18" s="100" t="s">
        <v>3864</v>
      </c>
      <c r="Q18" s="117" t="s">
        <v>3864</v>
      </c>
      <c r="R18" s="305" t="s">
        <v>3865</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3866</v>
      </c>
      <c r="W18" s="309" t="s">
        <v>3867</v>
      </c>
      <c r="X18" s="311" t="s">
        <v>3868</v>
      </c>
      <c r="Y18" s="94" t="s">
        <v>3869</v>
      </c>
      <c r="Z18" s="123" t="s">
        <v>3869</v>
      </c>
      <c r="AA18" s="312" t="s">
        <v>3870</v>
      </c>
      <c r="AB18" s="17"/>
      <c r="AC18" s="17"/>
      <c r="AD18" s="17"/>
      <c r="AE18" s="17"/>
    </row>
    <row r="19">
      <c r="A19" s="100" t="s">
        <v>3871</v>
      </c>
      <c r="B19" s="117" t="s">
        <v>3872</v>
      </c>
      <c r="C19" s="305" t="s">
        <v>3873</v>
      </c>
      <c r="D19" s="126" t="s">
        <v>3874</v>
      </c>
      <c r="E19" s="307" t="str">
        <f>IFERROR(__xludf.DUMMYFUNCTION("GOOGLETRANSLATE(B19,""zh-tw"",""ja"")"),"キノコ")</f>
        <v>キノコ</v>
      </c>
      <c r="F19" s="311" t="s">
        <v>3875</v>
      </c>
      <c r="G19" s="126" t="s">
        <v>3876</v>
      </c>
      <c r="H19" s="309" t="s">
        <v>3877</v>
      </c>
      <c r="I19" s="311" t="s">
        <v>3878</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pasaje que conduce al Bosque Brumoso.")</f>
        <v>Recogido en el pasaje que conduce al Bosque Brumoso.</v>
      </c>
      <c r="P19" s="100" t="s">
        <v>3879</v>
      </c>
      <c r="Q19" s="121" t="str">
        <f>IFERROR(__xludf.DUMMYFUNCTION("GOOGLETRANSLATE(B19,""zh-tw"",""KO"")"),"버섯")</f>
        <v>버섯</v>
      </c>
      <c r="R19" s="305" t="s">
        <v>3880</v>
      </c>
      <c r="S19" s="306" t="str">
        <f>IFERROR(__xludf.DUMMYFUNCTION("GOOGLETRANSLATE(A19,""zh-tw"",""ru"")"),"Туманные лесные грибы")</f>
        <v>Туманные лесные грибы</v>
      </c>
      <c r="T19" s="307" t="str">
        <f>IFERROR(__xludf.DUMMYFUNCTION("GOOGLETRANSLATE(B19,""zh-tw"",""ru"")"),"гриб")</f>
        <v>гриб</v>
      </c>
      <c r="U19" s="308" t="str">
        <f>IFERROR(__xludf.DUMMYFUNCTION("GOOGLETRANSLATE(C19,""zh-tw"",""ru"")"),"Подобрано в проходе, ведущем в Туманный лес.")</f>
        <v>Подобрано в проходе, ведущем в Туманный лес.</v>
      </c>
      <c r="V19" s="126" t="s">
        <v>3881</v>
      </c>
      <c r="W19" s="309" t="s">
        <v>3882</v>
      </c>
      <c r="X19" s="311" t="s">
        <v>3883</v>
      </c>
      <c r="Y19" s="94" t="s">
        <v>3884</v>
      </c>
      <c r="Z19" s="123" t="s">
        <v>3885</v>
      </c>
      <c r="AA19" s="312" t="s">
        <v>3886</v>
      </c>
      <c r="AB19" s="17"/>
      <c r="AC19" s="17"/>
      <c r="AD19" s="17"/>
      <c r="AE19" s="17"/>
    </row>
    <row r="20">
      <c r="A20" s="100" t="s">
        <v>3887</v>
      </c>
      <c r="B20" s="117" t="s">
        <v>3888</v>
      </c>
      <c r="C20" s="305" t="s">
        <v>3889</v>
      </c>
      <c r="D20" s="126" t="s">
        <v>3890</v>
      </c>
      <c r="E20" s="307" t="str">
        <f>IFERROR(__xludf.DUMMYFUNCTION("GOOGLETRANSLATE(B20,""zh-tw"",""ja"")"),"椎茸／ヒラタケ／カニタケ／月茸")</f>
        <v>椎茸／ヒラタケ／カニタケ／月茸</v>
      </c>
      <c r="F20" s="311" t="s">
        <v>3891</v>
      </c>
      <c r="G20" s="126" t="s">
        <v>3892</v>
      </c>
      <c r="H20" s="309" t="s">
        <v>3893</v>
      </c>
      <c r="I20" s="311" t="s">
        <v>3894</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3895</v>
      </c>
      <c r="Q20" s="117" t="s">
        <v>3896</v>
      </c>
      <c r="R20" s="305" t="s">
        <v>3897</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на земле в руинах.")</f>
        <v>Ударь по грибам на земле в руинах.</v>
      </c>
      <c r="V20" s="126" t="s">
        <v>3898</v>
      </c>
      <c r="W20" s="309" t="s">
        <v>3899</v>
      </c>
      <c r="X20" s="311" t="s">
        <v>3900</v>
      </c>
      <c r="Y20" s="94" t="s">
        <v>3901</v>
      </c>
      <c r="Z20" s="123" t="s">
        <v>3902</v>
      </c>
      <c r="AA20" s="312" t="s">
        <v>3903</v>
      </c>
      <c r="AB20" s="17"/>
      <c r="AC20" s="17"/>
      <c r="AD20" s="17"/>
      <c r="AE20" s="17"/>
    </row>
    <row r="21">
      <c r="A21" s="100" t="s">
        <v>3904</v>
      </c>
      <c r="B21" s="117" t="s">
        <v>3905</v>
      </c>
      <c r="C21" s="305" t="s">
        <v>3906</v>
      </c>
      <c r="D21" s="126" t="s">
        <v>3907</v>
      </c>
      <c r="E21" s="307" t="str">
        <f>IFERROR(__xludf.DUMMYFUNCTION("GOOGLETRANSLATE(B21,""zh-tw"",""ja"")"),"火の鳥の羽")</f>
        <v>火の鳥の羽</v>
      </c>
      <c r="F21" s="311" t="s">
        <v>3908</v>
      </c>
      <c r="G21" s="126" t="s">
        <v>3909</v>
      </c>
      <c r="H21" s="309" t="s">
        <v>3910</v>
      </c>
      <c r="I21" s="311" t="s">
        <v>3911</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3912</v>
      </c>
      <c r="Q21" s="117" t="s">
        <v>3913</v>
      </c>
      <c r="R21" s="305" t="s">
        <v>3914</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3915</v>
      </c>
      <c r="W21" s="309" t="s">
        <v>3916</v>
      </c>
      <c r="X21" s="311" t="s">
        <v>3917</v>
      </c>
      <c r="Y21" s="94" t="s">
        <v>3918</v>
      </c>
      <c r="Z21" s="123" t="s">
        <v>3919</v>
      </c>
      <c r="AA21" s="312" t="s">
        <v>3920</v>
      </c>
      <c r="AB21" s="17"/>
      <c r="AC21" s="17"/>
      <c r="AD21" s="17"/>
      <c r="AE21" s="17"/>
    </row>
    <row r="22">
      <c r="A22" s="100" t="s">
        <v>3921</v>
      </c>
      <c r="B22" s="117" t="s">
        <v>3922</v>
      </c>
      <c r="C22" s="305" t="s">
        <v>3923</v>
      </c>
      <c r="D22" s="126" t="s">
        <v>3924</v>
      </c>
      <c r="E22" s="307" t="str">
        <f>IFERROR(__xludf.DUMMYFUNCTION("GOOGLETRANSLATE(B22,""zh-tw"",""ja"")"),"白品質装備／青品質装備／タロットカード／一般小道具")</f>
        <v>白品質装備／青品質装備／タロットカード／一般小道具</v>
      </c>
      <c r="F22" s="308" t="str">
        <f>IFERROR(__xludf.DUMMYFUNCTION("GOOGLETRANSLATE(C22,""zh-tw"",""ja"")"),"遺物：陶器の壺、木樽、墓石、石板")</f>
        <v>遺物：陶器の壺、木樽、墓石、石板</v>
      </c>
      <c r="G22" s="126" t="s">
        <v>3925</v>
      </c>
      <c r="H22" s="309" t="s">
        <v>3926</v>
      </c>
      <c r="I22" s="311" t="s">
        <v>3927</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0" t="str">
        <f>IFERROR(__xludf.DUMMYFUNCTION("GOOGLETRANSLATE(C22,""zh-tw"",""es-MX"")"),"Reliquias: vasijas de cerámica, barriles de madera, lápidas y losas de piedra.")</f>
        <v>Reliquias: vasijas de cerámica, barriles de madera, lápidas y losas de piedra.</v>
      </c>
      <c r="P22" s="100" t="s">
        <v>3928</v>
      </c>
      <c r="Q22" s="117" t="s">
        <v>3929</v>
      </c>
      <c r="R22" s="305" t="s">
        <v>3930</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09" t="s">
        <v>3932</v>
      </c>
      <c r="X22" s="311" t="s">
        <v>3933</v>
      </c>
      <c r="Y22" s="94" t="s">
        <v>3934</v>
      </c>
      <c r="Z22" s="123" t="s">
        <v>3935</v>
      </c>
      <c r="AA22" s="312" t="s">
        <v>3936</v>
      </c>
      <c r="AB22" s="17"/>
      <c r="AC22" s="17"/>
      <c r="AD22" s="17"/>
      <c r="AE22" s="17"/>
    </row>
    <row r="23">
      <c r="A23" s="100" t="s">
        <v>3937</v>
      </c>
      <c r="B23" s="117" t="s">
        <v>3938</v>
      </c>
      <c r="C23" s="305" t="s">
        <v>3939</v>
      </c>
      <c r="D23" s="126" t="s">
        <v>3940</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3941</v>
      </c>
      <c r="G23" s="126" t="s">
        <v>3942</v>
      </c>
      <c r="H23" s="309" t="s">
        <v>3943</v>
      </c>
      <c r="I23" s="311" t="s">
        <v>3944</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5" t="s">
        <v>3947</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09" t="s">
        <v>3949</v>
      </c>
      <c r="X23" s="311" t="s">
        <v>3950</v>
      </c>
      <c r="Y23" s="94" t="s">
        <v>3951</v>
      </c>
      <c r="Z23" s="123" t="s">
        <v>3952</v>
      </c>
      <c r="AA23" s="312" t="s">
        <v>3953</v>
      </c>
      <c r="AB23" s="17"/>
      <c r="AC23" s="17"/>
      <c r="AD23" s="17"/>
      <c r="AE23" s="17"/>
    </row>
    <row r="24">
      <c r="A24" s="100" t="s">
        <v>3954</v>
      </c>
      <c r="B24" s="117" t="s">
        <v>3955</v>
      </c>
      <c r="C24" s="305" t="s">
        <v>723</v>
      </c>
      <c r="D24" s="126" t="s">
        <v>3956</v>
      </c>
      <c r="E24" s="307" t="str">
        <f>IFERROR(__xludf.DUMMYFUNCTION("GOOGLETRANSLATE(B24,""zh-tw"",""ja"")"),"星月夜/招き猫/タロットカード")</f>
        <v>星月夜/招き猫/タロットカード</v>
      </c>
      <c r="F24" s="308" t="str">
        <f>IFERROR(__xludf.DUMMYFUNCTION("GOOGLETRANSLATE(C24,""zh-tw"",""ja"")"),"-")</f>
        <v>-</v>
      </c>
      <c r="G24" s="126" t="s">
        <v>3957</v>
      </c>
      <c r="H24" s="309" t="s">
        <v>3958</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3959</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3960</v>
      </c>
      <c r="W24" s="309" t="s">
        <v>3961</v>
      </c>
      <c r="X24" s="311" t="s">
        <v>3711</v>
      </c>
      <c r="Y24" s="94" t="s">
        <v>3962</v>
      </c>
      <c r="Z24" s="123" t="s">
        <v>3963</v>
      </c>
      <c r="AA24" s="312" t="s">
        <v>723</v>
      </c>
      <c r="AB24" s="17"/>
      <c r="AC24" s="17"/>
      <c r="AD24" s="17"/>
      <c r="AE24" s="17"/>
    </row>
    <row r="25">
      <c r="A25" s="100" t="s">
        <v>3964</v>
      </c>
      <c r="B25" s="117" t="s">
        <v>3965</v>
      </c>
      <c r="C25" s="305" t="s">
        <v>723</v>
      </c>
      <c r="D25" s="306" t="str">
        <f>IFERROR(__xludf.DUMMYFUNCTION("GOOGLETRANSLATE(A25,""zh-tw"",""ja"")"),"レイス")</f>
        <v>レイス</v>
      </c>
      <c r="E25" s="307" t="str">
        <f>IFERROR(__xludf.DUMMYFUNCTION("GOOGLETRANSLATE(B25,""zh-tw"",""ja"")"),"堕落した魔術師の手袋／タロットカード")</f>
        <v>堕落した魔術師の手袋／タロットカード</v>
      </c>
      <c r="F25" s="308" t="str">
        <f>IFERROR(__xludf.DUMMYFUNCTION("GOOGLETRANSLATE(C25,""zh-tw"",""ja"")"),"-")</f>
        <v>-</v>
      </c>
      <c r="G25" s="126" t="s">
        <v>3966</v>
      </c>
      <c r="H25" s="309" t="s">
        <v>3967</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IFERROR(__xludf.DUMMYFUNCTION("GOOGLETRANSLATE(A25,""zh-tw"",""es-MX"")"),"Fantasma")</f>
        <v>Fantasma</v>
      </c>
      <c r="N25" s="121" t="str">
        <f>IFERROR(__xludf.DUMMYFUNCTION("GOOGLETRANSLATE(B25,""zh-tw"",""es-MX"")"),"Guantes del mago caído/Cartas del Tarot")</f>
        <v>Guantes del mago caído/Cartas del Tarot</v>
      </c>
      <c r="O25" s="310" t="str">
        <f>IFERROR(__xludf.DUMMYFUNCTION("GOOGLETRANSLATE(C25,""zh-tw"",""es-MX"")"),"-")</f>
        <v>-</v>
      </c>
      <c r="P25" s="100" t="s">
        <v>3968</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IFERROR(__xludf.DUMMYFUNCTION("GOOGLETRANSLATE(A25,""zh-tw"",""ru"")"),"Призрак")</f>
        <v>Призрак</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3969</v>
      </c>
      <c r="W25" s="309" t="s">
        <v>3970</v>
      </c>
      <c r="X25" s="311" t="s">
        <v>3711</v>
      </c>
      <c r="Y25" s="94" t="s">
        <v>3971</v>
      </c>
      <c r="Z25" s="123" t="s">
        <v>3972</v>
      </c>
      <c r="AA25" s="313" t="s">
        <v>723</v>
      </c>
      <c r="AB25" s="17"/>
      <c r="AC25" s="17"/>
      <c r="AD25" s="17"/>
      <c r="AE25" s="17"/>
    </row>
    <row r="26">
      <c r="A26" s="100" t="s">
        <v>3973</v>
      </c>
      <c r="B26" s="117" t="s">
        <v>3974</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3975</v>
      </c>
      <c r="H26" s="309" t="s">
        <v>3976</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3977</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3978</v>
      </c>
      <c r="W26" s="309" t="s">
        <v>3979</v>
      </c>
      <c r="X26" s="311" t="s">
        <v>3711</v>
      </c>
      <c r="Y26" s="94" t="s">
        <v>3975</v>
      </c>
      <c r="Z26" s="123" t="s">
        <v>3980</v>
      </c>
      <c r="AA26" s="312" t="s">
        <v>723</v>
      </c>
      <c r="AB26" s="17"/>
      <c r="AC26" s="17"/>
      <c r="AD26" s="17"/>
      <c r="AE26" s="17"/>
    </row>
    <row r="27">
      <c r="A27" s="100" t="s">
        <v>3981</v>
      </c>
      <c r="B27" s="117" t="s">
        <v>3982</v>
      </c>
      <c r="C27" s="305" t="s">
        <v>723</v>
      </c>
      <c r="D27" s="126" t="s">
        <v>3983</v>
      </c>
      <c r="E27" s="309" t="s">
        <v>3984</v>
      </c>
      <c r="F27" s="308" t="str">
        <f>IFERROR(__xludf.DUMMYFUNCTION("GOOGLETRANSLATE(C27,""zh-tw"",""ja"")"),"-")</f>
        <v>-</v>
      </c>
      <c r="G27" s="306" t="str">
        <f>IFERROR(__xludf.DUMMYFUNCTION("GOOGLETRANSLATE(A27,""zh-tw"",""en"")"),"Maid Rabbit")</f>
        <v>Maid Rabbit</v>
      </c>
      <c r="H27" s="309" t="s">
        <v>3985</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3986</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ушки кролика/униформа горничной/золотые монеты")</f>
        <v>Милые ушки кролика/униформа горничной/золотые монеты</v>
      </c>
      <c r="U27" s="308" t="str">
        <f>IFERROR(__xludf.DUMMYFUNCTION("GOOGLETRANSLATE(C27,""zh-tw"",""ru"")"),"-")</f>
        <v>-</v>
      </c>
      <c r="V27" s="126" t="s">
        <v>3987</v>
      </c>
      <c r="W27" s="309" t="s">
        <v>3988</v>
      </c>
      <c r="X27" s="311" t="s">
        <v>3989</v>
      </c>
      <c r="Y27" s="94" t="s">
        <v>3990</v>
      </c>
      <c r="Z27" s="123" t="s">
        <v>3991</v>
      </c>
      <c r="AA27" s="312" t="s">
        <v>723</v>
      </c>
      <c r="AB27" s="17"/>
      <c r="AC27" s="17"/>
      <c r="AD27" s="17"/>
      <c r="AE27" s="17"/>
    </row>
    <row r="28">
      <c r="A28" s="100" t="s">
        <v>3992</v>
      </c>
      <c r="B28" s="117" t="s">
        <v>3993</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3994</v>
      </c>
      <c r="H28" s="309" t="s">
        <v>3995</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3996</v>
      </c>
      <c r="Q28" s="117" t="s">
        <v>3997</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3998</v>
      </c>
      <c r="W28" s="309" t="s">
        <v>3999</v>
      </c>
      <c r="X28" s="311" t="s">
        <v>4000</v>
      </c>
      <c r="Y28" s="94" t="s">
        <v>4001</v>
      </c>
      <c r="Z28" s="123" t="s">
        <v>4002</v>
      </c>
      <c r="AA28" s="312" t="s">
        <v>723</v>
      </c>
      <c r="AB28" s="17"/>
      <c r="AC28" s="17"/>
      <c r="AD28" s="17"/>
      <c r="AE28" s="17"/>
    </row>
    <row r="29">
      <c r="A29" s="100" t="s">
        <v>4003</v>
      </c>
      <c r="B29" s="117" t="s">
        <v>4004</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4005</v>
      </c>
      <c r="H29" s="309" t="s">
        <v>4006</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4007</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4008</v>
      </c>
      <c r="W29" s="309" t="s">
        <v>4009</v>
      </c>
      <c r="X29" s="311" t="s">
        <v>4010</v>
      </c>
      <c r="Y29" s="94" t="s">
        <v>4011</v>
      </c>
      <c r="Z29" s="123" t="s">
        <v>4012</v>
      </c>
      <c r="AA29" s="312" t="s">
        <v>723</v>
      </c>
      <c r="AB29" s="17"/>
      <c r="AC29" s="17"/>
      <c r="AD29" s="17"/>
      <c r="AE29" s="17"/>
    </row>
    <row r="30">
      <c r="A30" s="100" t="s">
        <v>4013</v>
      </c>
      <c r="B30" s="117" t="s">
        <v>4014</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4015</v>
      </c>
      <c r="H30" s="309" t="s">
        <v>4016</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4017</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4018</v>
      </c>
      <c r="W30" s="309" t="s">
        <v>4019</v>
      </c>
      <c r="X30" s="311" t="s">
        <v>3711</v>
      </c>
      <c r="Y30" s="94" t="s">
        <v>4020</v>
      </c>
      <c r="Z30" s="123" t="s">
        <v>4021</v>
      </c>
      <c r="AA30" s="312" t="s">
        <v>723</v>
      </c>
      <c r="AB30" s="17"/>
      <c r="AC30" s="17"/>
      <c r="AD30" s="17"/>
      <c r="AE30" s="17"/>
    </row>
    <row r="31">
      <c r="A31" s="100" t="s">
        <v>4022</v>
      </c>
      <c r="B31" s="117" t="s">
        <v>4023</v>
      </c>
      <c r="C31" s="305" t="s">
        <v>4024</v>
      </c>
      <c r="D31" s="306" t="str">
        <f>IFERROR(__xludf.DUMMYFUNCTION("GOOGLETRANSLATE(A31,""zh-tw"",""ja"")"),"狂乱の赤い獣")</f>
        <v>狂乱の赤い獣</v>
      </c>
      <c r="E31" s="309" t="s">
        <v>4025</v>
      </c>
      <c r="F31" s="311" t="s">
        <v>4026</v>
      </c>
      <c r="G31" s="126" t="s">
        <v>4027</v>
      </c>
      <c r="H31" s="309" t="s">
        <v>4028</v>
      </c>
      <c r="I31" s="311" t="s">
        <v>4029</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5" t="s">
        <v>4031</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4032</v>
      </c>
      <c r="W31" s="309" t="s">
        <v>4033</v>
      </c>
      <c r="X31" s="311" t="s">
        <v>4034</v>
      </c>
      <c r="Y31" s="94" t="s">
        <v>4035</v>
      </c>
      <c r="Z31" s="123" t="s">
        <v>4036</v>
      </c>
      <c r="AA31" s="312" t="s">
        <v>4037</v>
      </c>
      <c r="AB31" s="17"/>
      <c r="AC31" s="17"/>
      <c r="AD31" s="17"/>
      <c r="AE31" s="17"/>
    </row>
    <row r="32">
      <c r="A32" s="100" t="s">
        <v>4038</v>
      </c>
      <c r="B32" s="117" t="s">
        <v>4039</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4040</v>
      </c>
      <c r="H32" s="309" t="s">
        <v>4041</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4042</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4043</v>
      </c>
      <c r="W32" s="309" t="s">
        <v>4044</v>
      </c>
      <c r="X32" s="311" t="s">
        <v>4045</v>
      </c>
      <c r="Y32" s="94" t="s">
        <v>4046</v>
      </c>
      <c r="Z32" s="123" t="s">
        <v>4047</v>
      </c>
      <c r="AA32" s="312" t="s">
        <v>723</v>
      </c>
      <c r="AB32" s="17"/>
      <c r="AC32" s="17"/>
      <c r="AD32" s="17"/>
      <c r="AE32" s="17"/>
    </row>
    <row r="33">
      <c r="A33" s="100" t="s">
        <v>4048</v>
      </c>
      <c r="B33" s="117" t="s">
        <v>4049</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4050</v>
      </c>
      <c r="H33" s="309" t="s">
        <v>4051</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4052</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4053</v>
      </c>
      <c r="W33" s="309" t="s">
        <v>4054</v>
      </c>
      <c r="X33" s="311" t="s">
        <v>4045</v>
      </c>
      <c r="Y33" s="94" t="s">
        <v>4055</v>
      </c>
      <c r="Z33" s="123" t="s">
        <v>4056</v>
      </c>
      <c r="AA33" s="312" t="s">
        <v>723</v>
      </c>
      <c r="AB33" s="17"/>
      <c r="AC33" s="17"/>
      <c r="AD33" s="17"/>
      <c r="AE33" s="17"/>
    </row>
    <row r="34">
      <c r="A34" s="100" t="s">
        <v>4057</v>
      </c>
      <c r="B34" s="117" t="s">
        <v>4058</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4059</v>
      </c>
      <c r="H34" s="309" t="s">
        <v>4060</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4061</v>
      </c>
      <c r="W34" s="309" t="s">
        <v>4062</v>
      </c>
      <c r="X34" s="311" t="s">
        <v>4045</v>
      </c>
      <c r="Y34" s="94" t="s">
        <v>4063</v>
      </c>
      <c r="Z34" s="123" t="s">
        <v>4064</v>
      </c>
      <c r="AA34" s="312" t="s">
        <v>723</v>
      </c>
      <c r="AB34" s="17"/>
      <c r="AC34" s="17"/>
      <c r="AD34" s="17"/>
      <c r="AE34" s="17"/>
    </row>
    <row r="35">
      <c r="A35" s="100" t="s">
        <v>4065</v>
      </c>
      <c r="B35" s="117" t="s">
        <v>4066</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4067</v>
      </c>
      <c r="H35" s="309" t="s">
        <v>4068</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4069</v>
      </c>
      <c r="W35" s="309" t="s">
        <v>4070</v>
      </c>
      <c r="X35" s="311" t="s">
        <v>4045</v>
      </c>
      <c r="Y35" s="94" t="s">
        <v>4071</v>
      </c>
      <c r="Z35" s="123" t="s">
        <v>4072</v>
      </c>
      <c r="AA35" s="312" t="s">
        <v>723</v>
      </c>
      <c r="AB35" s="17"/>
      <c r="AC35" s="17"/>
      <c r="AD35" s="17"/>
      <c r="AE35" s="17"/>
    </row>
    <row r="36">
      <c r="A36" s="100" t="s">
        <v>4073</v>
      </c>
      <c r="B36" s="117" t="s">
        <v>4074</v>
      </c>
      <c r="C36" s="305" t="s">
        <v>723</v>
      </c>
      <c r="D36" s="306" t="str">
        <f>IFERROR(__xludf.DUMMYFUNCTION("GOOGLETRANSLATE(A36,""zh-tw"",""ja"")"),"ジャッカロープ")</f>
        <v>ジャッカロープ</v>
      </c>
      <c r="E36" s="309" t="s">
        <v>4075</v>
      </c>
      <c r="F36" s="308" t="str">
        <f>IFERROR(__xludf.DUMMYFUNCTION("GOOGLETRANSLATE(C36,""zh-tw"",""ja"")"),"-")</f>
        <v>-</v>
      </c>
      <c r="G36" s="126" t="s">
        <v>4076</v>
      </c>
      <c r="H36" s="309" t="s">
        <v>4077</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4078</v>
      </c>
      <c r="Q36" s="117" t="s">
        <v>4079</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4080</v>
      </c>
      <c r="W36" s="309" t="s">
        <v>4081</v>
      </c>
      <c r="X36" s="311" t="s">
        <v>3711</v>
      </c>
      <c r="Y36" s="94" t="s">
        <v>4082</v>
      </c>
      <c r="Z36" s="123" t="s">
        <v>4083</v>
      </c>
      <c r="AA36" s="312" t="s">
        <v>723</v>
      </c>
      <c r="AB36" s="17"/>
      <c r="AC36" s="17"/>
      <c r="AD36" s="17"/>
      <c r="AE36" s="17"/>
    </row>
    <row r="37">
      <c r="A37" s="100" t="s">
        <v>2537</v>
      </c>
      <c r="B37" s="117" t="s">
        <v>4084</v>
      </c>
      <c r="C37" s="305" t="s">
        <v>4085</v>
      </c>
      <c r="D37" s="306" t="str">
        <f>IFERROR(__xludf.DUMMYFUNCTION("GOOGLETRANSLATE(A37,""zh-tw"",""ja"")"),"かかし")</f>
        <v>かかし</v>
      </c>
      <c r="E37" s="309" t="s">
        <v>4086</v>
      </c>
      <c r="F37" s="311" t="s">
        <v>4087</v>
      </c>
      <c r="G37" s="126" t="s">
        <v>2543</v>
      </c>
      <c r="H37" s="309" t="s">
        <v>4088</v>
      </c>
      <c r="I37" s="311" t="s">
        <v>4089</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4090</v>
      </c>
      <c r="R37" s="305" t="s">
        <v>4091</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2546</v>
      </c>
      <c r="W37" s="309" t="s">
        <v>4092</v>
      </c>
      <c r="X37" s="311" t="s">
        <v>4093</v>
      </c>
      <c r="Y37" s="94" t="s">
        <v>2549</v>
      </c>
      <c r="Z37" s="123" t="s">
        <v>4094</v>
      </c>
      <c r="AA37" s="312" t="s">
        <v>4095</v>
      </c>
      <c r="AB37" s="17"/>
      <c r="AC37" s="17"/>
      <c r="AD37" s="17"/>
      <c r="AE37" s="17"/>
    </row>
    <row r="38">
      <c r="A38" s="100" t="s">
        <v>4096</v>
      </c>
      <c r="B38" s="117" t="s">
        <v>4097</v>
      </c>
      <c r="C38" s="305" t="s">
        <v>4098</v>
      </c>
      <c r="D38" s="306" t="str">
        <f>IFERROR(__xludf.DUMMYFUNCTION("GOOGLETRANSLATE(A38,""zh-tw"",""ja"")"),"浅羽")</f>
        <v>浅羽</v>
      </c>
      <c r="E38" s="309" t="s">
        <v>4099</v>
      </c>
      <c r="F38" s="311" t="s">
        <v>4100</v>
      </c>
      <c r="G38" s="126" t="s">
        <v>4101</v>
      </c>
      <c r="H38" s="309" t="s">
        <v>4102</v>
      </c>
      <c r="I38" s="311" t="s">
        <v>4103</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4104</v>
      </c>
      <c r="R38" s="305" t="s">
        <v>4105</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4101</v>
      </c>
      <c r="W38" s="309" t="s">
        <v>4106</v>
      </c>
      <c r="X38" s="311" t="s">
        <v>4107</v>
      </c>
      <c r="Y38" s="94" t="s">
        <v>4101</v>
      </c>
      <c r="Z38" s="123" t="s">
        <v>4108</v>
      </c>
      <c r="AA38" s="312" t="s">
        <v>4109</v>
      </c>
      <c r="AB38" s="17"/>
      <c r="AC38" s="17"/>
      <c r="AD38" s="17"/>
      <c r="AE38" s="17"/>
    </row>
    <row r="39">
      <c r="A39" s="100" t="s">
        <v>4110</v>
      </c>
      <c r="B39" s="117" t="s">
        <v>4111</v>
      </c>
      <c r="C39" s="305" t="s">
        <v>723</v>
      </c>
      <c r="D39" s="100" t="s">
        <v>4112</v>
      </c>
      <c r="E39" s="117" t="s">
        <v>4113</v>
      </c>
      <c r="F39" s="308" t="str">
        <f>IFERROR(__xludf.DUMMYFUNCTION("GOOGLETRANSLATE(C39,""zh-tw"",""ja"")"),"-")</f>
        <v>-</v>
      </c>
      <c r="G39" s="100" t="s">
        <v>4114</v>
      </c>
      <c r="H39" s="117" t="s">
        <v>4115</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4116</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4117</v>
      </c>
      <c r="W39" s="309" t="s">
        <v>4118</v>
      </c>
      <c r="X39" s="311" t="s">
        <v>3711</v>
      </c>
      <c r="Y39" s="94" t="s">
        <v>4119</v>
      </c>
      <c r="Z39" s="123" t="s">
        <v>4120</v>
      </c>
      <c r="AA39" s="312" t="s">
        <v>723</v>
      </c>
      <c r="AB39" s="17"/>
      <c r="AC39" s="17"/>
      <c r="AD39" s="17"/>
      <c r="AE39" s="17"/>
    </row>
    <row r="40">
      <c r="A40" s="100" t="s">
        <v>4121</v>
      </c>
      <c r="B40" s="117" t="s">
        <v>4122</v>
      </c>
      <c r="C40" s="305" t="s">
        <v>723</v>
      </c>
      <c r="D40" s="100" t="s">
        <v>4123</v>
      </c>
      <c r="E40" s="117" t="s">
        <v>4124</v>
      </c>
      <c r="F40" s="308" t="str">
        <f>IFERROR(__xludf.DUMMYFUNCTION("GOOGLETRANSLATE(C40,""zh-tw"",""ja"")"),"-")</f>
        <v>-</v>
      </c>
      <c r="G40" s="100" t="s">
        <v>4125</v>
      </c>
      <c r="H40" s="117" t="s">
        <v>4126</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4127</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4128</v>
      </c>
      <c r="W40" s="309" t="s">
        <v>4129</v>
      </c>
      <c r="X40" s="311" t="s">
        <v>3711</v>
      </c>
      <c r="Y40" s="94" t="s">
        <v>4130</v>
      </c>
      <c r="Z40" s="123" t="s">
        <v>4131</v>
      </c>
      <c r="AA40" s="312" t="s">
        <v>723</v>
      </c>
      <c r="AB40" s="17"/>
      <c r="AC40" s="17"/>
      <c r="AD40" s="17"/>
      <c r="AE40" s="17"/>
    </row>
    <row r="41">
      <c r="A41" s="100" t="s">
        <v>4132</v>
      </c>
      <c r="B41" s="117" t="s">
        <v>4133</v>
      </c>
      <c r="C41" s="305" t="s">
        <v>723</v>
      </c>
      <c r="D41" s="100" t="s">
        <v>4132</v>
      </c>
      <c r="E41" s="117" t="s">
        <v>4134</v>
      </c>
      <c r="F41" s="308" t="str">
        <f>IFERROR(__xludf.DUMMYFUNCTION("GOOGLETRANSLATE(C41,""zh-tw"",""ja"")"),"-")</f>
        <v>-</v>
      </c>
      <c r="G41" s="100" t="s">
        <v>4135</v>
      </c>
      <c r="H41" s="117" t="s">
        <v>4136</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4135</v>
      </c>
      <c r="W41" s="309" t="s">
        <v>4137</v>
      </c>
      <c r="X41" s="311" t="s">
        <v>3711</v>
      </c>
      <c r="Y41" s="94" t="s">
        <v>4135</v>
      </c>
      <c r="Z41" s="123" t="s">
        <v>4138</v>
      </c>
      <c r="AA41" s="312" t="s">
        <v>723</v>
      </c>
      <c r="AB41" s="17"/>
      <c r="AC41" s="17"/>
      <c r="AD41" s="17"/>
      <c r="AE41" s="17"/>
    </row>
    <row r="42">
      <c r="A42" s="88" t="s">
        <v>4139</v>
      </c>
      <c r="B42" s="117" t="s">
        <v>4140</v>
      </c>
      <c r="C42" s="305" t="s">
        <v>4141</v>
      </c>
      <c r="D42" s="88" t="s">
        <v>4142</v>
      </c>
      <c r="E42" s="117" t="s">
        <v>4143</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5" t="s">
        <v>4146</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Черрис/Кулон из сердолика и нефрита")</f>
        <v>Проклятая рука Черрис/Кулон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5" t="s">
        <v>723</v>
      </c>
      <c r="Y42" s="139" t="s">
        <v>4149</v>
      </c>
      <c r="Z42" s="123" t="s">
        <v>4150</v>
      </c>
      <c r="AA42" s="312" t="s">
        <v>4151</v>
      </c>
      <c r="AB42" s="142"/>
      <c r="AC42" s="142"/>
      <c r="AD42" s="142"/>
      <c r="AE42" s="142"/>
    </row>
    <row r="43">
      <c r="A43" s="100" t="s">
        <v>4152</v>
      </c>
      <c r="B43" s="117" t="s">
        <v>4153</v>
      </c>
      <c r="C43" s="305" t="s">
        <v>4154</v>
      </c>
      <c r="D43" s="100" t="s">
        <v>4152</v>
      </c>
      <c r="E43" s="117" t="s">
        <v>4155</v>
      </c>
      <c r="F43" s="305" t="s">
        <v>4156</v>
      </c>
      <c r="G43" s="100" t="s">
        <v>4152</v>
      </c>
      <c r="H43" s="117" t="s">
        <v>4157</v>
      </c>
      <c r="I43" s="305" t="s">
        <v>4158</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5" t="s">
        <v>4160</v>
      </c>
      <c r="Y43" s="94" t="s">
        <v>4161</v>
      </c>
      <c r="Z43" s="123" t="s">
        <v>4162</v>
      </c>
      <c r="AA43" s="312" t="s">
        <v>4163</v>
      </c>
      <c r="AB43" s="17"/>
      <c r="AC43" s="17"/>
      <c r="AD43" s="17"/>
      <c r="AE43" s="17"/>
    </row>
    <row r="44">
      <c r="A44" s="100" t="s">
        <v>4164</v>
      </c>
      <c r="B44" s="117" t="s">
        <v>4165</v>
      </c>
      <c r="C44" s="305" t="s">
        <v>4166</v>
      </c>
      <c r="D44" s="100" t="s">
        <v>4167</v>
      </c>
      <c r="E44" s="117" t="s">
        <v>4168</v>
      </c>
      <c r="F44" s="305" t="s">
        <v>4166</v>
      </c>
      <c r="G44" s="100" t="s">
        <v>4169</v>
      </c>
      <c r="H44" s="117" t="s">
        <v>4170</v>
      </c>
      <c r="I44" s="305" t="s">
        <v>4166</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4166</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4166</v>
      </c>
      <c r="V44" s="100"/>
      <c r="W44" s="117" t="s">
        <v>4171</v>
      </c>
      <c r="X44" s="305" t="s">
        <v>4166</v>
      </c>
      <c r="Y44" s="94" t="s">
        <v>4161</v>
      </c>
      <c r="Z44" s="123" t="s">
        <v>4172</v>
      </c>
      <c r="AA44" s="312" t="s">
        <v>4166</v>
      </c>
      <c r="AB44" s="17"/>
      <c r="AC44" s="17"/>
      <c r="AD44" s="17"/>
      <c r="AE44" s="17"/>
    </row>
    <row r="45">
      <c r="A45" s="88" t="s">
        <v>4173</v>
      </c>
      <c r="B45" s="121" t="s">
        <v>4174</v>
      </c>
      <c r="C45" s="305" t="s">
        <v>4166</v>
      </c>
      <c r="D45" s="88" t="s">
        <v>4175</v>
      </c>
      <c r="E45" s="121" t="s">
        <v>4176</v>
      </c>
      <c r="F45" s="305" t="s">
        <v>4166</v>
      </c>
      <c r="G45" s="88" t="s">
        <v>4177</v>
      </c>
      <c r="H45" s="117" t="s">
        <v>4178</v>
      </c>
      <c r="I45" s="305" t="s">
        <v>4166</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4179</v>
      </c>
      <c r="P45" s="88" t="str">
        <f>IFERROR(__xludf.DUMMYFUNCTION("GOOGLETRANSLATE(A45,""zh-tw"",""KO"")"),"하코니와 정원의 흰 토끼")</f>
        <v>하코니와 정원의 흰 토끼</v>
      </c>
      <c r="Q45" s="121" t="str">
        <f>IFERROR(__xludf.DUMMYFUNCTION("GOOGLETRANSLATE(B45,""zh-tw"",""KO"")"),"당근 검/당근")</f>
        <v>당근 검/당근</v>
      </c>
      <c r="R45" s="305" t="s">
        <v>4166</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4166</v>
      </c>
      <c r="V45" s="88" t="s">
        <v>4180</v>
      </c>
      <c r="W45" s="121" t="s">
        <v>4181</v>
      </c>
      <c r="X45" s="305" t="s">
        <v>4179</v>
      </c>
      <c r="Y45" s="139" t="s">
        <v>4182</v>
      </c>
      <c r="Z45" s="176" t="s">
        <v>4183</v>
      </c>
      <c r="AA45" s="312" t="s">
        <v>4166</v>
      </c>
      <c r="AB45" s="17"/>
      <c r="AC45" s="17"/>
      <c r="AD45" s="17"/>
      <c r="AE45" s="17"/>
    </row>
    <row r="46">
      <c r="A46" s="100" t="s">
        <v>4184</v>
      </c>
      <c r="B46" s="117" t="s">
        <v>4185</v>
      </c>
      <c r="C46" s="305" t="s">
        <v>723</v>
      </c>
      <c r="D46" s="100" t="s">
        <v>4186</v>
      </c>
      <c r="E46" s="121"/>
      <c r="F46" s="310"/>
      <c r="G46" s="100" t="s">
        <v>4187</v>
      </c>
      <c r="H46" s="117" t="s">
        <v>4188</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4189</v>
      </c>
      <c r="W46" s="117" t="s">
        <v>4190</v>
      </c>
      <c r="X46" s="305" t="s">
        <v>723</v>
      </c>
      <c r="Y46" s="94" t="s">
        <v>4191</v>
      </c>
      <c r="Z46" s="123" t="s">
        <v>4192</v>
      </c>
      <c r="AA46" s="312" t="s">
        <v>723</v>
      </c>
      <c r="AB46" s="17"/>
      <c r="AC46" s="17"/>
      <c r="AD46" s="17"/>
      <c r="AE46" s="17"/>
    </row>
    <row r="47">
      <c r="A47" s="100" t="s">
        <v>4193</v>
      </c>
      <c r="B47" s="105" t="s">
        <v>4194</v>
      </c>
      <c r="C47" s="305" t="s">
        <v>4195</v>
      </c>
      <c r="D47" s="88"/>
      <c r="E47" s="121"/>
      <c r="F47" s="310"/>
      <c r="G47" s="100" t="s">
        <v>4196</v>
      </c>
      <c r="H47" s="117" t="s">
        <v>4197</v>
      </c>
      <c r="I47" s="305" t="s">
        <v>4198</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el agua.")</f>
        <v>Utilice bombas para hacer estallar el agua.</v>
      </c>
      <c r="P47" s="88" t="str">
        <f>IFERROR(__xludf.DUMMYFUNCTION("GOOGLETRANSLATE(A47,""zh-tw"",""KO"")"),"사카반 거북이(소)")</f>
        <v>사카반 거북이(소)</v>
      </c>
      <c r="Q47" s="121" t="str">
        <f>IFERROR(__xludf.DUMMYFUNCTION("GOOGLETRANSLATE(B47,""zh-tw"",""KO"")"),"◉▽◉(파란색)")</f>
        <v>◉▽◉(파란색)</v>
      </c>
      <c r="R47" s="310" t="str">
        <f>IFERROR(__xludf.DUMMYFUNCTION("GOOGLETRANSLATE(C47,""zh-tw"",""KO"")"),"폭탄을 사용하여 물을 날려 버리세요")</f>
        <v>폭탄을 사용하여 물을 날려 버리세요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воду.")</f>
        <v>Используйте бомбы, чтобы взорвать воду.</v>
      </c>
      <c r="V47" s="100" t="s">
        <v>4199</v>
      </c>
      <c r="W47" s="314" t="s">
        <v>4200</v>
      </c>
      <c r="X47" s="305" t="s">
        <v>4201</v>
      </c>
      <c r="Y47" s="94" t="s">
        <v>4202</v>
      </c>
      <c r="Z47" s="123" t="s">
        <v>4203</v>
      </c>
      <c r="AA47" s="312" t="s">
        <v>4204</v>
      </c>
      <c r="AB47" s="17"/>
      <c r="AC47" s="17"/>
      <c r="AD47" s="17"/>
      <c r="AE47" s="17"/>
    </row>
    <row r="48">
      <c r="A48" s="100" t="s">
        <v>4205</v>
      </c>
      <c r="B48" s="121" t="s">
        <v>4206</v>
      </c>
      <c r="C48" s="305" t="s">
        <v>4195</v>
      </c>
      <c r="D48" s="88"/>
      <c r="E48" s="121"/>
      <c r="F48" s="310"/>
      <c r="G48" s="100" t="s">
        <v>4207</v>
      </c>
      <c r="H48" s="117" t="s">
        <v>4208</v>
      </c>
      <c r="I48" s="305" t="s">
        <v>4198</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물을 날려 버리세요")</f>
        <v>폭탄을 사용하여 물을 날려 버리세요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воду.")</f>
        <v>Используйте бомбы, чтобы взорвать воду.</v>
      </c>
      <c r="V48" s="100" t="s">
        <v>4209</v>
      </c>
      <c r="W48" s="314" t="s">
        <v>4210</v>
      </c>
      <c r="X48" s="305" t="s">
        <v>4201</v>
      </c>
      <c r="Y48" s="94" t="s">
        <v>4211</v>
      </c>
      <c r="Z48" s="176" t="s">
        <v>4212</v>
      </c>
      <c r="AA48" s="312" t="s">
        <v>4204</v>
      </c>
      <c r="AB48" s="17"/>
      <c r="AC48" s="17"/>
      <c r="AD48" s="17"/>
      <c r="AE48" s="17"/>
    </row>
    <row r="49">
      <c r="A49" s="100" t="s">
        <v>4213</v>
      </c>
      <c r="B49" s="117" t="s">
        <v>4214</v>
      </c>
      <c r="C49" s="305" t="s">
        <v>4215</v>
      </c>
      <c r="D49" s="88"/>
      <c r="E49" s="121"/>
      <c r="F49" s="310"/>
      <c r="G49" s="100" t="s">
        <v>4216</v>
      </c>
      <c r="H49" s="117" t="s">
        <v>4217</v>
      </c>
      <c r="I49" s="305" t="s">
        <v>4218</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4219</v>
      </c>
      <c r="W49" s="314" t="s">
        <v>4220</v>
      </c>
      <c r="X49" s="305" t="s">
        <v>4221</v>
      </c>
      <c r="Y49" s="94" t="s">
        <v>4222</v>
      </c>
      <c r="Z49" s="123" t="s">
        <v>4223</v>
      </c>
      <c r="AA49" s="312" t="s">
        <v>4224</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row>
    <row r="2" ht="55.5" customHeight="1">
      <c r="S2" s="292"/>
      <c r="T2" s="292"/>
    </row>
    <row r="3">
      <c r="A3" s="319" t="s">
        <v>4225</v>
      </c>
      <c r="B3" s="72" t="s">
        <v>4226</v>
      </c>
      <c r="C3" s="319" t="str">
        <f>IFERROR(__xludf.DUMMYFUNCTION("GOOGLETRANSLATE(A3,""zh-tw"",""ja"")"),"武器プロジェクト")</f>
        <v>武器プロジェクト</v>
      </c>
      <c r="D3" s="72" t="str">
        <f>IFERROR(__xludf.DUMMYFUNCTION("GOOGLETRANSLATE(B3,""zh-tw"",""ja"")"),"武器の属性")</f>
        <v>武器の属性</v>
      </c>
      <c r="E3" s="319" t="s">
        <v>4227</v>
      </c>
      <c r="F3" s="72" t="s">
        <v>4228</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4229</v>
      </c>
      <c r="P3" s="72" t="s">
        <v>4230</v>
      </c>
      <c r="Q3" s="322" t="s">
        <v>4231</v>
      </c>
      <c r="R3" s="323" t="s">
        <v>4232</v>
      </c>
      <c r="S3" s="304"/>
      <c r="T3" s="304"/>
    </row>
    <row r="4">
      <c r="A4" s="324" t="s">
        <v>4233</v>
      </c>
      <c r="B4" s="117" t="s">
        <v>4234</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4235</v>
      </c>
      <c r="F4" s="309" t="s">
        <v>4236</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4237</v>
      </c>
      <c r="L4" s="117" t="s">
        <v>4238</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4239</v>
      </c>
      <c r="P4" s="309" t="s">
        <v>4240</v>
      </c>
      <c r="Q4" s="328" t="s">
        <v>4241</v>
      </c>
      <c r="R4" s="329" t="s">
        <v>4242</v>
      </c>
      <c r="S4" s="17"/>
      <c r="T4" s="17"/>
    </row>
    <row r="5">
      <c r="A5" s="325" t="s">
        <v>4243</v>
      </c>
      <c r="B5" s="309" t="s">
        <v>4244</v>
      </c>
      <c r="C5" s="325" t="s">
        <v>4245</v>
      </c>
      <c r="D5" s="309" t="str">
        <f>IFERROR(__xludf.DUMMYFUNCTION("GOOGLETRANSLATE(B5,""zh-tw"",""ja"")"),"物理攻撃力: 15")</f>
        <v>物理攻撃力: 15</v>
      </c>
      <c r="E5" s="325" t="s">
        <v>4246</v>
      </c>
      <c r="F5" s="309" t="s">
        <v>4247</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4248</v>
      </c>
      <c r="L5" s="117" t="s">
        <v>4249</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4250</v>
      </c>
      <c r="P5" s="309" t="s">
        <v>4251</v>
      </c>
      <c r="Q5" s="328" t="s">
        <v>4252</v>
      </c>
      <c r="R5" s="329" t="s">
        <v>4253</v>
      </c>
      <c r="S5" s="196"/>
      <c r="T5" s="196"/>
    </row>
    <row r="6">
      <c r="A6" s="325" t="s">
        <v>4254</v>
      </c>
      <c r="B6" s="309" t="s">
        <v>4255</v>
      </c>
      <c r="C6" s="325" t="s">
        <v>4256</v>
      </c>
      <c r="D6" s="309" t="str">
        <f>IFERROR(__xludf.DUMMYFUNCTION("GOOGLETRANSLATE(B6,""zh-tw"",""ja"")"),"物理攻撃力: 14")</f>
        <v>物理攻撃力: 14</v>
      </c>
      <c r="E6" s="325" t="s">
        <v>4257</v>
      </c>
      <c r="F6" s="309" t="s">
        <v>4258</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4259</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4260</v>
      </c>
      <c r="P6" s="309" t="s">
        <v>4261</v>
      </c>
      <c r="Q6" s="328" t="s">
        <v>4262</v>
      </c>
      <c r="R6" s="329" t="s">
        <v>4263</v>
      </c>
      <c r="S6" s="196"/>
      <c r="T6" s="196"/>
    </row>
    <row r="7">
      <c r="A7" s="325" t="s">
        <v>4264</v>
      </c>
      <c r="B7" s="309" t="s">
        <v>4265</v>
      </c>
      <c r="C7" s="325" t="str">
        <f>IFERROR(__xludf.DUMMYFUNCTION("GOOGLETRANSLATE(A7,""zh-tw"",""ja"")"),"木こりの斧")</f>
        <v>木こりの斧</v>
      </c>
      <c r="D7" s="309" t="str">
        <f>IFERROR(__xludf.DUMMYFUNCTION("GOOGLETRANSLATE(B7,""zh-tw"",""ja"")"),"物理攻撃力: 24")</f>
        <v>物理攻撃力: 24</v>
      </c>
      <c r="E7" s="325" t="s">
        <v>4266</v>
      </c>
      <c r="F7" s="309" t="s">
        <v>4267</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4268</v>
      </c>
      <c r="L7" s="117" t="s">
        <v>4269</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4270</v>
      </c>
      <c r="P7" s="309" t="s">
        <v>4271</v>
      </c>
      <c r="Q7" s="328" t="s">
        <v>4272</v>
      </c>
      <c r="R7" s="329" t="s">
        <v>4273</v>
      </c>
      <c r="S7" s="196"/>
      <c r="T7" s="196"/>
    </row>
    <row r="8">
      <c r="A8" s="325" t="s">
        <v>4274</v>
      </c>
      <c r="B8" s="309" t="s">
        <v>4275</v>
      </c>
      <c r="C8" s="325" t="str">
        <f>IFERROR(__xludf.DUMMYFUNCTION("GOOGLETRANSLATE(A8,""zh-tw"",""ja"")"),"騎士の剣")</f>
        <v>騎士の剣</v>
      </c>
      <c r="D8" s="309" t="str">
        <f>IFERROR(__xludf.DUMMYFUNCTION("GOOGLETRANSLATE(B8,""zh-tw"",""ja"")"),"物理攻撃力：30
条件を満たすと2倍")</f>
        <v>物理攻撃力：30
条件を満たすと2倍</v>
      </c>
      <c r="E8" s="325" t="s">
        <v>3851</v>
      </c>
      <c r="F8" s="309" t="s">
        <v>4276</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4277</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3855</v>
      </c>
      <c r="P8" s="309" t="s">
        <v>4278</v>
      </c>
      <c r="Q8" s="328" t="s">
        <v>4279</v>
      </c>
      <c r="R8" s="329" t="s">
        <v>4280</v>
      </c>
      <c r="S8" s="196"/>
      <c r="T8" s="196"/>
    </row>
    <row r="9">
      <c r="A9" s="325" t="s">
        <v>4281</v>
      </c>
      <c r="B9" s="309" t="s">
        <v>4282</v>
      </c>
      <c r="C9" s="325" t="s">
        <v>4283</v>
      </c>
      <c r="D9" s="309" t="str">
        <f>IFERROR(__xludf.DUMMYFUNCTION("GOOGLETRANSLATE(B9,""zh-tw"",""ja"")"),"物理攻撃力: 42")</f>
        <v>物理攻撃力: 42</v>
      </c>
      <c r="E9" s="325" t="s">
        <v>4284</v>
      </c>
      <c r="F9" s="309" t="s">
        <v>4285</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4286</v>
      </c>
      <c r="L9" s="117" t="s">
        <v>4287</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4288</v>
      </c>
      <c r="P9" s="309" t="s">
        <v>4289</v>
      </c>
      <c r="Q9" s="328" t="s">
        <v>4290</v>
      </c>
      <c r="R9" s="329" t="s">
        <v>4291</v>
      </c>
      <c r="S9" s="196"/>
      <c r="T9" s="196"/>
    </row>
    <row r="10">
      <c r="A10" s="326" t="s">
        <v>4292</v>
      </c>
      <c r="B10" s="121" t="s">
        <v>4293</v>
      </c>
      <c r="C10" s="326" t="s">
        <v>4294</v>
      </c>
      <c r="D10" s="105" t="s">
        <v>4295</v>
      </c>
      <c r="E10" s="330" t="s">
        <v>4296</v>
      </c>
      <c r="F10" s="105" t="s">
        <v>4297</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4298</v>
      </c>
      <c r="P10" s="105" t="s">
        <v>4299</v>
      </c>
      <c r="Q10" s="328" t="s">
        <v>4300</v>
      </c>
      <c r="R10" s="329" t="s">
        <v>4301</v>
      </c>
      <c r="S10" s="17"/>
      <c r="T10" s="17"/>
    </row>
    <row r="11">
      <c r="A11" s="325" t="s">
        <v>4302</v>
      </c>
      <c r="B11" s="309" t="s">
        <v>4303</v>
      </c>
      <c r="C11" s="325" t="s">
        <v>4304</v>
      </c>
      <c r="D11" s="309" t="str">
        <f>IFERROR(__xludf.DUMMYFUNCTION("GOOGLETRANSLATE(B11,""zh-tw"",""ja"")"),"物理攻撃力：20
飛び道具を反射する")</f>
        <v>物理攻撃力：20
飛び道具を反射する</v>
      </c>
      <c r="E11" s="325" t="s">
        <v>4305</v>
      </c>
      <c r="F11" s="309" t="s">
        <v>4306</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4307</v>
      </c>
      <c r="L11" s="117" t="s">
        <v>4308</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4309</v>
      </c>
      <c r="P11" s="309" t="s">
        <v>4310</v>
      </c>
      <c r="Q11" s="328" t="s">
        <v>4311</v>
      </c>
      <c r="R11" s="329" t="s">
        <v>4312</v>
      </c>
      <c r="S11" s="196"/>
      <c r="T11" s="196"/>
    </row>
    <row r="12">
      <c r="A12" s="325" t="s">
        <v>4313</v>
      </c>
      <c r="B12" s="309" t="s">
        <v>4314</v>
      </c>
      <c r="C12" s="325" t="s">
        <v>4315</v>
      </c>
      <c r="D12" s="309" t="str">
        <f>IFERROR(__xludf.DUMMYFUNCTION("GOOGLETRANSLATE(B12,""zh-tw"",""ja"")"),"物理攻撃力：14
悪臭を放つ")</f>
        <v>物理攻撃力：14
悪臭を放つ</v>
      </c>
      <c r="E12" s="325" t="s">
        <v>4316</v>
      </c>
      <c r="F12" s="309" t="s">
        <v>4317</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4318</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4319</v>
      </c>
      <c r="P12" s="309" t="s">
        <v>4320</v>
      </c>
      <c r="Q12" s="328" t="s">
        <v>4321</v>
      </c>
      <c r="R12" s="329" t="s">
        <v>4322</v>
      </c>
      <c r="S12" s="196"/>
      <c r="T12" s="196"/>
    </row>
    <row r="13">
      <c r="A13" s="325" t="s">
        <v>4323</v>
      </c>
      <c r="B13" s="309" t="s">
        <v>4324</v>
      </c>
      <c r="C13" s="325" t="str">
        <f>IFERROR(__xludf.DUMMYFUNCTION("GOOGLETRANSLATE(A13,""zh-tw"",""ja"")"),"ヤン・ヤン")</f>
        <v>ヤン・ヤン</v>
      </c>
      <c r="D13" s="309" t="str">
        <f>IFERROR(__xludf.DUMMYFUNCTION("GOOGLETRANSLATE(B13,""zh-tw"",""ja"")"),"物理攻撃力：32
魔法攻撃力：16
火")</f>
        <v>物理攻撃力：32
魔法攻撃力：16
火</v>
      </c>
      <c r="E13" s="325" t="s">
        <v>4325</v>
      </c>
      <c r="F13" s="309" t="s">
        <v>4326</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4327</v>
      </c>
      <c r="L13" s="117" t="s">
        <v>4328</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4329</v>
      </c>
      <c r="P13" s="309" t="s">
        <v>4330</v>
      </c>
      <c r="Q13" s="328" t="s">
        <v>4331</v>
      </c>
      <c r="R13" s="329" t="s">
        <v>4332</v>
      </c>
      <c r="S13" s="196"/>
      <c r="T13" s="196"/>
    </row>
    <row r="14">
      <c r="A14" s="325" t="s">
        <v>4333</v>
      </c>
      <c r="B14" s="309" t="s">
        <v>4334</v>
      </c>
      <c r="C14" s="325" t="s">
        <v>4333</v>
      </c>
      <c r="D14" s="309" t="str">
        <f>IFERROR(__xludf.DUMMYFUNCTION("GOOGLETRANSLATE(B14,""zh-tw"",""ja"")"),"物理攻撃力：20
魔法攻撃力：14
氷")</f>
        <v>物理攻撃力：20
魔法攻撃力：14
氷</v>
      </c>
      <c r="E14" s="325" t="s">
        <v>4335</v>
      </c>
      <c r="F14" s="309" t="s">
        <v>4336</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4337</v>
      </c>
      <c r="L14" s="117" t="s">
        <v>4338</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4339</v>
      </c>
      <c r="P14" s="309" t="s">
        <v>4340</v>
      </c>
      <c r="Q14" s="328" t="s">
        <v>4341</v>
      </c>
      <c r="R14" s="329" t="s">
        <v>4342</v>
      </c>
      <c r="S14" s="196"/>
      <c r="T14" s="196"/>
    </row>
    <row r="15">
      <c r="A15" s="325" t="s">
        <v>4343</v>
      </c>
      <c r="B15" s="309" t="s">
        <v>4344</v>
      </c>
      <c r="C15" s="325" t="str">
        <f>IFERROR(__xludf.DUMMYFUNCTION("GOOGLETRANSLATE(A15,""zh-tw"",""ja"")"),"漏電の可能性がある欠陥製品")</f>
        <v>漏電の可能性がある欠陥製品</v>
      </c>
      <c r="D15" s="309" t="str">
        <f>IFERROR(__xludf.DUMMYFUNCTION("GOOGLETRANSLATE(B15,""zh-tw"",""ja"")"),"物理攻撃力：32
魔法攻撃力：12
電撃")</f>
        <v>物理攻撃力：32
魔法攻撃力：12
電撃</v>
      </c>
      <c r="E15" s="325" t="s">
        <v>4345</v>
      </c>
      <c r="F15" s="309" t="s">
        <v>4346</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4347</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4348</v>
      </c>
      <c r="P15" s="309" t="s">
        <v>4349</v>
      </c>
      <c r="Q15" s="328" t="s">
        <v>4350</v>
      </c>
      <c r="R15" s="329" t="s">
        <v>4351</v>
      </c>
      <c r="S15" s="196"/>
      <c r="T15" s="196"/>
    </row>
    <row r="16">
      <c r="A16" s="325" t="s">
        <v>4352</v>
      </c>
      <c r="B16" s="309" t="s">
        <v>4353</v>
      </c>
      <c r="C16" s="325" t="s">
        <v>4354</v>
      </c>
      <c r="D16" s="309" t="str">
        <f>IFERROR(__xludf.DUMMYFUNCTION("GOOGLETRANSLATE(B16,""zh-tw"",""ja"")"),"物理攻撃力：14
毒")</f>
        <v>物理攻撃力：14
毒</v>
      </c>
      <c r="E16" s="325" t="s">
        <v>4355</v>
      </c>
      <c r="F16" s="309" t="s">
        <v>4356</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4357</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4358</v>
      </c>
      <c r="P16" s="309" t="s">
        <v>4359</v>
      </c>
      <c r="Q16" s="328" t="s">
        <v>4360</v>
      </c>
      <c r="R16" s="329" t="s">
        <v>4361</v>
      </c>
      <c r="S16" s="196"/>
      <c r="T16" s="196"/>
    </row>
    <row r="17">
      <c r="A17" s="325" t="s">
        <v>4362</v>
      </c>
      <c r="B17" s="309" t="s">
        <v>4363</v>
      </c>
      <c r="C17" s="325" t="s">
        <v>4364</v>
      </c>
      <c r="D17" s="309" t="str">
        <f>IFERROR(__xludf.DUMMYFUNCTION("GOOGLETRANSLATE(B17,""zh-tw"",""ja"")"),"物理攻撃力：42
分割攻撃")</f>
        <v>物理攻撃力：42
分割攻撃</v>
      </c>
      <c r="E17" s="324" t="s">
        <v>4365</v>
      </c>
      <c r="F17" s="117" t="s">
        <v>4366</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4367</v>
      </c>
      <c r="P17" s="309" t="s">
        <v>4368</v>
      </c>
      <c r="Q17" s="328" t="s">
        <v>4369</v>
      </c>
      <c r="R17" s="329" t="s">
        <v>4370</v>
      </c>
      <c r="S17" s="196"/>
      <c r="T17" s="196"/>
    </row>
    <row r="18" ht="49.5" customHeight="1">
      <c r="A18" s="325" t="s">
        <v>4371</v>
      </c>
      <c r="B18" s="309" t="s">
        <v>4372</v>
      </c>
      <c r="C18" s="325" t="s">
        <v>4373</v>
      </c>
      <c r="D18" s="309" t="str">
        <f>IFERROR(__xludf.DUMMYFUNCTION("GOOGLETRANSLATE(B18,""zh-tw"",""ja"")"),"物理攻撃力: 48
魔法耐性: 20
武器タイプ:")</f>
        <v>物理攻撃力: 48
魔法耐性: 20
武器タイプ:</v>
      </c>
      <c r="E18" s="325" t="s">
        <v>4374</v>
      </c>
      <c r="F18" s="309" t="s">
        <v>4375</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4376</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4377</v>
      </c>
      <c r="P18" s="309" t="s">
        <v>4378</v>
      </c>
      <c r="Q18" s="328" t="s">
        <v>4379</v>
      </c>
      <c r="R18" s="329" t="s">
        <v>4380</v>
      </c>
      <c r="S18" s="196"/>
      <c r="T18" s="196"/>
    </row>
    <row r="19">
      <c r="A19" s="325" t="s">
        <v>4381</v>
      </c>
      <c r="B19" s="309" t="s">
        <v>4382</v>
      </c>
      <c r="C19" s="325" t="s">
        <v>4383</v>
      </c>
      <c r="D19" s="309" t="str">
        <f>IFERROR(__xludf.DUMMYFUNCTION("GOOGLETRANSLATE(B19,""zh-tw"",""ja"")"),"物理攻撃力：1
累積ダメージ武器")</f>
        <v>物理攻撃力：1
累積ダメージ武器</v>
      </c>
      <c r="E19" s="325" t="s">
        <v>4384</v>
      </c>
      <c r="F19" s="309" t="s">
        <v>4385</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4386</v>
      </c>
      <c r="P19" s="309" t="s">
        <v>4387</v>
      </c>
      <c r="Q19" s="328" t="s">
        <v>4388</v>
      </c>
      <c r="R19" s="329" t="s">
        <v>4389</v>
      </c>
      <c r="S19" s="196"/>
      <c r="T19" s="196"/>
    </row>
    <row r="20">
      <c r="A20" s="325" t="s">
        <v>4390</v>
      </c>
      <c r="B20" s="309" t="s">
        <v>4391</v>
      </c>
      <c r="C20" s="325" t="s">
        <v>4392</v>
      </c>
      <c r="D20" s="309" t="str">
        <f>IFERROR(__xludf.DUMMYFUNCTION("GOOGLETRANSLATE(B20,""zh-tw"",""ja"")"),"物理攻撃力: 20
物理耐性: 2
累積品質武器")</f>
        <v>物理攻撃力: 20
物理耐性: 2
累積品質武器</v>
      </c>
      <c r="E20" s="325" t="s">
        <v>4393</v>
      </c>
      <c r="F20" s="309" t="s">
        <v>4394</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4395</v>
      </c>
      <c r="P20" s="309" t="s">
        <v>4396</v>
      </c>
      <c r="Q20" s="328" t="s">
        <v>4397</v>
      </c>
      <c r="R20" s="329" t="s">
        <v>4398</v>
      </c>
      <c r="S20" s="196"/>
      <c r="T20" s="196"/>
    </row>
    <row r="21">
      <c r="A21" s="325" t="s">
        <v>4399</v>
      </c>
      <c r="B21" s="309" t="s">
        <v>4400</v>
      </c>
      <c r="C21" s="325" t="s">
        <v>4401</v>
      </c>
      <c r="D21" s="309" t="str">
        <f>IFERROR(__xludf.DUMMYFUNCTION("GOOGLETRANSLATE(B21,""zh-tw"",""ja"")"),"物理攻撃力：40
ソードウェーブ発射")</f>
        <v>物理攻撃力：40
ソードウェーブ発射</v>
      </c>
      <c r="E21" s="325" t="s">
        <v>4402</v>
      </c>
      <c r="F21" s="309" t="s">
        <v>4403</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4404</v>
      </c>
      <c r="P21" s="309" t="s">
        <v>4405</v>
      </c>
      <c r="Q21" s="328" t="s">
        <v>4406</v>
      </c>
      <c r="R21" s="329" t="s">
        <v>4407</v>
      </c>
      <c r="S21" s="196"/>
      <c r="T21" s="196"/>
    </row>
    <row r="22">
      <c r="A22" s="325" t="s">
        <v>4408</v>
      </c>
      <c r="B22" s="309" t="s">
        <v>4409</v>
      </c>
      <c r="C22" s="325" t="s">
        <v>4410</v>
      </c>
      <c r="D22" s="309" t="str">
        <f>IFERROR(__xludf.DUMMYFUNCTION("GOOGLETRANSLATE(B22,""zh-tw"",""ja"")"),"物理攻撃力：30
出血")</f>
        <v>物理攻撃力：30
出血</v>
      </c>
      <c r="E22" s="325" t="s">
        <v>4411</v>
      </c>
      <c r="F22" s="309" t="s">
        <v>4412</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4413</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4414</v>
      </c>
      <c r="P22" s="309" t="s">
        <v>4415</v>
      </c>
      <c r="Q22" s="328" t="s">
        <v>4416</v>
      </c>
      <c r="R22" s="329" t="s">
        <v>4417</v>
      </c>
      <c r="S22" s="196"/>
      <c r="T22" s="196"/>
    </row>
    <row r="23">
      <c r="A23" s="325" t="s">
        <v>4418</v>
      </c>
      <c r="B23" s="309" t="s">
        <v>4419</v>
      </c>
      <c r="C23" s="325" t="s">
        <v>4420</v>
      </c>
      <c r="D23" s="309" t="str">
        <f>IFERROR(__xludf.DUMMYFUNCTION("GOOGLETRANSLATE(B23,""zh-tw"",""ja"")"),"物理攻撃力：32
ノックダウン回復")</f>
        <v>物理攻撃力：32
ノックダウン回復</v>
      </c>
      <c r="E23" s="325" t="s">
        <v>4421</v>
      </c>
      <c r="F23" s="309" t="s">
        <v>4422</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IFERROR(__xludf.DUMMYFUNCTION("GOOGLETRANSLATE(A23,""zh-tw"",""es-MX"")"),"cuchilla parásita")</f>
        <v>cuchilla parásita</v>
      </c>
      <c r="J23" s="121" t="str">
        <f>IFERROR(__xludf.DUMMYFUNCTION("GOOGLETRANSLATE(B23,""zh-tw"",""es-MX"")"),"Ataque físico: 32
Recuperación tras derribo")</f>
        <v>Ataque físico: 32
Recuperación tras derribo</v>
      </c>
      <c r="K23" s="324" t="s">
        <v>4423</v>
      </c>
      <c r="L23" s="117" t="s">
        <v>4424</v>
      </c>
      <c r="M23" s="327" t="str">
        <f>IFERROR(__xludf.DUMMYFUNCTION("GOOGLETRANSLATE(A23,""zh-tw"",""ru"")"),"паразитическое лезвие")</f>
        <v>паразитическое лезвие</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4425</v>
      </c>
      <c r="P23" s="309" t="s">
        <v>4426</v>
      </c>
      <c r="Q23" s="328" t="s">
        <v>4427</v>
      </c>
      <c r="R23" s="329" t="s">
        <v>4428</v>
      </c>
      <c r="S23" s="196"/>
      <c r="T23" s="196"/>
    </row>
    <row r="24">
      <c r="A24" s="330" t="s">
        <v>4429</v>
      </c>
      <c r="B24" s="105" t="s">
        <v>4430</v>
      </c>
      <c r="C24" s="330" t="s">
        <v>4431</v>
      </c>
      <c r="D24" s="105" t="s">
        <v>4432</v>
      </c>
      <c r="E24" s="330" t="s">
        <v>4433</v>
      </c>
      <c r="F24" s="105" t="s">
        <v>4434</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IFERROR(__xludf.DUMMYFUNCTION("GOOGLETRANSLATE(A24,""zh-tw"",""ru"")"),"Плохой Меч")</f>
        <v>Плохой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4436</v>
      </c>
      <c r="P24" s="105" t="s">
        <v>4437</v>
      </c>
      <c r="Q24" s="328" t="s">
        <v>4438</v>
      </c>
      <c r="R24" s="329" t="s">
        <v>4439</v>
      </c>
      <c r="S24" s="196"/>
      <c r="T24" s="196"/>
    </row>
    <row r="25">
      <c r="A25" s="330" t="s">
        <v>4440</v>
      </c>
      <c r="B25" s="105" t="s">
        <v>4441</v>
      </c>
      <c r="C25" s="330" t="s">
        <v>4442</v>
      </c>
      <c r="D25" s="105" t="s">
        <v>4443</v>
      </c>
      <c r="E25" s="330" t="s">
        <v>4444</v>
      </c>
      <c r="F25" s="105" t="s">
        <v>4445</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4446</v>
      </c>
      <c r="P25" s="105" t="s">
        <v>4447</v>
      </c>
      <c r="Q25" s="328" t="s">
        <v>4448</v>
      </c>
      <c r="R25" s="329" t="s">
        <v>4449</v>
      </c>
      <c r="S25" s="196"/>
      <c r="T25" s="196"/>
    </row>
    <row r="26">
      <c r="A26" s="325" t="s">
        <v>4450</v>
      </c>
      <c r="B26" s="309" t="s">
        <v>4451</v>
      </c>
      <c r="C26" s="325" t="s">
        <v>4452</v>
      </c>
      <c r="D26" s="309" t="s">
        <v>4453</v>
      </c>
      <c r="E26" s="325" t="s">
        <v>4454</v>
      </c>
      <c r="F26" s="309" t="s">
        <v>4455</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4456</v>
      </c>
      <c r="P26" s="309" t="s">
        <v>4457</v>
      </c>
      <c r="Q26" s="328" t="s">
        <v>4458</v>
      </c>
      <c r="R26" s="329" t="s">
        <v>4459</v>
      </c>
      <c r="S26" s="196"/>
      <c r="T26" s="196"/>
    </row>
    <row r="27">
      <c r="A27" s="325" t="s">
        <v>4460</v>
      </c>
      <c r="B27" s="309" t="s">
        <v>4461</v>
      </c>
      <c r="C27" s="325" t="s">
        <v>4462</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4463</v>
      </c>
      <c r="F27" s="309" t="s">
        <v>4464</v>
      </c>
      <c r="G27" s="325" t="str">
        <f>IFERROR(__xludf.DUMMYFUNCTION("GOOGLETRANSLATE(A27,""zh-tw"",""zh"")"),"克里乌之光")</f>
        <v>克里乌之光</v>
      </c>
      <c r="H27" s="309" t="s">
        <v>4465</v>
      </c>
      <c r="I27" s="326"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4466</v>
      </c>
      <c r="P27" s="309" t="s">
        <v>4467</v>
      </c>
      <c r="Q27" s="328" t="s">
        <v>4468</v>
      </c>
      <c r="R27" s="329" t="s">
        <v>4469</v>
      </c>
      <c r="S27" s="196"/>
      <c r="T27" s="196"/>
    </row>
    <row r="28">
      <c r="A28" s="325" t="s">
        <v>4470</v>
      </c>
      <c r="B28" s="309" t="s">
        <v>4471</v>
      </c>
      <c r="C28" s="325" t="str">
        <f>IFERROR(__xludf.DUMMYFUNCTION("GOOGLETRANSLATE(A28,""zh-tw"",""ja"")"),"木製の弓")</f>
        <v>木製の弓</v>
      </c>
      <c r="D28" s="309" t="str">
        <f>IFERROR(__xludf.DUMMYFUNCTION("GOOGLETRANSLATE(B28,""zh-tw"",""ja"")"),"物理攻撃力: 20")</f>
        <v>物理攻撃力: 20</v>
      </c>
      <c r="E28" s="325" t="s">
        <v>4472</v>
      </c>
      <c r="F28" s="309" t="s">
        <v>4473</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4474</v>
      </c>
      <c r="P28" s="309" t="s">
        <v>4475</v>
      </c>
      <c r="Q28" s="328" t="s">
        <v>4476</v>
      </c>
      <c r="R28" s="329" t="s">
        <v>4477</v>
      </c>
      <c r="S28" s="196"/>
      <c r="T28" s="196"/>
    </row>
    <row r="29">
      <c r="A29" s="325" t="s">
        <v>4478</v>
      </c>
      <c r="B29" s="309" t="s">
        <v>4479</v>
      </c>
      <c r="C29" s="325" t="s">
        <v>4480</v>
      </c>
      <c r="D29" s="309" t="str">
        <f>IFERROR(__xludf.DUMMYFUNCTION("GOOGLETRANSLATE(B29,""zh-tw"",""ja"")"),"物理攻撃力：24
貫通")</f>
        <v>物理攻撃力：24
貫通</v>
      </c>
      <c r="E29" s="325" t="s">
        <v>4481</v>
      </c>
      <c r="F29" s="309" t="s">
        <v>4482</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4483</v>
      </c>
      <c r="P29" s="309" t="s">
        <v>4484</v>
      </c>
      <c r="Q29" s="328" t="s">
        <v>4485</v>
      </c>
      <c r="R29" s="329" t="s">
        <v>4486</v>
      </c>
      <c r="S29" s="196"/>
      <c r="T29" s="196"/>
    </row>
    <row r="30">
      <c r="A30" s="325" t="s">
        <v>4487</v>
      </c>
      <c r="B30" s="309" t="s">
        <v>4488</v>
      </c>
      <c r="C30" s="325" t="s">
        <v>4489</v>
      </c>
      <c r="D30" s="309" t="str">
        <f>IFERROR(__xludf.DUMMYFUNCTION("GOOGLETRANSLATE(B30,""zh-tw"",""ja"")"),"物理攻撃力：18
魔法攻撃力：18
火")</f>
        <v>物理攻撃力：18
魔法攻撃力：18
火</v>
      </c>
      <c r="E30" s="325" t="s">
        <v>4490</v>
      </c>
      <c r="F30" s="309" t="s">
        <v>4491</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4492</v>
      </c>
      <c r="P30" s="309" t="s">
        <v>4493</v>
      </c>
      <c r="Q30" s="328" t="s">
        <v>4494</v>
      </c>
      <c r="R30" s="329" t="s">
        <v>4495</v>
      </c>
      <c r="S30" s="196"/>
      <c r="T30" s="196"/>
    </row>
    <row r="31">
      <c r="A31" s="325" t="s">
        <v>4496</v>
      </c>
      <c r="B31" s="309" t="s">
        <v>4497</v>
      </c>
      <c r="C31" s="325" t="s">
        <v>4496</v>
      </c>
      <c r="D31" s="309" t="str">
        <f>IFERROR(__xludf.DUMMYFUNCTION("GOOGLETRANSLATE(B31,""zh-tw"",""ja"")"),"物理攻撃力：16
魔法攻撃力：16
氷属性")</f>
        <v>物理攻撃力：16
魔法攻撃力：16
氷属性</v>
      </c>
      <c r="E31" s="325" t="s">
        <v>4498</v>
      </c>
      <c r="F31" s="309" t="s">
        <v>4499</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4500</v>
      </c>
      <c r="P31" s="309" t="s">
        <v>4501</v>
      </c>
      <c r="Q31" s="328" t="s">
        <v>4502</v>
      </c>
      <c r="R31" s="329" t="s">
        <v>4503</v>
      </c>
      <c r="S31" s="196"/>
      <c r="T31" s="196"/>
    </row>
    <row r="32">
      <c r="A32" s="325" t="s">
        <v>4504</v>
      </c>
      <c r="B32" s="309" t="s">
        <v>4505</v>
      </c>
      <c r="C32" s="325" t="str">
        <f>IFERROR(__xludf.DUMMYFUNCTION("GOOGLETRANSLATE(A32,""zh-tw"",""ja"")"),"千鳥")</f>
        <v>千鳥</v>
      </c>
      <c r="D32" s="309" t="str">
        <f>IFERROR(__xludf.DUMMYFUNCTION("GOOGLETRANSLATE(B32,""zh-tw"",""ja"")"),"物理攻撃力：16
魔法攻撃力：16
雷属性")</f>
        <v>物理攻撃力：16
魔法攻撃力：16
雷属性</v>
      </c>
      <c r="E32" s="325" t="s">
        <v>4506</v>
      </c>
      <c r="F32" s="309" t="s">
        <v>4507</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4508</v>
      </c>
      <c r="P32" s="309" t="s">
        <v>4509</v>
      </c>
      <c r="Q32" s="328" t="s">
        <v>4510</v>
      </c>
      <c r="R32" s="329" t="s">
        <v>4511</v>
      </c>
      <c r="S32" s="196"/>
      <c r="T32" s="196"/>
    </row>
    <row r="33">
      <c r="A33" s="325" t="s">
        <v>4512</v>
      </c>
      <c r="B33" s="309" t="s">
        <v>4513</v>
      </c>
      <c r="C33" s="325" t="s">
        <v>4514</v>
      </c>
      <c r="D33" s="309" t="str">
        <f>IFERROR(__xludf.DUMMYFUNCTION("GOOGLETRANSLATE(B33,""zh-tw"",""ja"")"),"物理攻撃力：32
バースト")</f>
        <v>物理攻撃力：32
バースト</v>
      </c>
      <c r="E33" s="325" t="s">
        <v>4515</v>
      </c>
      <c r="F33" s="309" t="s">
        <v>4516</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4517</v>
      </c>
      <c r="P33" s="309" t="s">
        <v>4518</v>
      </c>
      <c r="Q33" s="328" t="s">
        <v>4519</v>
      </c>
      <c r="R33" s="329" t="s">
        <v>4520</v>
      </c>
      <c r="S33" s="196"/>
      <c r="T33" s="196"/>
    </row>
    <row r="34">
      <c r="A34" s="325" t="s">
        <v>4111</v>
      </c>
      <c r="B34" s="309" t="s">
        <v>4521</v>
      </c>
      <c r="C34" s="325" t="str">
        <f>IFERROR(__xludf.DUMMYFUNCTION("GOOGLETRANSLATE(A34,""zh-tw"",""ja"")"),"溶岩の杖")</f>
        <v>溶岩の杖</v>
      </c>
      <c r="D34" s="309" t="str">
        <f>IFERROR(__xludf.DUMMYFUNCTION("GOOGLETRANSLATE(B34,""zh-tw"",""ja"")"),"物理攻撃力：1
魔法攻撃力：86
火")</f>
        <v>物理攻撃力：1
魔法攻撃力：86
火</v>
      </c>
      <c r="E34" s="325" t="s">
        <v>4115</v>
      </c>
      <c r="F34" s="309" t="s">
        <v>4522</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4118</v>
      </c>
      <c r="P34" s="309" t="s">
        <v>4523</v>
      </c>
      <c r="Q34" s="328" t="s">
        <v>4524</v>
      </c>
      <c r="R34" s="329" t="s">
        <v>4525</v>
      </c>
      <c r="S34" s="196"/>
      <c r="T34" s="196"/>
    </row>
    <row r="35">
      <c r="A35" s="325" t="s">
        <v>4526</v>
      </c>
      <c r="B35" s="309" t="s">
        <v>4527</v>
      </c>
      <c r="C35" s="325" t="s">
        <v>4528</v>
      </c>
      <c r="D35" s="309" t="str">
        <f>IFERROR(__xludf.DUMMYFUNCTION("GOOGLETRANSLATE(B35,""zh-tw"",""ja"")"),"物理攻撃力：1
魔法攻撃力：55
氷属性")</f>
        <v>物理攻撃力：1
魔法攻撃力：55
氷属性</v>
      </c>
      <c r="E35" s="325" t="s">
        <v>4529</v>
      </c>
      <c r="F35" s="309" t="s">
        <v>4530</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4531</v>
      </c>
      <c r="P35" s="309" t="s">
        <v>4532</v>
      </c>
      <c r="Q35" s="328" t="s">
        <v>4533</v>
      </c>
      <c r="R35" s="329" t="s">
        <v>4534</v>
      </c>
      <c r="S35" s="196"/>
      <c r="T35" s="196"/>
    </row>
    <row r="36">
      <c r="A36" s="325" t="s">
        <v>4535</v>
      </c>
      <c r="B36" s="309" t="s">
        <v>4536</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4537</v>
      </c>
      <c r="F36" s="309" t="s">
        <v>4538</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6"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7" t="str">
        <f>IFERROR(__xludf.DUMMYFUNCTION("GOOGLETRANSLATE(A36,""zh-tw"",""ru"")"),"звездная лунная ночь")</f>
        <v>звездная лунная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4539</v>
      </c>
      <c r="P36" s="309" t="s">
        <v>4540</v>
      </c>
      <c r="Q36" s="328" t="s">
        <v>4541</v>
      </c>
      <c r="R36" s="329" t="s">
        <v>4542</v>
      </c>
      <c r="S36" s="196"/>
      <c r="T36" s="196"/>
    </row>
    <row r="37">
      <c r="A37" s="325" t="s">
        <v>4543</v>
      </c>
      <c r="B37" s="309" t="s">
        <v>4544</v>
      </c>
      <c r="C37" s="325" t="str">
        <f>IFERROR(__xludf.DUMMYFUNCTION("GOOGLETRANSLATE(A37,""zh-tw"",""ja"")"),"バナナ？")</f>
        <v>バナナ？</v>
      </c>
      <c r="D37" s="309" t="str">
        <f>IFERROR(__xludf.DUMMYFUNCTION("GOOGLETRANSLATE(B37,""zh-tw"",""ja"")"),"物理攻撃力：10
爆発")</f>
        <v>物理攻撃力：10
爆発</v>
      </c>
      <c r="E37" s="325" t="s">
        <v>4545</v>
      </c>
      <c r="F37" s="309" t="s">
        <v>4546</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4547</v>
      </c>
      <c r="P37" s="309" t="s">
        <v>4548</v>
      </c>
      <c r="Q37" s="328" t="s">
        <v>4549</v>
      </c>
      <c r="R37" s="329" t="s">
        <v>4550</v>
      </c>
      <c r="S37" s="196"/>
      <c r="T37" s="196"/>
    </row>
    <row r="38" ht="68.25" customHeight="1">
      <c r="A38" s="325" t="s">
        <v>4551</v>
      </c>
      <c r="B38" s="309" t="s">
        <v>4552</v>
      </c>
      <c r="C38" s="325" t="s">
        <v>4553</v>
      </c>
      <c r="D38" s="309" t="str">
        <f>IFERROR(__xludf.DUMMYFUNCTION("GOOGLETRANSLATE(B38,""zh-tw"",""ja"")"),"物理攻撃力：1
魔法攻撃力：1
アイテム吸収")</f>
        <v>物理攻撃力：1
魔法攻撃力：1
アイテム吸収</v>
      </c>
      <c r="E38" s="325" t="s">
        <v>4554</v>
      </c>
      <c r="F38" s="309" t="s">
        <v>4555</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4556</v>
      </c>
      <c r="P38" s="309" t="s">
        <v>4557</v>
      </c>
      <c r="Q38" s="328" t="s">
        <v>4558</v>
      </c>
      <c r="R38" s="329" t="s">
        <v>4559</v>
      </c>
      <c r="S38" s="196"/>
      <c r="T38" s="196"/>
    </row>
    <row r="39">
      <c r="A39" s="325" t="s">
        <v>4560</v>
      </c>
      <c r="B39" s="309" t="s">
        <v>4561</v>
      </c>
      <c r="C39" s="325" t="s">
        <v>4562</v>
      </c>
      <c r="D39" s="309" t="str">
        <f>IFERROR(__xludf.DUMMYFUNCTION("GOOGLETRANSLATE(B39,""zh-tw"",""ja"")"),"物理攻撃力：15
対象をクリップする")</f>
        <v>物理攻撃力：15
対象をクリップする</v>
      </c>
      <c r="E39" s="325" t="s">
        <v>4563</v>
      </c>
      <c r="F39" s="309" t="s">
        <v>4564</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4565</v>
      </c>
      <c r="P39" s="309" t="s">
        <v>4566</v>
      </c>
      <c r="Q39" s="328" t="s">
        <v>4567</v>
      </c>
      <c r="R39" s="329" t="s">
        <v>4568</v>
      </c>
      <c r="S39" s="196"/>
      <c r="T39" s="196"/>
    </row>
    <row r="40">
      <c r="A40" s="324" t="s">
        <v>4569</v>
      </c>
      <c r="B40" s="117" t="s">
        <v>4570</v>
      </c>
      <c r="C40" s="325" t="s">
        <v>4569</v>
      </c>
      <c r="D40" s="309" t="str">
        <f>IFERROR(__xludf.DUMMYFUNCTION("GOOGLETRANSLATE(B40,""zh-tw"",""ja"")"),"物理攻撃力：36
スタン確率")</f>
        <v>物理攻撃力：36
スタン確率</v>
      </c>
      <c r="E40" s="325" t="s">
        <v>4571</v>
      </c>
      <c r="F40" s="309" t="s">
        <v>4572</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4573</v>
      </c>
      <c r="P40" s="309" t="s">
        <v>4574</v>
      </c>
      <c r="Q40" s="328" t="s">
        <v>4575</v>
      </c>
      <c r="R40" s="329" t="s">
        <v>4576</v>
      </c>
      <c r="S40" s="17"/>
      <c r="T40" s="17"/>
    </row>
    <row r="41">
      <c r="A41" s="326" t="s">
        <v>4577</v>
      </c>
      <c r="B41" s="121" t="s">
        <v>4578</v>
      </c>
      <c r="C41" s="326" t="s">
        <v>4577</v>
      </c>
      <c r="D41" s="121" t="s">
        <v>4579</v>
      </c>
      <c r="E41" s="326" t="s">
        <v>4580</v>
      </c>
      <c r="F41" s="121" t="s">
        <v>4581</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4582</v>
      </c>
      <c r="P41" s="105" t="s">
        <v>4583</v>
      </c>
      <c r="Q41" s="328" t="s">
        <v>4584</v>
      </c>
      <c r="R41" s="329" t="s">
        <v>4585</v>
      </c>
      <c r="S41" s="17"/>
      <c r="T41" s="17"/>
    </row>
    <row r="42">
      <c r="A42" s="326" t="s">
        <v>4586</v>
      </c>
      <c r="B42" s="117" t="s">
        <v>4587</v>
      </c>
      <c r="C42" s="326" t="s">
        <v>4588</v>
      </c>
      <c r="D42" s="121" t="s">
        <v>4589</v>
      </c>
      <c r="E42" s="326" t="s">
        <v>4590</v>
      </c>
      <c r="F42" s="121" t="s">
        <v>4591</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4592</v>
      </c>
      <c r="P42" s="105" t="s">
        <v>4593</v>
      </c>
      <c r="Q42" s="328" t="s">
        <v>4594</v>
      </c>
      <c r="R42" s="329" t="s">
        <v>4595</v>
      </c>
      <c r="S42" s="17"/>
      <c r="T42" s="17"/>
    </row>
    <row r="43">
      <c r="A43" s="324" t="s">
        <v>4596</v>
      </c>
      <c r="B43" s="117" t="s">
        <v>4597</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4598</v>
      </c>
      <c r="F43" s="117" t="s">
        <v>4599</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4600</v>
      </c>
      <c r="P43" s="117" t="s">
        <v>4601</v>
      </c>
      <c r="Q43" s="328" t="s">
        <v>4602</v>
      </c>
      <c r="R43" s="329" t="s">
        <v>4603</v>
      </c>
      <c r="S43" s="17"/>
      <c r="T43" s="17"/>
    </row>
    <row r="44">
      <c r="A44" s="324" t="s">
        <v>4604</v>
      </c>
      <c r="B44" s="117" t="s">
        <v>4605</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4606</v>
      </c>
      <c r="F44" s="117" t="s">
        <v>4607</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4608</v>
      </c>
      <c r="P44" s="117" t="s">
        <v>4609</v>
      </c>
      <c r="Q44" s="328" t="s">
        <v>4610</v>
      </c>
      <c r="R44" s="329" t="s">
        <v>4611</v>
      </c>
      <c r="S44" s="17"/>
      <c r="T44" s="17"/>
    </row>
    <row r="45">
      <c r="A45" s="325" t="s">
        <v>4612</v>
      </c>
      <c r="B45" s="309" t="s">
        <v>4613</v>
      </c>
      <c r="C45" s="325" t="s">
        <v>4614</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4615</v>
      </c>
      <c r="F45" s="309" t="s">
        <v>4616</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4617</v>
      </c>
      <c r="P45" s="309" t="s">
        <v>4618</v>
      </c>
      <c r="Q45" s="328" t="s">
        <v>4619</v>
      </c>
      <c r="R45" s="329" t="s">
        <v>4620</v>
      </c>
      <c r="S45" s="196"/>
      <c r="T45" s="196"/>
    </row>
    <row r="46">
      <c r="A46" s="324" t="s">
        <v>4621</v>
      </c>
      <c r="B46" s="117" t="s">
        <v>4622</v>
      </c>
      <c r="C46" s="324" t="s">
        <v>4623</v>
      </c>
      <c r="D46" s="107" t="s">
        <v>4624</v>
      </c>
      <c r="E46" s="324" t="s">
        <v>4625</v>
      </c>
      <c r="F46" s="117" t="s">
        <v>4626</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4" t="s">
        <v>4627</v>
      </c>
      <c r="P46" s="117" t="s">
        <v>4628</v>
      </c>
      <c r="Q46" s="331" t="s">
        <v>4629</v>
      </c>
      <c r="R46" s="123" t="s">
        <v>4630</v>
      </c>
      <c r="S46" s="17"/>
      <c r="T46" s="17"/>
    </row>
    <row r="47">
      <c r="A47" s="330" t="s">
        <v>4631</v>
      </c>
      <c r="B47" s="117" t="s">
        <v>4632</v>
      </c>
      <c r="C47" s="326"/>
      <c r="D47" s="105"/>
      <c r="E47" s="324" t="s">
        <v>3048</v>
      </c>
      <c r="F47" s="117" t="s">
        <v>4633</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3051</v>
      </c>
      <c r="R47" s="329" t="s">
        <v>4634</v>
      </c>
      <c r="S47" s="17"/>
      <c r="T47" s="17"/>
    </row>
    <row r="48">
      <c r="A48" s="324" t="s">
        <v>4635</v>
      </c>
      <c r="B48" s="117" t="s">
        <v>4636</v>
      </c>
      <c r="C48" s="326"/>
      <c r="D48" s="127"/>
      <c r="E48" s="324" t="s">
        <v>3037</v>
      </c>
      <c r="F48" s="117" t="s">
        <v>4637</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4638</v>
      </c>
      <c r="R48" s="176" t="s">
        <v>4639</v>
      </c>
      <c r="S48" s="17"/>
      <c r="T48" s="17"/>
    </row>
    <row r="49">
      <c r="A49" s="324" t="s">
        <v>4640</v>
      </c>
      <c r="B49" s="117" t="s">
        <v>4641</v>
      </c>
      <c r="C49" s="326"/>
      <c r="D49" s="127"/>
      <c r="E49" s="324" t="s">
        <v>4642</v>
      </c>
      <c r="F49" s="117" t="s">
        <v>4643</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4644</v>
      </c>
      <c r="R49" s="176" t="s">
        <v>4645</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c r="U1" s="292"/>
      <c r="V1" s="292"/>
      <c r="W1" s="292"/>
      <c r="X1" s="292"/>
      <c r="Y1" s="292"/>
      <c r="Z1" s="292"/>
    </row>
    <row r="2" ht="41.25" customHeight="1">
      <c r="S2" s="292"/>
      <c r="T2" s="292"/>
      <c r="U2" s="292"/>
      <c r="V2" s="292"/>
      <c r="W2" s="292"/>
      <c r="X2" s="292"/>
      <c r="Y2" s="292"/>
      <c r="Z2" s="292"/>
    </row>
    <row r="3">
      <c r="A3" s="319" t="s">
        <v>4646</v>
      </c>
      <c r="B3" s="72" t="s">
        <v>4647</v>
      </c>
      <c r="C3" s="334" t="str">
        <f>IFERROR(__xludf.DUMMYFUNCTION("GOOGLETRANSLATE(A3,""zh-tw"",""ja"")"),"装備品")</f>
        <v>装備品</v>
      </c>
      <c r="D3" s="335" t="str">
        <f>IFERROR(__xludf.DUMMYFUNCTION("GOOGLETRANSLATE(B3,""zh-tw"",""ja"")"),"装備の属性")</f>
        <v>装備の属性</v>
      </c>
      <c r="E3" s="336" t="s">
        <v>4648</v>
      </c>
      <c r="F3" s="14" t="s">
        <v>4228</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4649</v>
      </c>
      <c r="P3" s="72" t="s">
        <v>4650</v>
      </c>
      <c r="Q3" s="322" t="s">
        <v>4651</v>
      </c>
      <c r="R3" s="323" t="s">
        <v>4232</v>
      </c>
      <c r="S3" s="17"/>
      <c r="T3" s="17"/>
      <c r="U3" s="17"/>
      <c r="V3" s="17"/>
      <c r="W3" s="17"/>
      <c r="X3" s="17"/>
      <c r="Y3" s="17"/>
      <c r="Z3" s="17"/>
    </row>
    <row r="4">
      <c r="A4" s="325" t="s">
        <v>4652</v>
      </c>
      <c r="B4" s="309" t="s">
        <v>4653</v>
      </c>
      <c r="C4" s="337" t="s">
        <v>4654</v>
      </c>
      <c r="D4" s="178" t="s">
        <v>4655</v>
      </c>
      <c r="E4" s="324" t="s">
        <v>4656</v>
      </c>
      <c r="F4" s="117" t="s">
        <v>4657</v>
      </c>
      <c r="G4" s="326" t="str">
        <f>IFERROR(__xludf.DUMMYFUNCTION("GOOGLETRANSLATE(A4,""zh-tw"",""zh"")"),"妹妹脱下的内裤")</f>
        <v>妹妹脱下的内裤</v>
      </c>
      <c r="H4" s="121" t="str">
        <f>IFERROR(__xludf.DUMMYFUNCTION("GOOGLETRANSLATE(B4,""zh-tw"",""zh"")"),"低体力回复")</f>
        <v>低体力回复</v>
      </c>
      <c r="I4" s="324" t="s">
        <v>4658</v>
      </c>
      <c r="J4" s="117" t="s">
        <v>4659</v>
      </c>
      <c r="K4" s="324" t="s">
        <v>4660</v>
      </c>
      <c r="L4" s="117" t="s">
        <v>4661</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4662</v>
      </c>
      <c r="P4" s="309" t="s">
        <v>4663</v>
      </c>
      <c r="Q4" s="328" t="s">
        <v>4664</v>
      </c>
      <c r="R4" s="329" t="s">
        <v>4665</v>
      </c>
      <c r="S4" s="17"/>
      <c r="T4" s="17"/>
      <c r="U4" s="17"/>
      <c r="V4" s="17"/>
      <c r="W4" s="17"/>
      <c r="X4" s="17"/>
      <c r="Y4" s="17"/>
      <c r="Z4" s="17"/>
    </row>
    <row r="5">
      <c r="A5" s="325" t="s">
        <v>4666</v>
      </c>
      <c r="B5" s="309" t="s">
        <v>4667</v>
      </c>
      <c r="C5" s="337" t="s">
        <v>4668</v>
      </c>
      <c r="D5" s="338" t="str">
        <f>IFERROR(__xludf.DUMMYFUNCTION("GOOGLETRANSLATE(B5,""zh-tw"",""ja"")"),"性欲が増し、全属性が10%増加")</f>
        <v>性欲が増し、全属性が10%増加</v>
      </c>
      <c r="E5" s="324" t="s">
        <v>4669</v>
      </c>
      <c r="F5" s="117" t="s">
        <v>4670</v>
      </c>
      <c r="G5" s="326" t="str">
        <f>IFERROR(__xludf.DUMMYFUNCTION("GOOGLETRANSLATE(A5,""zh-tw"",""zh"")"),"少女的笑容")</f>
        <v>少女的笑容</v>
      </c>
      <c r="H5" s="121" t="str">
        <f>IFERROR(__xludf.DUMMYFUNCTION("GOOGLETRANSLATE(B5,""zh-tw"",""zh"")"),"性欲上升，全属性上升10%")</f>
        <v>性欲上升，全属性上升10%</v>
      </c>
      <c r="I5" s="324" t="s">
        <v>4671</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4672</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4673</v>
      </c>
      <c r="P5" s="309" t="s">
        <v>4674</v>
      </c>
      <c r="Q5" s="328" t="s">
        <v>4675</v>
      </c>
      <c r="R5" s="329" t="s">
        <v>4676</v>
      </c>
      <c r="S5" s="17"/>
      <c r="T5" s="17"/>
      <c r="U5" s="17"/>
      <c r="V5" s="17"/>
      <c r="W5" s="17"/>
      <c r="X5" s="17"/>
      <c r="Y5" s="17"/>
      <c r="Z5" s="17"/>
    </row>
    <row r="6">
      <c r="A6" s="325" t="s">
        <v>4677</v>
      </c>
      <c r="B6" s="309" t="s">
        <v>723</v>
      </c>
      <c r="C6" s="339" t="str">
        <f>IFERROR(__xludf.DUMMYFUNCTION("GOOGLETRANSLATE(A6,""zh-tw"",""ja"")"),"フライドポテト")</f>
        <v>フライドポテト</v>
      </c>
      <c r="D6" s="338" t="str">
        <f>IFERROR(__xludf.DUMMYFUNCTION("GOOGLETRANSLATE(B6,""zh-tw"",""ja"")"),"-")</f>
        <v>-</v>
      </c>
      <c r="E6" s="324" t="s">
        <v>4678</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4679</v>
      </c>
      <c r="P6" s="309" t="s">
        <v>4680</v>
      </c>
      <c r="Q6" s="328" t="s">
        <v>4681</v>
      </c>
      <c r="R6" s="329" t="s">
        <v>723</v>
      </c>
      <c r="S6" s="17"/>
      <c r="T6" s="17"/>
      <c r="U6" s="17"/>
      <c r="V6" s="17"/>
      <c r="W6" s="17"/>
      <c r="X6" s="17"/>
      <c r="Y6" s="17"/>
      <c r="Z6" s="17"/>
    </row>
    <row r="7">
      <c r="A7" s="325" t="s">
        <v>4682</v>
      </c>
      <c r="B7" s="309" t="s">
        <v>4683</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4684</v>
      </c>
      <c r="F7" s="117" t="s">
        <v>4685</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4686</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4687</v>
      </c>
      <c r="P7" s="309" t="s">
        <v>4688</v>
      </c>
      <c r="Q7" s="328" t="s">
        <v>4689</v>
      </c>
      <c r="R7" s="329" t="s">
        <v>4690</v>
      </c>
      <c r="S7" s="17"/>
      <c r="T7" s="17"/>
      <c r="U7" s="17"/>
      <c r="V7" s="17"/>
      <c r="W7" s="17"/>
      <c r="X7" s="17"/>
      <c r="Y7" s="17"/>
      <c r="Z7" s="17"/>
    </row>
    <row r="8">
      <c r="A8" s="325" t="s">
        <v>4691</v>
      </c>
      <c r="B8" s="309" t="s">
        <v>4692</v>
      </c>
      <c r="C8" s="337" t="s">
        <v>4693</v>
      </c>
      <c r="D8" s="338" t="str">
        <f>IFERROR(__xludf.DUMMYFUNCTION("GOOGLETRANSLATE(B8,""zh-tw"",""ja"")"),"幸運：10
回復の確率")</f>
        <v>幸運：10
回復の確率</v>
      </c>
      <c r="E8" s="324" t="s">
        <v>4694</v>
      </c>
      <c r="F8" s="117" t="s">
        <v>4695</v>
      </c>
      <c r="G8" s="326" t="str">
        <f>IFERROR(__xludf.DUMMYFUNCTION("GOOGLETRANSLATE(A8,""zh-tw"",""zh"")"),"苹果头套")</f>
        <v>苹果头套</v>
      </c>
      <c r="H8" s="121" t="str">
        <f>IFERROR(__xludf.DUMMYFUNCTION("GOOGLETRANSLATE(B8,""zh-tw"",""zh"")"),"幸运：10
概率回复")</f>
        <v>幸运：10
概率回复</v>
      </c>
      <c r="I8" s="324" t="s">
        <v>4696</v>
      </c>
      <c r="J8" s="117" t="s">
        <v>4697</v>
      </c>
      <c r="K8" s="324" t="s">
        <v>4698</v>
      </c>
      <c r="L8" s="117" t="s">
        <v>4699</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4700</v>
      </c>
      <c r="P8" s="309" t="s">
        <v>4701</v>
      </c>
      <c r="Q8" s="328" t="s">
        <v>4702</v>
      </c>
      <c r="R8" s="329" t="s">
        <v>4703</v>
      </c>
      <c r="S8" s="17"/>
      <c r="T8" s="17"/>
      <c r="U8" s="17"/>
      <c r="V8" s="17"/>
      <c r="W8" s="17"/>
      <c r="X8" s="17"/>
      <c r="Y8" s="17"/>
      <c r="Z8" s="17"/>
    </row>
    <row r="9">
      <c r="A9" s="325" t="s">
        <v>4704</v>
      </c>
      <c r="B9" s="309" t="s">
        <v>4705</v>
      </c>
      <c r="C9" s="337" t="s">
        <v>4706</v>
      </c>
      <c r="D9" s="338" t="str">
        <f>IFERROR(__xludf.DUMMYFUNCTION("GOOGLETRANSLATE(B9,""zh-tw"",""ja"")"),"物理攻撃力：5
攻撃速度と移動速度が増加")</f>
        <v>物理攻撃力：5
攻撃速度と移動速度が増加</v>
      </c>
      <c r="E9" s="324" t="s">
        <v>4707</v>
      </c>
      <c r="F9" s="117" t="s">
        <v>4708</v>
      </c>
      <c r="G9" s="326" t="str">
        <f>IFERROR(__xludf.DUMMYFUNCTION("GOOGLETRANSLATE(A9,""zh-tw"",""zh"")"),"借来的猫爪")</f>
        <v>借来的猫爪</v>
      </c>
      <c r="H9" s="121" t="str">
        <f>IFERROR(__xludf.DUMMYFUNCTION("GOOGLETRANSLATE(B9,""zh-tw"",""zh"")"),"物攻：5
攻速、移速上升")</f>
        <v>物攻：5
攻速、移速上升</v>
      </c>
      <c r="I9" s="324" t="s">
        <v>4709</v>
      </c>
      <c r="J9" s="121" t="str">
        <f>IFERROR(__xludf.DUMMYFUNCTION("GOOGLETRANSLATE(B9,""zh-tw"",""es-MX"")"),"Ataque físico: 5
Velocidad de ataque y movimiento aumentada")</f>
        <v>Ataque físico: 5
Velocidad de ataque y movimiento aumentada</v>
      </c>
      <c r="K9" s="324" t="s">
        <v>4710</v>
      </c>
      <c r="L9" s="117" t="s">
        <v>4711</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4712</v>
      </c>
      <c r="P9" s="309" t="s">
        <v>4713</v>
      </c>
      <c r="Q9" s="328" t="s">
        <v>4714</v>
      </c>
      <c r="R9" s="329" t="s">
        <v>4715</v>
      </c>
      <c r="S9" s="17"/>
      <c r="T9" s="17"/>
      <c r="U9" s="17"/>
      <c r="V9" s="17"/>
      <c r="W9" s="17"/>
      <c r="X9" s="17"/>
      <c r="Y9" s="17"/>
      <c r="Z9" s="17"/>
    </row>
    <row r="10">
      <c r="A10" s="325" t="s">
        <v>4716</v>
      </c>
      <c r="B10" s="309" t="s">
        <v>4717</v>
      </c>
      <c r="C10" s="337" t="s">
        <v>4718</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4719</v>
      </c>
      <c r="F10" s="117" t="s">
        <v>4720</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4721</v>
      </c>
      <c r="L10" s="117" t="s">
        <v>4722</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4723</v>
      </c>
      <c r="P10" s="309" t="s">
        <v>4724</v>
      </c>
      <c r="Q10" s="328" t="s">
        <v>4725</v>
      </c>
      <c r="R10" s="329" t="s">
        <v>4726</v>
      </c>
      <c r="S10" s="17"/>
      <c r="T10" s="17"/>
      <c r="U10" s="17"/>
      <c r="V10" s="17"/>
      <c r="W10" s="17"/>
      <c r="X10" s="17"/>
      <c r="Y10" s="17"/>
      <c r="Z10" s="17"/>
    </row>
    <row r="11">
      <c r="A11" s="325" t="s">
        <v>4727</v>
      </c>
      <c r="B11" s="309" t="s">
        <v>4728</v>
      </c>
      <c r="C11" s="337" t="s">
        <v>4099</v>
      </c>
      <c r="D11" s="338" t="str">
        <f>IFERROR(__xludf.DUMMYFUNCTION("GOOGLETRANSLATE(B11,""zh-tw"",""ja"")"),"攻撃速度、攻撃回数を+1する")</f>
        <v>攻撃速度、攻撃回数を+1する</v>
      </c>
      <c r="E11" s="324" t="s">
        <v>4102</v>
      </c>
      <c r="F11" s="117" t="s">
        <v>4729</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4" t="s">
        <v>4104</v>
      </c>
      <c r="L11" s="117" t="s">
        <v>4730</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4106</v>
      </c>
      <c r="P11" s="309" t="s">
        <v>4731</v>
      </c>
      <c r="Q11" s="328" t="s">
        <v>4732</v>
      </c>
      <c r="R11" s="329" t="s">
        <v>4733</v>
      </c>
      <c r="S11" s="17"/>
      <c r="T11" s="17"/>
      <c r="U11" s="17"/>
      <c r="V11" s="17"/>
      <c r="W11" s="17"/>
      <c r="X11" s="17"/>
      <c r="Y11" s="17"/>
      <c r="Z11" s="17"/>
    </row>
    <row r="12">
      <c r="A12" s="325" t="s">
        <v>4734</v>
      </c>
      <c r="B12" s="309" t="s">
        <v>4735</v>
      </c>
      <c r="C12" s="337" t="s">
        <v>4736</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4737</v>
      </c>
      <c r="F12" s="117" t="s">
        <v>4738</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4739</v>
      </c>
      <c r="L12" s="117" t="s">
        <v>4740</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4741</v>
      </c>
      <c r="P12" s="309" t="s">
        <v>4742</v>
      </c>
      <c r="Q12" s="328" t="s">
        <v>4743</v>
      </c>
      <c r="R12" s="329" t="s">
        <v>4744</v>
      </c>
      <c r="S12" s="17"/>
      <c r="T12" s="17"/>
      <c r="U12" s="17"/>
      <c r="V12" s="17"/>
      <c r="W12" s="17"/>
      <c r="X12" s="17"/>
      <c r="Y12" s="17"/>
      <c r="Z12" s="17"/>
    </row>
    <row r="13">
      <c r="A13" s="325" t="s">
        <v>4745</v>
      </c>
      <c r="B13" s="309" t="s">
        <v>4746</v>
      </c>
      <c r="C13" s="339" t="str">
        <f>IFERROR(__xludf.DUMMYFUNCTION("GOOGLETRANSLATE(A13,""zh-tw"",""ja"")"),"招き猫")</f>
        <v>招き猫</v>
      </c>
      <c r="D13" s="178" t="s">
        <v>4747</v>
      </c>
      <c r="E13" s="324" t="s">
        <v>4748</v>
      </c>
      <c r="F13" s="117" t="s">
        <v>4749</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4750</v>
      </c>
      <c r="L13" s="117" t="s">
        <v>4751</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4752</v>
      </c>
      <c r="P13" s="309" t="s">
        <v>4753</v>
      </c>
      <c r="Q13" s="328" t="s">
        <v>4754</v>
      </c>
      <c r="R13" s="329" t="s">
        <v>4755</v>
      </c>
      <c r="S13" s="17"/>
      <c r="T13" s="17"/>
      <c r="U13" s="17"/>
      <c r="V13" s="17"/>
      <c r="W13" s="17"/>
      <c r="X13" s="17"/>
      <c r="Y13" s="17"/>
      <c r="Z13" s="17"/>
    </row>
    <row r="14">
      <c r="A14" s="325" t="s">
        <v>4756</v>
      </c>
      <c r="B14" s="309" t="s">
        <v>4757</v>
      </c>
      <c r="C14" s="339" t="str">
        <f>IFERROR(__xludf.DUMMYFUNCTION("GOOGLETRANSLATE(A14,""zh-tw"",""ja"")"),"怒りの拳")</f>
        <v>怒りの拳</v>
      </c>
      <c r="D14" s="338" t="str">
        <f>IFERROR(__xludf.DUMMYFUNCTION("GOOGLETRANSLATE(B14,""zh-tw"",""ja"")"),"自動サラウンド攻撃")</f>
        <v>自動サラウンド攻撃</v>
      </c>
      <c r="E14" s="324" t="s">
        <v>4758</v>
      </c>
      <c r="F14" s="117" t="s">
        <v>4759</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4760</v>
      </c>
      <c r="M14" s="327" t="str">
        <f>IFERROR(__xludf.DUMMYFUNCTION("GOOGLETRANSLATE(A14,""zh-tw"",""ru"")"),"Кулак Злости")</f>
        <v>Кулак Злости</v>
      </c>
      <c r="N14" s="307" t="str">
        <f>IFERROR(__xludf.DUMMYFUNCTION("GOOGLETRANSLATE(B14,""zh-tw"",""ru"")"),"Автоматическая атака объемного звучания")</f>
        <v>Автоматическая атака объемного звучания</v>
      </c>
      <c r="O14" s="325" t="s">
        <v>4761</v>
      </c>
      <c r="P14" s="309" t="s">
        <v>4762</v>
      </c>
      <c r="Q14" s="328" t="s">
        <v>4763</v>
      </c>
      <c r="R14" s="329" t="s">
        <v>4764</v>
      </c>
      <c r="S14" s="17"/>
      <c r="T14" s="17"/>
      <c r="U14" s="17"/>
      <c r="V14" s="17"/>
      <c r="W14" s="17"/>
      <c r="X14" s="17"/>
      <c r="Y14" s="17"/>
      <c r="Z14" s="17"/>
    </row>
    <row r="15">
      <c r="A15" s="325" t="s">
        <v>4765</v>
      </c>
      <c r="B15" s="309" t="s">
        <v>4766</v>
      </c>
      <c r="C15" s="337" t="s">
        <v>4767</v>
      </c>
      <c r="D15" s="178" t="s">
        <v>4768</v>
      </c>
      <c r="E15" s="324" t="s">
        <v>4769</v>
      </c>
      <c r="F15" s="117" t="s">
        <v>4770</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4771</v>
      </c>
      <c r="L15" s="117" t="s">
        <v>4772</v>
      </c>
      <c r="M15" s="327" t="str">
        <f>IFERROR(__xludf.DUMMYFUNCTION("GOOGLETRANSLATE(A15,""zh-tw"",""ru"")"),"Объятия Змеи")</f>
        <v>Объятия Змеи</v>
      </c>
      <c r="N15" s="307"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5" t="s">
        <v>4773</v>
      </c>
      <c r="P15" s="309" t="s">
        <v>4774</v>
      </c>
      <c r="Q15" s="328" t="s">
        <v>4775</v>
      </c>
      <c r="R15" s="329" t="s">
        <v>4776</v>
      </c>
      <c r="S15" s="17"/>
      <c r="T15" s="17"/>
      <c r="U15" s="17"/>
      <c r="V15" s="17"/>
      <c r="W15" s="17"/>
      <c r="X15" s="17"/>
      <c r="Y15" s="17"/>
      <c r="Z15" s="17"/>
    </row>
    <row r="16">
      <c r="A16" s="325" t="s">
        <v>3905</v>
      </c>
      <c r="B16" s="309" t="s">
        <v>4777</v>
      </c>
      <c r="C16" s="339" t="str">
        <f>IFERROR(__xludf.DUMMYFUNCTION("GOOGLETRANSLATE(A16,""zh-tw"",""ja"")"),"火の鳥の羽")</f>
        <v>火の鳥の羽</v>
      </c>
      <c r="D16" s="338" t="str">
        <f>IFERROR(__xludf.DUMMYFUNCTION("GOOGLETRANSLATE(B16,""zh-tw"",""ja"")"),"一度の復活")</f>
        <v>一度の復活</v>
      </c>
      <c r="E16" s="324" t="s">
        <v>3910</v>
      </c>
      <c r="F16" s="117" t="s">
        <v>4778</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3913</v>
      </c>
      <c r="L16" s="117" t="s">
        <v>4779</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3916</v>
      </c>
      <c r="P16" s="309" t="s">
        <v>4780</v>
      </c>
      <c r="Q16" s="328" t="s">
        <v>3919</v>
      </c>
      <c r="R16" s="329" t="s">
        <v>4781</v>
      </c>
      <c r="S16" s="17"/>
      <c r="T16" s="17"/>
      <c r="U16" s="17"/>
      <c r="V16" s="17"/>
      <c r="W16" s="17"/>
      <c r="X16" s="17"/>
      <c r="Y16" s="17"/>
      <c r="Z16" s="17"/>
    </row>
    <row r="17">
      <c r="A17" s="325" t="s">
        <v>4782</v>
      </c>
      <c r="B17" s="309" t="s">
        <v>4783</v>
      </c>
      <c r="C17" s="337" t="s">
        <v>4784</v>
      </c>
      <c r="D17" s="338" t="str">
        <f>IFERROR(__xludf.DUMMYFUNCTION("GOOGLETRANSLATE(B17,""zh-tw"",""ja"")"),"物理防御力：2
魔法耐性：15
落下ダメージ軽減")</f>
        <v>物理防御力：2
魔法耐性：15
落下ダメージ軽減</v>
      </c>
      <c r="E17" s="324" t="s">
        <v>4785</v>
      </c>
      <c r="F17" s="117" t="s">
        <v>4786</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4787</v>
      </c>
      <c r="L17" s="117" t="s">
        <v>4788</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4789</v>
      </c>
      <c r="P17" s="309" t="s">
        <v>4790</v>
      </c>
      <c r="Q17" s="328" t="s">
        <v>4791</v>
      </c>
      <c r="R17" s="329" t="s">
        <v>4792</v>
      </c>
      <c r="S17" s="17"/>
      <c r="T17" s="17"/>
      <c r="U17" s="17"/>
      <c r="V17" s="17"/>
      <c r="W17" s="17"/>
      <c r="X17" s="17"/>
      <c r="Y17" s="17"/>
      <c r="Z17" s="17"/>
    </row>
    <row r="18">
      <c r="A18" s="324" t="s">
        <v>4793</v>
      </c>
      <c r="B18" s="117" t="s">
        <v>4794</v>
      </c>
      <c r="C18" s="337" t="s">
        <v>4795</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4796</v>
      </c>
      <c r="P18" s="309" t="s">
        <v>4797</v>
      </c>
      <c r="Q18" s="328" t="s">
        <v>4798</v>
      </c>
      <c r="R18" s="329" t="s">
        <v>4799</v>
      </c>
      <c r="S18" s="17"/>
      <c r="T18" s="17"/>
      <c r="U18" s="17"/>
      <c r="V18" s="17"/>
      <c r="W18" s="17"/>
      <c r="X18" s="17"/>
      <c r="Y18" s="17"/>
      <c r="Z18" s="17"/>
    </row>
    <row r="19">
      <c r="A19" s="325" t="s">
        <v>4800</v>
      </c>
      <c r="B19" s="309" t="s">
        <v>4801</v>
      </c>
      <c r="C19" s="337" t="s">
        <v>4802</v>
      </c>
      <c r="D19" s="338" t="str">
        <f>IFERROR(__xludf.DUMMYFUNCTION("GOOGLETRANSLATE(B19,""zh-tw"",""ja"")"),"移動速度：5
フラッシュステップ強化")</f>
        <v>移動速度：5
フラッシュステップ強化</v>
      </c>
      <c r="E19" s="324" t="s">
        <v>4803</v>
      </c>
      <c r="F19" s="117" t="s">
        <v>4804</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 (Мгновенный)")</f>
        <v>Скорость передвижения: 5
Увеличенный шаг (Мгновенный)</v>
      </c>
      <c r="O19" s="325" t="s">
        <v>4805</v>
      </c>
      <c r="P19" s="309" t="s">
        <v>4806</v>
      </c>
      <c r="Q19" s="328" t="s">
        <v>4807</v>
      </c>
      <c r="R19" s="329" t="s">
        <v>4808</v>
      </c>
      <c r="S19" s="17"/>
      <c r="T19" s="17"/>
      <c r="U19" s="17"/>
      <c r="V19" s="17"/>
      <c r="W19" s="17"/>
      <c r="X19" s="17"/>
      <c r="Y19" s="17"/>
      <c r="Z19" s="17"/>
    </row>
    <row r="20">
      <c r="A20" s="325" t="s">
        <v>4809</v>
      </c>
      <c r="B20" s="309" t="s">
        <v>4810</v>
      </c>
      <c r="C20" s="337" t="s">
        <v>4811</v>
      </c>
      <c r="D20" s="338" t="str">
        <f>IFERROR(__xludf.DUMMYFUNCTION("GOOGLETRANSLATE(B20,""zh-tw"",""ja"")"),"物理防御力：1
幸運：60")</f>
        <v>物理防御力：1
幸運：60</v>
      </c>
      <c r="E20" s="324" t="s">
        <v>4812</v>
      </c>
      <c r="F20" s="117" t="s">
        <v>4813</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4814</v>
      </c>
      <c r="P20" s="309" t="s">
        <v>4815</v>
      </c>
      <c r="Q20" s="328" t="s">
        <v>4816</v>
      </c>
      <c r="R20" s="329" t="s">
        <v>4817</v>
      </c>
      <c r="S20" s="17"/>
      <c r="T20" s="17"/>
      <c r="U20" s="17"/>
      <c r="V20" s="17"/>
      <c r="W20" s="17"/>
      <c r="X20" s="17"/>
      <c r="Y20" s="17"/>
      <c r="Z20" s="17"/>
    </row>
    <row r="21">
      <c r="A21" s="325" t="s">
        <v>4818</v>
      </c>
      <c r="B21" s="309" t="s">
        <v>4819</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4820</v>
      </c>
      <c r="F21" s="117" t="s">
        <v>4821</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4822</v>
      </c>
      <c r="L21" s="117" t="s">
        <v>4823</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4824</v>
      </c>
      <c r="P21" s="309" t="s">
        <v>4825</v>
      </c>
      <c r="Q21" s="328" t="s">
        <v>4826</v>
      </c>
      <c r="R21" s="329" t="s">
        <v>4827</v>
      </c>
      <c r="S21" s="17"/>
      <c r="T21" s="17"/>
      <c r="U21" s="17"/>
      <c r="V21" s="17"/>
      <c r="W21" s="17"/>
      <c r="X21" s="17"/>
      <c r="Y21" s="17"/>
      <c r="Z21" s="17"/>
    </row>
    <row r="22">
      <c r="A22" s="325" t="s">
        <v>4828</v>
      </c>
      <c r="B22" s="309" t="s">
        <v>4829</v>
      </c>
      <c r="C22" s="337" t="s">
        <v>4830</v>
      </c>
      <c r="D22" s="338" t="str">
        <f>IFERROR(__xludf.DUMMYFUNCTION("GOOGLETRANSLATE(B22,""zh-tw"",""ja"")"),"魔法攻撃力: 20
魔法防御: 10
高速詠唱と魔法貫通")</f>
        <v>魔法攻撃力: 20
魔法防御: 10
高速詠唱と魔法貫通</v>
      </c>
      <c r="E22" s="324" t="s">
        <v>4831</v>
      </c>
      <c r="F22" s="117" t="s">
        <v>4832</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4833</v>
      </c>
      <c r="L22" s="117" t="s">
        <v>4834</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4835</v>
      </c>
      <c r="P22" s="309" t="s">
        <v>4836</v>
      </c>
      <c r="Q22" s="328" t="s">
        <v>4837</v>
      </c>
      <c r="R22" s="329" t="s">
        <v>4838</v>
      </c>
      <c r="S22" s="17"/>
      <c r="T22" s="17"/>
      <c r="U22" s="17"/>
      <c r="V22" s="17"/>
      <c r="W22" s="17"/>
      <c r="X22" s="17"/>
      <c r="Y22" s="17"/>
      <c r="Z22" s="17"/>
    </row>
    <row r="23">
      <c r="A23" s="325" t="s">
        <v>4839</v>
      </c>
      <c r="B23" s="309" t="s">
        <v>4840</v>
      </c>
      <c r="C23" s="337" t="s">
        <v>4841</v>
      </c>
      <c r="D23" s="338" t="str">
        <f>IFERROR(__xludf.DUMMYFUNCTION("GOOGLETRANSLATE(B23,""zh-tw"",""ja"")"),"魔法攻撃力: 35
魔法防御: 20
詠唱速度が速く、魔法貫通力も高い")</f>
        <v>魔法攻撃力: 35
魔法防御: 20
詠唱速度が速く、魔法貫通力も高い</v>
      </c>
      <c r="E23" s="324" t="s">
        <v>4842</v>
      </c>
      <c r="F23" s="117" t="s">
        <v>4843</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4844</v>
      </c>
      <c r="L23" s="117" t="s">
        <v>4845</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4846</v>
      </c>
      <c r="P23" s="309" t="s">
        <v>4847</v>
      </c>
      <c r="Q23" s="328" t="s">
        <v>4848</v>
      </c>
      <c r="R23" s="329" t="s">
        <v>4849</v>
      </c>
      <c r="S23" s="17"/>
      <c r="T23" s="17"/>
      <c r="U23" s="17"/>
      <c r="V23" s="17"/>
      <c r="W23" s="17"/>
      <c r="X23" s="17"/>
      <c r="Y23" s="17"/>
      <c r="Z23" s="17"/>
    </row>
    <row r="24">
      <c r="A24" s="325" t="s">
        <v>4850</v>
      </c>
      <c r="B24" s="309" t="s">
        <v>4851</v>
      </c>
      <c r="C24" s="337" t="s">
        <v>4852</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4854</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4855</v>
      </c>
      <c r="P24" s="309" t="s">
        <v>4856</v>
      </c>
      <c r="Q24" s="328" t="s">
        <v>4857</v>
      </c>
      <c r="R24" s="329" t="s">
        <v>4858</v>
      </c>
      <c r="S24" s="17"/>
      <c r="T24" s="17"/>
      <c r="U24" s="17"/>
      <c r="V24" s="17"/>
      <c r="W24" s="17"/>
      <c r="X24" s="17"/>
      <c r="Y24" s="17"/>
      <c r="Z24" s="17"/>
    </row>
    <row r="25">
      <c r="A25" s="325" t="s">
        <v>4859</v>
      </c>
      <c r="B25" s="309" t="s">
        <v>4860</v>
      </c>
      <c r="C25" s="337" t="s">
        <v>4861</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4863</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4864</v>
      </c>
      <c r="P25" s="309" t="s">
        <v>4865</v>
      </c>
      <c r="Q25" s="328" t="s">
        <v>4866</v>
      </c>
      <c r="R25" s="329" t="s">
        <v>4867</v>
      </c>
      <c r="S25" s="17"/>
      <c r="T25" s="17"/>
      <c r="U25" s="17"/>
      <c r="V25" s="17"/>
      <c r="W25" s="17"/>
      <c r="X25" s="17"/>
      <c r="Y25" s="17"/>
      <c r="Z25" s="17"/>
    </row>
    <row r="26">
      <c r="A26" s="324" t="s">
        <v>4868</v>
      </c>
      <c r="B26" s="117" t="s">
        <v>4869</v>
      </c>
      <c r="C26" s="337" t="s">
        <v>4870</v>
      </c>
      <c r="D26" s="178" t="s">
        <v>4871</v>
      </c>
      <c r="E26" s="324" t="s">
        <v>4872</v>
      </c>
      <c r="F26" s="117" t="s">
        <v>4873</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4874</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4875</v>
      </c>
      <c r="P26" s="309" t="s">
        <v>4876</v>
      </c>
      <c r="Q26" s="328" t="s">
        <v>4877</v>
      </c>
      <c r="R26" s="123" t="s">
        <v>4878</v>
      </c>
      <c r="S26" s="17"/>
      <c r="T26" s="17"/>
      <c r="U26" s="17"/>
      <c r="V26" s="17"/>
      <c r="W26" s="17"/>
      <c r="X26" s="17"/>
      <c r="Y26" s="17"/>
      <c r="Z26" s="17"/>
    </row>
    <row r="27">
      <c r="A27" s="324" t="s">
        <v>4879</v>
      </c>
      <c r="B27" s="117" t="s">
        <v>4880</v>
      </c>
      <c r="C27" s="337" t="s">
        <v>4881</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4882</v>
      </c>
      <c r="F27" s="117" t="s">
        <v>4883</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4884</v>
      </c>
      <c r="J27" s="121" t="str">
        <f>IFERROR(__xludf.DUMMYFUNCTION("GOOGLETRANSLATE(B27,""zh-tw"",""es-MX"")"),"Suerte: 100
El doble de oro que recoges de los drops
(No funciona con alcancía)")</f>
        <v>Suerte: 100
El doble de oro que recoges de los drops
(No funciona con alcancía)</v>
      </c>
      <c r="K27" s="324" t="s">
        <v>4885</v>
      </c>
      <c r="L27" s="117" t="s">
        <v>4886</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4887</v>
      </c>
      <c r="P27" s="309" t="s">
        <v>4888</v>
      </c>
      <c r="Q27" s="328" t="s">
        <v>4889</v>
      </c>
      <c r="R27" s="329" t="s">
        <v>4890</v>
      </c>
      <c r="S27" s="17"/>
      <c r="T27" s="17"/>
      <c r="U27" s="17"/>
      <c r="V27" s="17"/>
      <c r="W27" s="17"/>
      <c r="X27" s="17"/>
      <c r="Y27" s="17"/>
      <c r="Z27" s="17"/>
    </row>
    <row r="28">
      <c r="A28" s="324" t="s">
        <v>4891</v>
      </c>
      <c r="B28" s="117" t="s">
        <v>4892</v>
      </c>
      <c r="C28" s="337" t="s">
        <v>4893</v>
      </c>
      <c r="D28" s="338" t="str">
        <f>IFERROR(__xludf.DUMMYFUNCTION("GOOGLETRANSLATE(B28,""zh-tw"",""ja"")"),"爆発効果と爆発軽減機能付き")</f>
        <v>爆発効果と爆発軽減機能付き</v>
      </c>
      <c r="E28" s="324" t="s">
        <v>4894</v>
      </c>
      <c r="F28" s="117" t="s">
        <v>4895</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4896</v>
      </c>
      <c r="L28" s="117" t="s">
        <v>4897</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4898</v>
      </c>
      <c r="P28" s="309" t="s">
        <v>4899</v>
      </c>
      <c r="Q28" s="328" t="s">
        <v>4900</v>
      </c>
      <c r="R28" s="329" t="s">
        <v>4901</v>
      </c>
      <c r="S28" s="17"/>
      <c r="T28" s="17"/>
      <c r="U28" s="17"/>
      <c r="V28" s="17"/>
      <c r="W28" s="17"/>
      <c r="X28" s="17"/>
      <c r="Y28" s="17"/>
      <c r="Z28" s="17"/>
    </row>
    <row r="29">
      <c r="A29" s="324" t="s">
        <v>4902</v>
      </c>
      <c r="B29" s="117" t="s">
        <v>4903</v>
      </c>
      <c r="C29" s="337" t="s">
        <v>4904</v>
      </c>
      <c r="D29" s="338" t="str">
        <f>IFERROR(__xludf.DUMMYFUNCTION("GOOGLETRANSLATE(B29,""zh-tw"",""ja"")"),"物理攻撃力：4
爆弾効果を増加")</f>
        <v>物理攻撃力：4
爆弾効果を増加</v>
      </c>
      <c r="E29" s="324" t="s">
        <v>4905</v>
      </c>
      <c r="F29" s="117" t="s">
        <v>4906</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4907</v>
      </c>
      <c r="L29" s="117" t="s">
        <v>4908</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4909</v>
      </c>
      <c r="P29" s="309" t="s">
        <v>4910</v>
      </c>
      <c r="Q29" s="328" t="s">
        <v>4911</v>
      </c>
      <c r="R29" s="329" t="s">
        <v>4912</v>
      </c>
      <c r="S29" s="17"/>
      <c r="T29" s="17"/>
      <c r="U29" s="17"/>
      <c r="V29" s="17"/>
      <c r="W29" s="17"/>
      <c r="X29" s="17"/>
      <c r="Y29" s="17"/>
      <c r="Z29" s="17"/>
    </row>
    <row r="30">
      <c r="A30" s="325" t="s">
        <v>4913</v>
      </c>
      <c r="B30" s="309" t="s">
        <v>4914</v>
      </c>
      <c r="C30" s="337" t="s">
        <v>4915</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4916</v>
      </c>
      <c r="F30" s="117" t="s">
        <v>4917</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4918</v>
      </c>
      <c r="L30" s="117" t="s">
        <v>4919</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4920</v>
      </c>
      <c r="P30" s="309" t="s">
        <v>4921</v>
      </c>
      <c r="Q30" s="328" t="s">
        <v>4922</v>
      </c>
      <c r="R30" s="329" t="s">
        <v>4923</v>
      </c>
      <c r="S30" s="17"/>
      <c r="T30" s="17"/>
      <c r="U30" s="17"/>
      <c r="V30" s="17"/>
      <c r="W30" s="17"/>
      <c r="X30" s="17"/>
      <c r="Y30" s="17"/>
      <c r="Z30" s="17"/>
    </row>
    <row r="31">
      <c r="A31" s="325" t="s">
        <v>4924</v>
      </c>
      <c r="B31" s="309" t="s">
        <v>4925</v>
      </c>
      <c r="C31" s="337" t="s">
        <v>4926</v>
      </c>
      <c r="D31" s="338" t="str">
        <f>IFERROR(__xludf.DUMMYFUNCTION("GOOGLETRANSLATE(B31,""zh-tw"",""ja"")"),"攻撃力: 2
防御力: 6
ダメージを与えるアーマー")</f>
        <v>攻撃力: 2
防御力: 6
ダメージを与えるアーマー</v>
      </c>
      <c r="E31" s="324" t="s">
        <v>4927</v>
      </c>
      <c r="F31" s="117" t="s">
        <v>4928</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4929</v>
      </c>
      <c r="L31" s="117" t="s">
        <v>4930</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4931</v>
      </c>
      <c r="P31" s="309" t="s">
        <v>4932</v>
      </c>
      <c r="Q31" s="328" t="s">
        <v>4933</v>
      </c>
      <c r="R31" s="329" t="s">
        <v>4934</v>
      </c>
      <c r="S31" s="17"/>
      <c r="T31" s="17"/>
      <c r="U31" s="17"/>
      <c r="V31" s="17"/>
      <c r="W31" s="17"/>
      <c r="X31" s="17"/>
      <c r="Y31" s="17"/>
      <c r="Z31" s="17"/>
    </row>
    <row r="32">
      <c r="A32" s="325" t="s">
        <v>4935</v>
      </c>
      <c r="B32" s="309" t="s">
        <v>4936</v>
      </c>
      <c r="C32" s="337" t="s">
        <v>4937</v>
      </c>
      <c r="D32" s="338" t="str">
        <f>IFERROR(__xludf.DUMMYFUNCTION("GOOGLETRANSLATE(B32,""zh-tw"",""ja"")"),"攻撃力: 4
防御力: 2
ダメージを与えるアーマー")</f>
        <v>攻撃力: 4
防御力: 2
ダメージを与えるアーマー</v>
      </c>
      <c r="E32" s="324" t="s">
        <v>4938</v>
      </c>
      <c r="F32" s="117" t="s">
        <v>4939</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4940</v>
      </c>
      <c r="L32" s="117" t="s">
        <v>4941</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4942</v>
      </c>
      <c r="P32" s="309" t="s">
        <v>4943</v>
      </c>
      <c r="Q32" s="328" t="s">
        <v>4944</v>
      </c>
      <c r="R32" s="329" t="s">
        <v>4945</v>
      </c>
      <c r="S32" s="17"/>
      <c r="T32" s="17"/>
      <c r="U32" s="17"/>
      <c r="V32" s="17"/>
      <c r="W32" s="17"/>
      <c r="X32" s="17"/>
      <c r="Y32" s="17"/>
      <c r="Z32" s="17"/>
    </row>
    <row r="33">
      <c r="A33" s="325" t="s">
        <v>4946</v>
      </c>
      <c r="B33" s="309" t="s">
        <v>4947</v>
      </c>
      <c r="C33" s="337" t="s">
        <v>4948</v>
      </c>
      <c r="D33" s="338" t="str">
        <f>IFERROR(__xludf.DUMMYFUNCTION("GOOGLETRANSLATE(B33,""zh-tw"",""ja"")"),"攻撃力: 2
防御力: 2
ダメージを与えるアーマー")</f>
        <v>攻撃力: 2
防御力: 2
ダメージを与えるアーマー</v>
      </c>
      <c r="E33" s="324" t="s">
        <v>4949</v>
      </c>
      <c r="F33" s="117" t="s">
        <v>4950</v>
      </c>
      <c r="G33" s="326" t="str">
        <f>IFERROR(__xludf.DUMMYFUNCTION("GOOGLETRANSLATE(A33,""zh-tw"",""zh"")"),"穿刺钉鞋")</f>
        <v>穿刺钉鞋</v>
      </c>
      <c r="H33" s="121" t="str">
        <f>IFERROR(__xludf.DUMMYFUNCTION("GOOGLETRANSLATE(B33,""zh-tw"",""zh"")"),"物攻：2
物防：2
伤害型防具")</f>
        <v>物攻：2
物防：2
伤害型防具</v>
      </c>
      <c r="I33" s="324" t="s">
        <v>4951</v>
      </c>
      <c r="J33" s="121" t="str">
        <f>IFERROR(__xludf.DUMMYFUNCTION("GOOGLETRANSLATE(B33,""zh-tw"",""es-MX"")"),"Ataque: 2
Defensa: 2
Armadura que causa daño")</f>
        <v>Ataque: 2
Defensa: 2
Armadura que causa daño</v>
      </c>
      <c r="K33" s="324" t="s">
        <v>4952</v>
      </c>
      <c r="L33" s="117" t="s">
        <v>4953</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4954</v>
      </c>
      <c r="P33" s="309" t="s">
        <v>4955</v>
      </c>
      <c r="Q33" s="328" t="s">
        <v>4956</v>
      </c>
      <c r="R33" s="329" t="s">
        <v>4957</v>
      </c>
      <c r="S33" s="17"/>
      <c r="T33" s="17"/>
      <c r="U33" s="17"/>
      <c r="V33" s="17"/>
      <c r="W33" s="17"/>
      <c r="X33" s="17"/>
      <c r="Y33" s="17"/>
      <c r="Z33" s="17"/>
    </row>
    <row r="34">
      <c r="A34" s="325" t="s">
        <v>4958</v>
      </c>
      <c r="B34" s="309" t="s">
        <v>4959</v>
      </c>
      <c r="C34" s="337" t="s">
        <v>4960</v>
      </c>
      <c r="D34" s="338" t="str">
        <f>IFERROR(__xludf.DUMMYFUNCTION("GOOGLETRANSLATE(B34,""zh-tw"",""ja"")"),"攻撃力: 5
防御力: 1
ダメージを与えるアーマー")</f>
        <v>攻撃力: 5
防御力: 1
ダメージを与えるアーマー</v>
      </c>
      <c r="E34" s="324" t="s">
        <v>4961</v>
      </c>
      <c r="F34" s="117" t="s">
        <v>4962</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4963</v>
      </c>
      <c r="L34" s="117" t="s">
        <v>4964</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4965</v>
      </c>
      <c r="P34" s="309" t="s">
        <v>4966</v>
      </c>
      <c r="Q34" s="328" t="s">
        <v>4967</v>
      </c>
      <c r="R34" s="329" t="s">
        <v>4968</v>
      </c>
      <c r="S34" s="17"/>
      <c r="T34" s="17"/>
      <c r="U34" s="17"/>
      <c r="V34" s="17"/>
      <c r="W34" s="17"/>
      <c r="X34" s="17"/>
      <c r="Y34" s="17"/>
      <c r="Z34" s="17"/>
    </row>
    <row r="35">
      <c r="A35" s="325" t="s">
        <v>4969</v>
      </c>
      <c r="B35" s="309" t="s">
        <v>4970</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4971</v>
      </c>
      <c r="F35" s="117" t="s">
        <v>4972</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4973</v>
      </c>
      <c r="L35" s="117" t="s">
        <v>4974</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4975</v>
      </c>
      <c r="P35" s="309" t="s">
        <v>4976</v>
      </c>
      <c r="Q35" s="328" t="s">
        <v>4977</v>
      </c>
      <c r="R35" s="329" t="s">
        <v>4978</v>
      </c>
      <c r="S35" s="17"/>
      <c r="T35" s="17"/>
      <c r="U35" s="17"/>
      <c r="V35" s="17"/>
      <c r="W35" s="17"/>
      <c r="X35" s="17"/>
      <c r="Y35" s="17"/>
      <c r="Z35" s="17"/>
    </row>
    <row r="36">
      <c r="A36" s="325" t="s">
        <v>4979</v>
      </c>
      <c r="B36" s="309" t="s">
        <v>4980</v>
      </c>
      <c r="C36" s="337" t="s">
        <v>4981</v>
      </c>
      <c r="D36" s="338" t="str">
        <f>IFERROR(__xludf.DUMMYFUNCTION("GOOGLETRANSLATE(B36,""zh-tw"",""ja"")"),"攻撃力: 2
防御力: 3
HPが低いほどステータスが上昇")</f>
        <v>攻撃力: 2
防御力: 3
HPが低いほどステータスが上昇</v>
      </c>
      <c r="E36" s="324" t="s">
        <v>4982</v>
      </c>
      <c r="F36" s="117" t="s">
        <v>4983</v>
      </c>
      <c r="G36" s="326" t="str">
        <f>IFERROR(__xludf.DUMMYFUNCTION("GOOGLETRANSLATE(A36,""zh-tw"",""zh"")"),"骑士护臂")</f>
        <v>骑士护臂</v>
      </c>
      <c r="H36" s="121" t="str">
        <f>IFERROR(__xludf.DUMMYFUNCTION("GOOGLETRANSLATE(B36,""zh-tw"",""zh"")"),"物攻：2
物防：3
低体力增属性")</f>
        <v>物攻：2
物防：3
低体力增属性</v>
      </c>
      <c r="I36" s="324" t="s">
        <v>4984</v>
      </c>
      <c r="J36" s="121" t="str">
        <f>IFERROR(__xludf.DUMMYFUNCTION("GOOGLETRANSLATE(B36,""zh-tw"",""es-MX"")"),"Ataque: 2
Defensa: 3
Menor HP aumenta las estadísticas")</f>
        <v>Ataque: 2
Defensa: 3
Menor HP aumenta las estadísticas</v>
      </c>
      <c r="K36" s="325" t="s">
        <v>4985</v>
      </c>
      <c r="L36" s="117" t="s">
        <v>4986</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4987</v>
      </c>
      <c r="P36" s="309" t="s">
        <v>4988</v>
      </c>
      <c r="Q36" s="328" t="s">
        <v>4989</v>
      </c>
      <c r="R36" s="329" t="s">
        <v>4990</v>
      </c>
      <c r="S36" s="17"/>
      <c r="T36" s="17"/>
      <c r="U36" s="17"/>
      <c r="V36" s="17"/>
      <c r="W36" s="17"/>
      <c r="X36" s="17"/>
      <c r="Y36" s="17"/>
      <c r="Z36" s="17"/>
    </row>
    <row r="37">
      <c r="A37" s="325" t="s">
        <v>4991</v>
      </c>
      <c r="B37" s="309" t="s">
        <v>4992</v>
      </c>
      <c r="C37" s="337" t="s">
        <v>4993</v>
      </c>
      <c r="D37" s="338" t="str">
        <f>IFERROR(__xludf.DUMMYFUNCTION("GOOGLETRANSLATE(B37,""zh-tw"",""ja"")"),"物理防御力: 2
魔法耐性: 2
スタミナが低いと能力が強化される")</f>
        <v>物理防御力: 2
魔法耐性: 2
スタミナが低いと能力が強化される</v>
      </c>
      <c r="E37" s="324" t="s">
        <v>4994</v>
      </c>
      <c r="F37" s="117" t="s">
        <v>4995</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4996</v>
      </c>
      <c r="L37" s="117" t="s">
        <v>4997</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4998</v>
      </c>
      <c r="P37" s="309" t="s">
        <v>4999</v>
      </c>
      <c r="Q37" s="328" t="s">
        <v>5000</v>
      </c>
      <c r="R37" s="329" t="s">
        <v>5001</v>
      </c>
      <c r="S37" s="17"/>
      <c r="T37" s="17"/>
      <c r="U37" s="17"/>
      <c r="V37" s="17"/>
      <c r="W37" s="17"/>
      <c r="X37" s="17"/>
      <c r="Y37" s="17"/>
      <c r="Z37" s="17"/>
    </row>
    <row r="38">
      <c r="A38" s="325" t="s">
        <v>5002</v>
      </c>
      <c r="B38" s="309" t="s">
        <v>5003</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5004</v>
      </c>
      <c r="F38" s="117" t="s">
        <v>5005</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5006</v>
      </c>
      <c r="L38" s="117" t="s">
        <v>5007</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5008</v>
      </c>
      <c r="P38" s="309" t="s">
        <v>5009</v>
      </c>
      <c r="Q38" s="328" t="s">
        <v>5010</v>
      </c>
      <c r="R38" s="329" t="s">
        <v>5011</v>
      </c>
      <c r="S38" s="17"/>
      <c r="T38" s="17"/>
      <c r="U38" s="17"/>
      <c r="V38" s="17"/>
      <c r="W38" s="17"/>
      <c r="X38" s="17"/>
      <c r="Y38" s="17"/>
      <c r="Z38" s="17"/>
    </row>
    <row r="39">
      <c r="A39" s="330" t="s">
        <v>5012</v>
      </c>
      <c r="B39" s="121" t="s">
        <v>5013</v>
      </c>
      <c r="C39" s="337" t="s">
        <v>5014</v>
      </c>
      <c r="D39" s="338" t="str">
        <f>IFERROR(__xludf.DUMMYFUNCTION("GOOGLETRANSLATE(B39,""zh-tw"",""ja"")"),"魔法攻撃力：10
オートエイム")</f>
        <v>魔法攻撃力：10
オートエイム</v>
      </c>
      <c r="E39" s="324" t="s">
        <v>5015</v>
      </c>
      <c r="F39" s="117" t="s">
        <v>5016</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5017</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5018</v>
      </c>
      <c r="P39" s="309" t="s">
        <v>5019</v>
      </c>
      <c r="Q39" s="328" t="s">
        <v>5020</v>
      </c>
      <c r="R39" s="316" t="s">
        <v>5021</v>
      </c>
      <c r="S39" s="17"/>
      <c r="T39" s="17"/>
      <c r="U39" s="17"/>
      <c r="V39" s="17"/>
      <c r="W39" s="17"/>
      <c r="X39" s="17"/>
      <c r="Y39" s="17"/>
      <c r="Z39" s="17"/>
    </row>
    <row r="40">
      <c r="A40" s="324" t="s">
        <v>5022</v>
      </c>
      <c r="B40" s="117" t="s">
        <v>5023</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魔法攻撃力が上昇し、最大HPが減少する")</f>
        <v>魔法攻撃力：10
魔法防御力：25
魔法攻撃力が上昇し、最大HPが減少する</v>
      </c>
      <c r="E40" s="324" t="s">
        <v>5024</v>
      </c>
      <c r="F40" s="117" t="s">
        <v>5025</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4" t="s">
        <v>5026</v>
      </c>
      <c r="L40" s="117" t="s">
        <v>5027</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5" t="s">
        <v>5028</v>
      </c>
      <c r="P40" s="309" t="s">
        <v>5029</v>
      </c>
      <c r="Q40" s="328" t="s">
        <v>5030</v>
      </c>
      <c r="R40" s="329" t="s">
        <v>5031</v>
      </c>
      <c r="S40" s="17"/>
      <c r="T40" s="17"/>
      <c r="U40" s="17"/>
      <c r="V40" s="17"/>
      <c r="W40" s="17"/>
      <c r="X40" s="17"/>
      <c r="Y40" s="17"/>
      <c r="Z40" s="17"/>
    </row>
    <row r="41">
      <c r="A41" s="324" t="s">
        <v>5032</v>
      </c>
      <c r="B41" s="117" t="s">
        <v>5033</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5034</v>
      </c>
      <c r="F41" s="117" t="s">
        <v>5035</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5036</v>
      </c>
      <c r="L41" s="117" t="s">
        <v>5037</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5038</v>
      </c>
      <c r="P41" s="309" t="s">
        <v>5039</v>
      </c>
      <c r="Q41" s="328" t="s">
        <v>5040</v>
      </c>
      <c r="R41" s="329" t="s">
        <v>5041</v>
      </c>
      <c r="S41" s="17"/>
      <c r="T41" s="17"/>
      <c r="U41" s="17"/>
      <c r="V41" s="17"/>
      <c r="W41" s="17"/>
      <c r="X41" s="17"/>
      <c r="Y41" s="17"/>
      <c r="Z41" s="17"/>
    </row>
    <row r="42">
      <c r="A42" s="330" t="s">
        <v>5042</v>
      </c>
      <c r="B42" s="117" t="s">
        <v>5043</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5044</v>
      </c>
      <c r="F42" s="117" t="s">
        <v>5045</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5046</v>
      </c>
      <c r="L42" s="117" t="s">
        <v>5047</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5048</v>
      </c>
      <c r="P42" s="309" t="s">
        <v>5049</v>
      </c>
      <c r="Q42" s="328" t="s">
        <v>5050</v>
      </c>
      <c r="R42" s="329" t="s">
        <v>5051</v>
      </c>
      <c r="S42" s="17"/>
      <c r="T42" s="17"/>
      <c r="U42" s="17"/>
      <c r="V42" s="17"/>
      <c r="W42" s="17"/>
      <c r="X42" s="17"/>
      <c r="Y42" s="17"/>
      <c r="Z42" s="17"/>
    </row>
    <row r="43">
      <c r="A43" s="324" t="s">
        <v>5052</v>
      </c>
      <c r="B43" s="117" t="s">
        <v>5053</v>
      </c>
      <c r="C43" s="337" t="s">
        <v>5054</v>
      </c>
      <c r="D43" s="338" t="str">
        <f>IFERROR(__xludf.DUMMYFUNCTION("GOOGLETRANSLATE(B43,""zh-tw"",""ja"")"),"魔法攻撃力：1
スタン耐性、魔法貫通力と魔法射程距離が増加")</f>
        <v>魔法攻撃力：1
スタン耐性、魔法貫通力と魔法射程距離が増加</v>
      </c>
      <c r="E43" s="324" t="s">
        <v>5055</v>
      </c>
      <c r="F43" s="117" t="s">
        <v>5056</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5057</v>
      </c>
      <c r="L43" s="117" t="s">
        <v>5058</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5059</v>
      </c>
      <c r="P43" s="309" t="s">
        <v>5060</v>
      </c>
      <c r="Q43" s="328" t="s">
        <v>5061</v>
      </c>
      <c r="R43" s="329" t="s">
        <v>5062</v>
      </c>
      <c r="S43" s="17"/>
      <c r="T43" s="17"/>
      <c r="U43" s="17"/>
      <c r="V43" s="17"/>
      <c r="W43" s="17"/>
      <c r="X43" s="17"/>
      <c r="Y43" s="17"/>
      <c r="Z43" s="17"/>
    </row>
    <row r="44">
      <c r="A44" s="324" t="s">
        <v>5063</v>
      </c>
      <c r="B44" s="117" t="s">
        <v>5064</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5065</v>
      </c>
      <c r="F44" s="117" t="s">
        <v>5066</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5067</v>
      </c>
      <c r="L44" s="117" t="s">
        <v>5068</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5069</v>
      </c>
      <c r="P44" s="309" t="s">
        <v>5070</v>
      </c>
      <c r="Q44" s="328" t="s">
        <v>5071</v>
      </c>
      <c r="R44" s="329" t="s">
        <v>5072</v>
      </c>
      <c r="S44" s="17"/>
      <c r="T44" s="17"/>
      <c r="U44" s="17"/>
      <c r="V44" s="17"/>
      <c r="W44" s="17"/>
      <c r="X44" s="17"/>
      <c r="Y44" s="17"/>
      <c r="Z44" s="17"/>
    </row>
    <row r="45">
      <c r="A45" s="324" t="s">
        <v>5073</v>
      </c>
      <c r="B45" s="117" t="s">
        <v>5074</v>
      </c>
      <c r="C45" s="337" t="s">
        <v>5075</v>
      </c>
      <c r="D45" s="178" t="s">
        <v>5076</v>
      </c>
      <c r="E45" s="324" t="s">
        <v>5077</v>
      </c>
      <c r="F45" s="117" t="s">
        <v>5078</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5079</v>
      </c>
      <c r="L45" s="117" t="s">
        <v>5080</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5081</v>
      </c>
      <c r="P45" s="309" t="s">
        <v>5082</v>
      </c>
      <c r="Q45" s="328" t="s">
        <v>5083</v>
      </c>
      <c r="R45" s="329" t="s">
        <v>5084</v>
      </c>
      <c r="S45" s="17"/>
      <c r="T45" s="17"/>
      <c r="U45" s="17"/>
      <c r="V45" s="17"/>
      <c r="W45" s="17"/>
      <c r="X45" s="17"/>
      <c r="Y45" s="17"/>
      <c r="Z45" s="17"/>
    </row>
    <row r="46">
      <c r="A46" s="325" t="s">
        <v>5085</v>
      </c>
      <c r="B46" s="309" t="s">
        <v>5086</v>
      </c>
      <c r="C46" s="337" t="s">
        <v>5087</v>
      </c>
      <c r="D46" s="338" t="str">
        <f>IFERROR(__xludf.DUMMYFUNCTION("GOOGLETRANSLATE(B46,""zh-tw"",""ja"")"),"魔法耐性: 10
幸運: 10
晴れの日 2")</f>
        <v>魔法耐性: 10
幸運: 10
晴れの日 2</v>
      </c>
      <c r="E46" s="324" t="s">
        <v>5088</v>
      </c>
      <c r="F46" s="117" t="s">
        <v>5089</v>
      </c>
      <c r="G46" s="326" t="str">
        <f>IFERROR(__xludf.DUMMYFUNCTION("GOOGLETRANSLATE(A46,""zh-tw"",""zh"")"),"晴天娃娃")</f>
        <v>晴天娃娃</v>
      </c>
      <c r="H46" s="121" t="str">
        <f>IFERROR(__xludf.DUMMYFUNCTION("GOOGLETRANSLATE(B46,""zh-tw"",""zh"")"),"魔抗：10
幸运：10
第二天晴天")</f>
        <v>魔抗：10
幸运：10
第二天晴天</v>
      </c>
      <c r="I46" s="324" t="s">
        <v>5088</v>
      </c>
      <c r="J46" s="121" t="str">
        <f>IFERROR(__xludf.DUMMYFUNCTION("GOOGLETRANSLATE(B46,""zh-tw"",""es-MX"")"),"Resistencia Mágica: 10
Suerte: 10
Día Soleado 2")</f>
        <v>Resistencia Mágica: 10
Suerte: 10
Día Soleado 2</v>
      </c>
      <c r="K46" s="324" t="s">
        <v>5090</v>
      </c>
      <c r="L46" s="117" t="s">
        <v>5091</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5092</v>
      </c>
      <c r="P46" s="309" t="s">
        <v>5093</v>
      </c>
      <c r="Q46" s="340" t="s">
        <v>5094</v>
      </c>
      <c r="R46" s="329" t="s">
        <v>5095</v>
      </c>
      <c r="S46" s="17"/>
      <c r="T46" s="17"/>
      <c r="U46" s="17"/>
      <c r="V46" s="17"/>
      <c r="W46" s="17"/>
      <c r="X46" s="17"/>
      <c r="Y46" s="17"/>
      <c r="Z46" s="17"/>
    </row>
    <row r="47">
      <c r="A47" s="325" t="s">
        <v>5096</v>
      </c>
      <c r="B47" s="309" t="s">
        <v>5097</v>
      </c>
      <c r="C47" s="337" t="s">
        <v>5098</v>
      </c>
      <c r="D47" s="338" t="str">
        <f>IFERROR(__xludf.DUMMYFUNCTION("GOOGLETRANSLATE(B47,""zh-tw"",""ja"")"),"魔法耐性：10
幸運：10
翌日は曇りでした")</f>
        <v>魔法耐性：10
幸運：10
翌日は曇りでした</v>
      </c>
      <c r="E47" s="324" t="s">
        <v>5099</v>
      </c>
      <c r="F47" s="117" t="s">
        <v>5100</v>
      </c>
      <c r="G47" s="326" t="str">
        <f>IFERROR(__xludf.DUMMYFUNCTION("GOOGLETRANSLATE(A47,""zh-tw"",""zh"")"),"阴天娃娃")</f>
        <v>阴天娃娃</v>
      </c>
      <c r="H47" s="121" t="str">
        <f>IFERROR(__xludf.DUMMYFUNCTION("GOOGLETRANSLATE(B47,""zh-tw"",""zh"")"),"魔抗：10
幸运：10
第二天阴天")</f>
        <v>魔抗：10
幸运：10
第二天阴天</v>
      </c>
      <c r="I47" s="324" t="s">
        <v>5099</v>
      </c>
      <c r="J47" s="121" t="str">
        <f>IFERROR(__xludf.DUMMYFUNCTION("GOOGLETRANSLATE(B47,""zh-tw"",""es-MX"")"),"Resistencia Mágica: 10
Suerte: 10
El día siguiente estaba nublado.")</f>
        <v>Resistencia Mágica: 10
Suerte: 10
El día siguiente estaba nublado.</v>
      </c>
      <c r="K47" s="325" t="s">
        <v>5101</v>
      </c>
      <c r="L47" s="117" t="s">
        <v>5102</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5103</v>
      </c>
      <c r="P47" s="309" t="s">
        <v>5104</v>
      </c>
      <c r="Q47" s="340" t="s">
        <v>5105</v>
      </c>
      <c r="R47" s="329" t="s">
        <v>5106</v>
      </c>
      <c r="S47" s="17"/>
      <c r="T47" s="17"/>
      <c r="U47" s="17"/>
      <c r="V47" s="17"/>
      <c r="W47" s="17"/>
      <c r="X47" s="17"/>
      <c r="Y47" s="17"/>
      <c r="Z47" s="17"/>
    </row>
    <row r="48">
      <c r="A48" s="325" t="s">
        <v>5107</v>
      </c>
      <c r="B48" s="309" t="s">
        <v>5108</v>
      </c>
      <c r="C48" s="337" t="s">
        <v>5109</v>
      </c>
      <c r="D48" s="338" t="str">
        <f>IFERROR(__xludf.DUMMYFUNCTION("GOOGLETRANSLATE(B48,""zh-tw"",""ja"")"),"魔法耐性：10
幸運：10
雨の日2")</f>
        <v>魔法耐性：10
幸運：10
雨の日2</v>
      </c>
      <c r="E48" s="324" t="s">
        <v>5110</v>
      </c>
      <c r="F48" s="117" t="s">
        <v>5111</v>
      </c>
      <c r="G48" s="326" t="str">
        <f>IFERROR(__xludf.DUMMYFUNCTION("GOOGLETRANSLATE(A48,""zh-tw"",""zh"")"),"雨天娃娃")</f>
        <v>雨天娃娃</v>
      </c>
      <c r="H48" s="121" t="str">
        <f>IFERROR(__xludf.DUMMYFUNCTION("GOOGLETRANSLATE(B48,""zh-tw"",""zh"")"),"魔抗：10
幸运：10
第二天雨天")</f>
        <v>魔抗：10
幸运：10
第二天雨天</v>
      </c>
      <c r="I48" s="324" t="s">
        <v>5110</v>
      </c>
      <c r="J48" s="121" t="str">
        <f>IFERROR(__xludf.DUMMYFUNCTION("GOOGLETRANSLATE(B48,""zh-tw"",""es-MX"")"),"Resistencia Mágica: 10
Suerte: 10
Día Lluvioso 2")</f>
        <v>Resistencia Mágica: 10
Suerte: 10
Día Lluvioso 2</v>
      </c>
      <c r="K48" s="324" t="s">
        <v>5112</v>
      </c>
      <c r="L48" s="117" t="s">
        <v>5113</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5114</v>
      </c>
      <c r="P48" s="309" t="s">
        <v>5115</v>
      </c>
      <c r="Q48" s="340" t="s">
        <v>5116</v>
      </c>
      <c r="R48" s="329" t="s">
        <v>5117</v>
      </c>
      <c r="S48" s="17"/>
      <c r="T48" s="17"/>
      <c r="U48" s="17"/>
      <c r="V48" s="17"/>
      <c r="W48" s="17"/>
      <c r="X48" s="17"/>
      <c r="Y48" s="17"/>
      <c r="Z48" s="17"/>
    </row>
    <row r="49">
      <c r="A49" s="324" t="s">
        <v>5118</v>
      </c>
      <c r="B49" s="117" t="s">
        <v>5119</v>
      </c>
      <c r="C49" s="337" t="s">
        <v>5118</v>
      </c>
      <c r="D49" s="338" t="str">
        <f>IFERROR(__xludf.DUMMYFUNCTION("GOOGLETRANSLATE(B49,""zh-tw"",""ja"")"),"物理防御力: 1
魔法耐性: 10
幸運: 5
最大スタミナを増加")</f>
        <v>物理防御力: 1
魔法耐性: 10
幸運: 5
最大スタミナを増加</v>
      </c>
      <c r="E49" s="324" t="s">
        <v>5120</v>
      </c>
      <c r="F49" s="117" t="s">
        <v>5121</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5122</v>
      </c>
      <c r="L49" s="117" t="s">
        <v>5123</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5124</v>
      </c>
      <c r="P49" s="309" t="s">
        <v>5125</v>
      </c>
      <c r="Q49" s="328" t="s">
        <v>5126</v>
      </c>
      <c r="R49" s="329" t="s">
        <v>5127</v>
      </c>
      <c r="S49" s="17"/>
      <c r="T49" s="17"/>
      <c r="U49" s="17"/>
      <c r="V49" s="17"/>
      <c r="W49" s="17"/>
      <c r="X49" s="17"/>
      <c r="Y49" s="17"/>
      <c r="Z49" s="17"/>
    </row>
    <row r="50">
      <c r="A50" s="324" t="s">
        <v>4084</v>
      </c>
      <c r="B50" s="117" t="s">
        <v>5128</v>
      </c>
      <c r="C50" s="337" t="s">
        <v>4086</v>
      </c>
      <c r="D50" s="338" t="str">
        <f>IFERROR(__xludf.DUMMYFUNCTION("GOOGLETRANSLATE(B50,""zh-tw"",""ja"")"),"魔法耐性：30
再生不可、7秒間死を免れる")</f>
        <v>魔法耐性：30
再生不可、7秒間死を免れる</v>
      </c>
      <c r="E50" s="324" t="s">
        <v>4088</v>
      </c>
      <c r="F50" s="117" t="s">
        <v>5129</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4090</v>
      </c>
      <c r="L50" s="117" t="s">
        <v>5130</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4092</v>
      </c>
      <c r="P50" s="309" t="s">
        <v>5131</v>
      </c>
      <c r="Q50" s="328" t="s">
        <v>4094</v>
      </c>
      <c r="R50" s="329" t="s">
        <v>5132</v>
      </c>
      <c r="S50" s="17"/>
      <c r="T50" s="17"/>
      <c r="U50" s="17"/>
      <c r="V50" s="17"/>
      <c r="W50" s="17"/>
      <c r="X50" s="17"/>
      <c r="Y50" s="17"/>
      <c r="Z50" s="17"/>
    </row>
    <row r="51">
      <c r="A51" s="324" t="s">
        <v>5133</v>
      </c>
      <c r="B51" s="117" t="s">
        <v>5134</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5135</v>
      </c>
      <c r="F51" s="117" t="s">
        <v>5136</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5137</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5138</v>
      </c>
      <c r="P51" s="309" t="s">
        <v>5139</v>
      </c>
      <c r="Q51" s="328" t="s">
        <v>5140</v>
      </c>
      <c r="R51" s="329" t="s">
        <v>5141</v>
      </c>
      <c r="S51" s="17"/>
      <c r="T51" s="17"/>
      <c r="U51" s="17"/>
      <c r="V51" s="17"/>
      <c r="W51" s="17"/>
      <c r="X51" s="17"/>
      <c r="Y51" s="17"/>
      <c r="Z51" s="17"/>
    </row>
    <row r="52">
      <c r="A52" s="324" t="s">
        <v>5142</v>
      </c>
      <c r="B52" s="117" t="s">
        <v>5143</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5145</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5146</v>
      </c>
      <c r="P52" s="309" t="s">
        <v>5147</v>
      </c>
      <c r="Q52" s="328" t="s">
        <v>5148</v>
      </c>
      <c r="R52" s="329" t="s">
        <v>5149</v>
      </c>
      <c r="S52" s="17"/>
      <c r="T52" s="17"/>
      <c r="U52" s="17"/>
      <c r="V52" s="17"/>
      <c r="W52" s="17"/>
      <c r="X52" s="17"/>
      <c r="Y52" s="17"/>
      <c r="Z52" s="17"/>
    </row>
    <row r="53">
      <c r="A53" s="324" t="s">
        <v>5150</v>
      </c>
      <c r="B53" s="117" t="s">
        <v>5151</v>
      </c>
      <c r="C53" s="337" t="s">
        <v>5152</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5153</v>
      </c>
      <c r="F53" s="117" t="s">
        <v>5154</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5155</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5" t="s">
        <v>5156</v>
      </c>
      <c r="P53" s="309" t="s">
        <v>5157</v>
      </c>
      <c r="Q53" s="328" t="s">
        <v>5158</v>
      </c>
      <c r="R53" s="123" t="s">
        <v>5159</v>
      </c>
      <c r="S53" s="17"/>
      <c r="T53" s="17"/>
      <c r="U53" s="17"/>
      <c r="V53" s="17"/>
      <c r="W53" s="17"/>
      <c r="X53" s="17"/>
      <c r="Y53" s="17"/>
      <c r="Z53" s="17"/>
    </row>
    <row r="54">
      <c r="A54" s="324" t="s">
        <v>5160</v>
      </c>
      <c r="B54" s="117" t="s">
        <v>5161</v>
      </c>
      <c r="C54" s="337" t="s">
        <v>5162</v>
      </c>
      <c r="D54" s="117" t="s">
        <v>5163</v>
      </c>
      <c r="E54" s="324" t="s">
        <v>5164</v>
      </c>
      <c r="F54" s="117" t="s">
        <v>5165</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5166</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5167</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5168</v>
      </c>
      <c r="P54" s="309" t="s">
        <v>5169</v>
      </c>
      <c r="Q54" s="328" t="s">
        <v>5170</v>
      </c>
      <c r="R54" s="329" t="s">
        <v>5171</v>
      </c>
      <c r="S54" s="17"/>
      <c r="T54" s="17"/>
      <c r="U54" s="17"/>
      <c r="V54" s="17"/>
      <c r="W54" s="17"/>
      <c r="X54" s="17"/>
      <c r="Y54" s="17"/>
      <c r="Z54" s="17"/>
    </row>
    <row r="55">
      <c r="A55" s="324" t="s">
        <v>4122</v>
      </c>
      <c r="B55" s="117" t="s">
        <v>5172</v>
      </c>
      <c r="C55" s="339" t="str">
        <f>IFERROR(__xludf.DUMMYFUNCTION("GOOGLETRANSLATE(A55,""zh-tw"",""ja"")"),"溶岩リング")</f>
        <v>溶岩リング</v>
      </c>
      <c r="D55" s="338" t="str">
        <f>IFERROR(__xludf.DUMMYFUNCTION("GOOGLETRANSLATE(B55,""zh-tw"",""ja"")"),"物理防御力: 2
魔法威力: 15
魔法耐性: 60
凍結と燃焼の確率が減少")</f>
        <v>物理防御力: 2
魔法威力: 15
魔法耐性: 60
凍結と燃焼の確率が減少</v>
      </c>
      <c r="E55" s="324" t="s">
        <v>4126</v>
      </c>
      <c r="F55" s="117" t="s">
        <v>5173</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4127</v>
      </c>
      <c r="L55" s="117" t="s">
        <v>5174</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4129</v>
      </c>
      <c r="P55" s="309" t="s">
        <v>5175</v>
      </c>
      <c r="Q55" s="328" t="s">
        <v>5176</v>
      </c>
      <c r="R55" s="329" t="s">
        <v>5177</v>
      </c>
      <c r="S55" s="17"/>
      <c r="T55" s="17"/>
      <c r="U55" s="17"/>
      <c r="V55" s="17"/>
      <c r="W55" s="17"/>
      <c r="X55" s="17"/>
      <c r="Y55" s="17"/>
      <c r="Z55" s="17"/>
    </row>
    <row r="56">
      <c r="A56" s="324" t="s">
        <v>5178</v>
      </c>
      <c r="B56" s="309" t="s">
        <v>5179</v>
      </c>
      <c r="C56" s="337" t="s">
        <v>5180</v>
      </c>
      <c r="D56" s="178" t="s">
        <v>5181</v>
      </c>
      <c r="E56" s="324" t="s">
        <v>5182</v>
      </c>
      <c r="F56" s="117" t="s">
        <v>5183</v>
      </c>
      <c r="G56" s="326" t="str">
        <f>IFERROR(__xludf.DUMMYFUNCTION("GOOGLETRANSLATE(A56,""zh-tw"",""zh"")"),"炎天娃娃")</f>
        <v>炎天娃娃</v>
      </c>
      <c r="H56" s="121" t="str">
        <f>IFERROR(__xludf.DUMMYFUNCTION("GOOGLETRANSLATE(B56,""zh-tw"",""zh"")"),"魔抗：10
幸运：10
第二天炎热")</f>
        <v>魔抗：10
幸运：10
第二天炎热</v>
      </c>
      <c r="I56" s="324" t="s">
        <v>5182</v>
      </c>
      <c r="J56" s="121" t="str">
        <f>IFERROR(__xludf.DUMMYFUNCTION("GOOGLETRANSLATE(B56,""zh-tw"",""es-MX"")"),"Resistencia Mágica: 10
Suerte: 10
El día siguiente hizo calor.")</f>
        <v>Resistencia Mágica: 10
Suerte: 10
El día siguiente hizo calor.</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5184</v>
      </c>
      <c r="P56" s="309" t="s">
        <v>5185</v>
      </c>
      <c r="Q56" s="340" t="s">
        <v>5186</v>
      </c>
      <c r="R56" s="329" t="s">
        <v>5187</v>
      </c>
      <c r="S56" s="17"/>
      <c r="T56" s="17"/>
      <c r="U56" s="17"/>
      <c r="V56" s="17"/>
      <c r="W56" s="17"/>
      <c r="X56" s="17"/>
      <c r="Y56" s="17"/>
      <c r="Z56" s="17"/>
    </row>
    <row r="57">
      <c r="A57" s="324" t="s">
        <v>5188</v>
      </c>
      <c r="B57" s="117" t="s">
        <v>5189</v>
      </c>
      <c r="C57" s="337" t="s">
        <v>5190</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5191</v>
      </c>
      <c r="F57" s="117" t="s">
        <v>5192</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5193</v>
      </c>
      <c r="J57" s="342" t="s">
        <v>5194</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5195</v>
      </c>
      <c r="P57" s="309" t="s">
        <v>5196</v>
      </c>
      <c r="Q57" s="328" t="s">
        <v>5197</v>
      </c>
      <c r="R57" s="329" t="s">
        <v>5198</v>
      </c>
      <c r="S57" s="17"/>
      <c r="T57" s="17"/>
      <c r="U57" s="17"/>
      <c r="V57" s="17"/>
      <c r="W57" s="17"/>
      <c r="X57" s="17"/>
      <c r="Y57" s="17"/>
      <c r="Z57" s="17"/>
    </row>
    <row r="58">
      <c r="A58" s="326" t="s">
        <v>5199</v>
      </c>
      <c r="B58" s="121" t="s">
        <v>5200</v>
      </c>
      <c r="C58" s="324" t="s">
        <v>5201</v>
      </c>
      <c r="D58" s="121" t="s">
        <v>5202</v>
      </c>
      <c r="E58" s="326" t="s">
        <v>5203</v>
      </c>
      <c r="F58" s="121" t="s">
        <v>5204</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5203</v>
      </c>
      <c r="P58" s="117" t="s">
        <v>5205</v>
      </c>
      <c r="Q58" s="343" t="s">
        <v>5206</v>
      </c>
      <c r="R58" s="344" t="s">
        <v>5207</v>
      </c>
      <c r="S58" s="17"/>
      <c r="T58" s="17"/>
      <c r="U58" s="17"/>
      <c r="V58" s="17"/>
      <c r="W58" s="17"/>
      <c r="X58" s="17"/>
      <c r="Y58" s="17"/>
      <c r="Z58" s="17"/>
    </row>
    <row r="59">
      <c r="A59" s="326" t="s">
        <v>5208</v>
      </c>
      <c r="B59" s="121" t="s">
        <v>5209</v>
      </c>
      <c r="C59" s="324" t="s">
        <v>4143</v>
      </c>
      <c r="D59" s="121" t="s">
        <v>5210</v>
      </c>
      <c r="E59" s="326" t="s">
        <v>5211</v>
      </c>
      <c r="F59" s="121" t="s">
        <v>5212</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5213</v>
      </c>
      <c r="P59" s="117" t="s">
        <v>5214</v>
      </c>
      <c r="Q59" s="345" t="s">
        <v>5215</v>
      </c>
      <c r="R59" s="316" t="s">
        <v>5216</v>
      </c>
      <c r="S59" s="17"/>
      <c r="T59" s="17"/>
      <c r="U59" s="17"/>
      <c r="V59" s="17"/>
      <c r="W59" s="17"/>
      <c r="X59" s="17"/>
      <c r="Y59" s="17"/>
      <c r="Z59" s="17"/>
    </row>
    <row r="60">
      <c r="A60" s="326" t="s">
        <v>5217</v>
      </c>
      <c r="B60" s="121" t="s">
        <v>5218</v>
      </c>
      <c r="C60" s="345" t="s">
        <v>5219</v>
      </c>
      <c r="D60" s="120" t="s">
        <v>5220</v>
      </c>
      <c r="E60" s="324" t="s">
        <v>5221</v>
      </c>
      <c r="F60" s="117" t="s">
        <v>5222</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5223</v>
      </c>
      <c r="P60" s="117" t="s">
        <v>5224</v>
      </c>
      <c r="Q60" s="343" t="s">
        <v>5225</v>
      </c>
      <c r="R60" s="316" t="s">
        <v>5226</v>
      </c>
      <c r="S60" s="346"/>
      <c r="T60" s="346"/>
      <c r="U60" s="346"/>
      <c r="V60" s="346"/>
      <c r="W60" s="346"/>
      <c r="X60" s="346"/>
      <c r="Y60" s="346"/>
      <c r="Z60" s="346"/>
    </row>
    <row r="61">
      <c r="A61" s="324" t="s">
        <v>5227</v>
      </c>
      <c r="B61" s="117" t="s">
        <v>5228</v>
      </c>
      <c r="C61" s="337" t="s">
        <v>5229</v>
      </c>
      <c r="D61" s="178" t="s">
        <v>5230</v>
      </c>
      <c r="E61" s="324" t="s">
        <v>5231</v>
      </c>
      <c r="F61" s="117" t="s">
        <v>5232</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5233</v>
      </c>
      <c r="P61" s="117" t="s">
        <v>5234</v>
      </c>
      <c r="Q61" s="328" t="s">
        <v>5235</v>
      </c>
      <c r="R61" s="329" t="s">
        <v>5236</v>
      </c>
      <c r="S61" s="17"/>
      <c r="T61" s="17"/>
      <c r="U61" s="17"/>
      <c r="V61" s="17"/>
      <c r="W61" s="17"/>
      <c r="X61" s="17"/>
      <c r="Y61" s="17"/>
      <c r="Z61" s="17"/>
    </row>
    <row r="62">
      <c r="A62" s="330" t="s">
        <v>5237</v>
      </c>
      <c r="B62" s="105" t="s">
        <v>5238</v>
      </c>
      <c r="C62" s="330" t="s">
        <v>5239</v>
      </c>
      <c r="D62" s="105" t="s">
        <v>5240</v>
      </c>
      <c r="E62" s="330" t="s">
        <v>5241</v>
      </c>
      <c r="F62" s="105" t="s">
        <v>5242</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6" t="s">
        <v>5243</v>
      </c>
      <c r="P62" s="121" t="s">
        <v>5244</v>
      </c>
      <c r="Q62" s="328" t="s">
        <v>5245</v>
      </c>
      <c r="R62" s="329" t="s">
        <v>5246</v>
      </c>
      <c r="S62" s="17"/>
      <c r="T62" s="17"/>
      <c r="U62" s="17"/>
      <c r="V62" s="17"/>
      <c r="W62" s="17"/>
      <c r="X62" s="17"/>
      <c r="Y62" s="17"/>
      <c r="Z62" s="17"/>
    </row>
    <row r="63">
      <c r="A63" s="330" t="s">
        <v>5247</v>
      </c>
      <c r="B63" s="105" t="s">
        <v>5248</v>
      </c>
      <c r="C63" s="337" t="s">
        <v>5249</v>
      </c>
      <c r="D63" s="178" t="s">
        <v>5250</v>
      </c>
      <c r="E63" s="330" t="s">
        <v>5251</v>
      </c>
      <c r="F63" s="105" t="s">
        <v>5252</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6" t="s">
        <v>5253</v>
      </c>
      <c r="P63" s="121" t="s">
        <v>5254</v>
      </c>
      <c r="Q63" s="328" t="s">
        <v>5255</v>
      </c>
      <c r="R63" s="329" t="s">
        <v>5256</v>
      </c>
      <c r="S63" s="17"/>
      <c r="T63" s="17"/>
      <c r="U63" s="17"/>
      <c r="V63" s="17"/>
      <c r="W63" s="17"/>
      <c r="X63" s="17"/>
      <c r="Y63" s="17"/>
      <c r="Z63" s="17"/>
    </row>
    <row r="64">
      <c r="A64" s="324" t="s">
        <v>5257</v>
      </c>
      <c r="B64" s="117" t="s">
        <v>5258</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5259</v>
      </c>
      <c r="F64" s="117" t="s">
        <v>5260</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5261</v>
      </c>
      <c r="R64" s="329" t="s">
        <v>5262</v>
      </c>
      <c r="S64" s="17"/>
      <c r="T64" s="17"/>
      <c r="U64" s="17"/>
      <c r="V64" s="17"/>
      <c r="W64" s="17"/>
      <c r="X64" s="17"/>
      <c r="Y64" s="17"/>
      <c r="Z64" s="17"/>
    </row>
    <row r="65">
      <c r="A65" s="324" t="s">
        <v>5263</v>
      </c>
      <c r="B65" s="117" t="s">
        <v>5264</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5265</v>
      </c>
      <c r="F65" s="117" t="s">
        <v>5266</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5267</v>
      </c>
      <c r="R65" s="329" t="s">
        <v>5268</v>
      </c>
      <c r="S65" s="17"/>
      <c r="T65" s="17"/>
      <c r="U65" s="17"/>
      <c r="V65" s="17"/>
      <c r="W65" s="17"/>
      <c r="X65" s="17"/>
      <c r="Y65" s="17"/>
      <c r="Z65" s="17"/>
    </row>
    <row r="66">
      <c r="A66" s="324" t="s">
        <v>5269</v>
      </c>
      <c r="B66" s="117" t="s">
        <v>5270</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5271</v>
      </c>
      <c r="F66" s="117" t="s">
        <v>5272</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5273</v>
      </c>
      <c r="R66" s="329" t="s">
        <v>5274</v>
      </c>
      <c r="S66" s="17"/>
      <c r="T66" s="17"/>
      <c r="U66" s="17"/>
      <c r="V66" s="17"/>
      <c r="W66" s="17"/>
      <c r="X66" s="17"/>
      <c r="Y66" s="17"/>
      <c r="Z66" s="17"/>
    </row>
    <row r="67">
      <c r="A67" s="324" t="s">
        <v>5275</v>
      </c>
      <c r="B67" s="117" t="s">
        <v>5276</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5277</v>
      </c>
      <c r="F67" s="117" t="s">
        <v>5278</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5279</v>
      </c>
      <c r="R67" s="329" t="s">
        <v>5280</v>
      </c>
      <c r="S67" s="17"/>
      <c r="T67" s="17"/>
      <c r="U67" s="17"/>
      <c r="V67" s="17"/>
      <c r="W67" s="17"/>
      <c r="X67" s="17"/>
      <c r="Y67" s="17"/>
      <c r="Z67" s="17"/>
    </row>
    <row r="68">
      <c r="A68" s="324" t="s">
        <v>5281</v>
      </c>
      <c r="B68" s="117" t="s">
        <v>5282</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5283</v>
      </c>
      <c r="F68" s="117" t="s">
        <v>5284</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5285</v>
      </c>
      <c r="R68" s="329" t="s">
        <v>5286</v>
      </c>
      <c r="S68" s="17"/>
      <c r="T68" s="17"/>
      <c r="U68" s="17"/>
      <c r="V68" s="17"/>
      <c r="W68" s="17"/>
      <c r="X68" s="17"/>
      <c r="Y68" s="17"/>
      <c r="Z68" s="17"/>
    </row>
    <row r="69">
      <c r="A69" s="324" t="s">
        <v>5287</v>
      </c>
      <c r="B69" s="117" t="s">
        <v>5288</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5289</v>
      </c>
      <c r="F69" s="117" t="s">
        <v>5290</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5291</v>
      </c>
      <c r="R69" s="329" t="s">
        <v>5292</v>
      </c>
      <c r="S69" s="17"/>
      <c r="T69" s="17"/>
      <c r="U69" s="17"/>
      <c r="V69" s="17"/>
      <c r="W69" s="17"/>
      <c r="X69" s="17"/>
      <c r="Y69" s="17"/>
      <c r="Z69" s="17"/>
    </row>
    <row r="70">
      <c r="A70" s="324" t="s">
        <v>5293</v>
      </c>
      <c r="B70" s="117" t="s">
        <v>5294</v>
      </c>
      <c r="C70" s="326" t="str">
        <f>IFERROR(__xludf.DUMMYFUNCTION("GOOGLETRANSLATE(A70,""zh-tw"",""ja"")"),"シャープブレードリング")</f>
        <v>シャープブレードリング</v>
      </c>
      <c r="D70" s="121" t="str">
        <f>IFERROR(__xludf.DUMMYFUNCTION("GOOGLETRANSLATE(B70,""zh-tw"",""ja"")"),"物理攻撃力+15%")</f>
        <v>物理攻撃力+15%</v>
      </c>
      <c r="E70" s="324" t="s">
        <v>5295</v>
      </c>
      <c r="F70" s="117" t="s">
        <v>5296</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5297</v>
      </c>
      <c r="R70" s="329" t="s">
        <v>5298</v>
      </c>
      <c r="S70" s="17"/>
      <c r="T70" s="17"/>
      <c r="U70" s="17"/>
      <c r="V70" s="17"/>
      <c r="W70" s="17"/>
      <c r="X70" s="17"/>
      <c r="Y70" s="17"/>
      <c r="Z70" s="17"/>
    </row>
    <row r="71">
      <c r="A71" s="324" t="s">
        <v>5299</v>
      </c>
      <c r="B71" s="117" t="s">
        <v>5300</v>
      </c>
      <c r="C71" s="326" t="str">
        <f>IFERROR(__xludf.DUMMYFUNCTION("GOOGLETRANSLATE(A71,""zh-tw"",""ja"")"),"脇差")</f>
        <v>脇差</v>
      </c>
      <c r="D71" s="121" t="str">
        <f>IFERROR(__xludf.DUMMYFUNCTION("GOOGLETRANSLATE(B71,""zh-tw"",""ja"")"),"近距離基本攻撃+1。
出血の確率あり。
ヒットポイントは小さく、武器のサイズに比例しない。
ダメージは固定だが、剣術訓練によるダメージボーナスと組み合わせることができる。")</f>
        <v>近距離基本攻撃+1。
出血の確率あり。
ヒットポイントは小さく、武器のサイズに比例しない。
ダメージは固定だが、剣術訓練によるダメージボーナスと組み合わせることができる。</v>
      </c>
      <c r="E71" s="324" t="s">
        <v>5301</v>
      </c>
      <c r="F71" s="117" t="s">
        <v>5302</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básico a corta distancia.
Posibilidad de causar sangrado.
Poco punto de vida; no se ajusta al tamaño del arma.
Daño fijo, pero combinable con las bonificaciones de daño del entrenamiento de esgrima.")</f>
        <v>+1 ataque básico a corta distancia.
Posibilidad de causar sangrado.
Poco punto de vida; no se ajusta al tamaño del arma.
Daño fijo, pero combinable con las bonificaciones de daño del entrenamiento de esgrima.</v>
      </c>
      <c r="K71" s="326" t="str">
        <f>IFERROR(__xludf.DUMMYFUNCTION("GOOGLETRANSLATE(A71,""zh-tw"",""KO"")"),"와키자시")</f>
        <v>와키자시</v>
      </c>
      <c r="L71" s="121" t="str">
        <f>IFERROR(__xludf.DUMMYFUNCTION("GOOGLETRANSLATE(B71,""zh-tw"",""KO"")"),"근거리 기본 공격 +1
출혈 발생 확률
낮은 체력, 무기 크기에 따라 증가하지 않음
고정 피해량이지만, 검술 훈련으로 얻는 피해 보너스와 병행할 수 있습니다.")</f>
        <v>근거리 기본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базовой атаке в ближнем бою.
Вероятность вызвать кровотечение.
Малое здоровье, не зависит от размера оружия.
Фиксированный урон, но может сочетаться с бонусами к урону от обучения фехтованию.")</f>
        <v>+1 к базовой атаке в ближнем бою.
Вероятность вызвать кровотечение.
Малое здоровье, не зависит от размера оружия.
Фиксированный урон, но может сочетаться с бонусами к урону от обучения фехтованию.</v>
      </c>
      <c r="O71" s="327" t="str">
        <f>IFERROR(__xludf.DUMMYFUNCTION("GOOGLETRANSLATE(A71,""zh-tw"",""de"")"),"Wakizashi")</f>
        <v>Wakizashi</v>
      </c>
      <c r="P71" s="307" t="str">
        <f>IFERROR(__xludf.DUMMYFUNCTION("GOOGLETRANSLATE(B71,""zh-tw"",""de"")"),"+1 Basisangriff auf kurze Distanz.
Chance, Blutungen zu verursachen.
Geringe Trefferpunkte, skaliert nicht mit der Waffengröße.
Fester Schaden, kann aber mit Schadensboni aus dem Schwertkampftraining kombiniert werden.")</f>
        <v>+1 Basisangriff auf kurze Distanz.
Chance, Blutungen zu verursachen.
Geringe Trefferpunkte, skaliert nicht mit der Waffengröße.
Fester Schaden, kann aber mit Schadensboni aus dem Schwertkampftraining kombiniert werden.</v>
      </c>
      <c r="Q71" s="328" t="s">
        <v>5301</v>
      </c>
      <c r="R71" s="329" t="s">
        <v>5303</v>
      </c>
      <c r="S71" s="17"/>
      <c r="T71" s="17"/>
      <c r="U71" s="17"/>
      <c r="V71" s="17"/>
      <c r="W71" s="17"/>
      <c r="X71" s="17"/>
      <c r="Y71" s="17"/>
      <c r="Z71" s="17"/>
    </row>
    <row r="72">
      <c r="A72" s="324" t="s">
        <v>5304</v>
      </c>
      <c r="B72" s="117" t="s">
        <v>5305</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5306</v>
      </c>
      <c r="F72" s="117" t="s">
        <v>5307</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5308</v>
      </c>
      <c r="R72" s="329" t="s">
        <v>5309</v>
      </c>
      <c r="S72" s="17"/>
      <c r="T72" s="17"/>
      <c r="U72" s="17"/>
      <c r="V72" s="17"/>
      <c r="W72" s="17"/>
      <c r="X72" s="17"/>
      <c r="Y72" s="17"/>
      <c r="Z72" s="17"/>
    </row>
    <row r="73">
      <c r="A73" s="324" t="s">
        <v>5310</v>
      </c>
      <c r="B73" s="117" t="s">
        <v>5311</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5312</v>
      </c>
      <c r="F73" s="117" t="s">
        <v>5313</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5314</v>
      </c>
      <c r="R73" s="329" t="s">
        <v>5315</v>
      </c>
      <c r="S73" s="17"/>
      <c r="T73" s="17"/>
      <c r="U73" s="17"/>
      <c r="V73" s="17"/>
      <c r="W73" s="17"/>
      <c r="X73" s="17"/>
      <c r="Y73" s="17"/>
      <c r="Z73" s="17"/>
    </row>
    <row r="74">
      <c r="A74" s="324" t="s">
        <v>5316</v>
      </c>
      <c r="B74" s="117" t="s">
        <v>5317</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5318</v>
      </c>
      <c r="F74" s="117" t="s">
        <v>5319</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5320</v>
      </c>
      <c r="R74" s="329" t="s">
        <v>5321</v>
      </c>
      <c r="S74" s="17"/>
      <c r="T74" s="17"/>
      <c r="U74" s="17"/>
      <c r="V74" s="17"/>
      <c r="W74" s="17"/>
      <c r="X74" s="17"/>
      <c r="Y74" s="17"/>
      <c r="Z74" s="17"/>
    </row>
    <row r="75">
      <c r="A75" s="330" t="s">
        <v>4194</v>
      </c>
      <c r="B75" s="117" t="s">
        <v>5322</v>
      </c>
      <c r="C75" s="337" t="s">
        <v>5323</v>
      </c>
      <c r="D75" s="178" t="s">
        <v>5324</v>
      </c>
      <c r="E75" s="324" t="s">
        <v>4197</v>
      </c>
      <c r="F75" s="117" t="s">
        <v>5325</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4200</v>
      </c>
      <c r="P75" s="117" t="s">
        <v>5326</v>
      </c>
      <c r="Q75" s="328" t="s">
        <v>4203</v>
      </c>
      <c r="R75" s="329" t="s">
        <v>5327</v>
      </c>
      <c r="S75" s="17"/>
      <c r="T75" s="17"/>
      <c r="U75" s="17"/>
      <c r="V75" s="17"/>
      <c r="W75" s="17"/>
      <c r="X75" s="17"/>
      <c r="Y75" s="17"/>
      <c r="Z75" s="17"/>
    </row>
    <row r="76">
      <c r="A76" s="326" t="s">
        <v>4206</v>
      </c>
      <c r="B76" s="117" t="s">
        <v>5328</v>
      </c>
      <c r="C76" s="326" t="s">
        <v>4206</v>
      </c>
      <c r="D76" s="178" t="s">
        <v>5329</v>
      </c>
      <c r="E76" s="324" t="s">
        <v>4208</v>
      </c>
      <c r="F76" s="117" t="s">
        <v>5330</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4210</v>
      </c>
      <c r="P76" s="117" t="s">
        <v>5331</v>
      </c>
      <c r="Q76" s="343" t="s">
        <v>4212</v>
      </c>
      <c r="R76" s="329" t="s">
        <v>5332</v>
      </c>
      <c r="S76" s="17"/>
      <c r="T76" s="17"/>
      <c r="U76" s="17"/>
      <c r="V76" s="17"/>
      <c r="W76" s="17"/>
      <c r="X76" s="17"/>
      <c r="Y76" s="17"/>
      <c r="Z76" s="17"/>
    </row>
    <row r="77">
      <c r="A77" s="326" t="s">
        <v>5333</v>
      </c>
      <c r="B77" s="117" t="s">
        <v>5334</v>
      </c>
      <c r="C77" s="337" t="s">
        <v>5335</v>
      </c>
      <c r="D77" s="178" t="s">
        <v>5336</v>
      </c>
      <c r="E77" s="324" t="s">
        <v>5337</v>
      </c>
      <c r="F77" s="117" t="s">
        <v>5338</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5339</v>
      </c>
      <c r="P77" s="117" t="s">
        <v>5340</v>
      </c>
      <c r="Q77" s="343" t="s">
        <v>5341</v>
      </c>
      <c r="R77" s="329" t="s">
        <v>5342</v>
      </c>
      <c r="S77" s="17"/>
      <c r="T77" s="17"/>
      <c r="U77" s="17"/>
      <c r="V77" s="17"/>
      <c r="W77" s="17"/>
      <c r="X77" s="17"/>
      <c r="Y77" s="17"/>
      <c r="Z77" s="17"/>
    </row>
    <row r="78">
      <c r="A78" s="324" t="s">
        <v>5343</v>
      </c>
      <c r="B78" s="117" t="s">
        <v>5344</v>
      </c>
      <c r="C78" s="337" t="s">
        <v>5345</v>
      </c>
      <c r="D78" s="178" t="s">
        <v>5346</v>
      </c>
      <c r="E78" s="324" t="s">
        <v>5347</v>
      </c>
      <c r="F78" s="117" t="s">
        <v>5348</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5349</v>
      </c>
      <c r="P78" s="117" t="s">
        <v>5350</v>
      </c>
      <c r="Q78" s="328" t="s">
        <v>5347</v>
      </c>
      <c r="R78" s="329" t="s">
        <v>5351</v>
      </c>
      <c r="S78" s="17"/>
      <c r="T78" s="17"/>
      <c r="U78" s="17"/>
      <c r="V78" s="17"/>
      <c r="W78" s="17"/>
      <c r="X78" s="17"/>
      <c r="Y78" s="17"/>
      <c r="Z78" s="17"/>
    </row>
    <row r="79">
      <c r="A79" s="324" t="s">
        <v>5352</v>
      </c>
      <c r="B79" s="117" t="s">
        <v>5353</v>
      </c>
      <c r="C79" s="339"/>
      <c r="D79" s="338"/>
      <c r="E79" s="324" t="s">
        <v>5354</v>
      </c>
      <c r="F79" s="117" t="s">
        <v>5355</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7" t="str">
        <f>IFERROR(__xludf.DUMMYFUNCTION("GOOGLETRANSLATE(A79,""zh-tw"",""de"")"),"Ruikas Schatzhammer")</f>
        <v>Ruikas Schatzhammer</v>
      </c>
      <c r="P79" s="307" t="str">
        <f>IFERROR(__xludf.DUMMYFUNCTION("GOOGLETRANSLATE(B79,""zh-tw"",""de"")"),"Glück: 777
Erhöht die Droprate (Cheat-Gegenstand)")</f>
        <v>Glück: 777
Erhöht die Droprate (Cheat-Gegenstand)</v>
      </c>
      <c r="Q79" s="340" t="s">
        <v>5356</v>
      </c>
      <c r="R79" s="314" t="s">
        <v>5357</v>
      </c>
      <c r="S79" s="17"/>
      <c r="T79" s="17"/>
      <c r="U79" s="17"/>
      <c r="V79" s="17"/>
      <c r="W79" s="17"/>
      <c r="X79" s="17"/>
      <c r="Y79" s="17"/>
      <c r="Z79" s="17"/>
    </row>
    <row r="80">
      <c r="A80" s="324" t="s">
        <v>5358</v>
      </c>
      <c r="B80" s="117" t="s">
        <v>5359</v>
      </c>
      <c r="C80" s="339"/>
      <c r="D80" s="338"/>
      <c r="E80" s="324" t="s">
        <v>5360</v>
      </c>
      <c r="F80" s="117" t="s">
        <v>5361</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7" t="str">
        <f>IFERROR(__xludf.DUMMYFUNCTION("GOOGLETRANSLATE(A80,""zh-tw"",""de"")"),"Mios Erste-Hilfe-Kasten")</f>
        <v>Mios Erste-Hilfe-Kasten</v>
      </c>
      <c r="P80" s="307" t="str">
        <f>IFERROR(__xludf.DUMMYFUNCTION("GOOGLETRANSLATE(B80,""zh-tw"",""de"")"),"Gesundheit pro Sekunde wiederherstellen (Cheat-Item)")</f>
        <v>Gesundheit pro Sekunde wiederherstellen (Cheat-Item)</v>
      </c>
      <c r="Q80" s="340" t="s">
        <v>5362</v>
      </c>
      <c r="R80" s="314" t="s">
        <v>5363</v>
      </c>
      <c r="S80" s="17"/>
      <c r="T80" s="17"/>
      <c r="U80" s="17"/>
      <c r="V80" s="17"/>
      <c r="W80" s="17"/>
      <c r="X80" s="17"/>
      <c r="Y80" s="17"/>
      <c r="Z80" s="17"/>
    </row>
    <row r="81">
      <c r="A81" s="324" t="s">
        <v>5364</v>
      </c>
      <c r="B81" s="117" t="s">
        <v>5365</v>
      </c>
      <c r="C81" s="339"/>
      <c r="D81" s="338"/>
      <c r="E81" s="324" t="s">
        <v>5366</v>
      </c>
      <c r="F81" s="117" t="s">
        <v>5367</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골드 핑거")</f>
        <v>백연의 골드 핑거</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7" t="str">
        <f>IFERROR(__xludf.DUMMYFUNCTION("GOOGLETRANSLATE(A81,""zh-tw"",""de"")"),"Bai Yans goldener Finger")</f>
        <v>Bai Yans goldener Finger</v>
      </c>
      <c r="P81" s="307" t="str">
        <f>IFERROR(__xludf.DUMMYFUNCTION("GOOGLETRANSLATE(B81,""zh-tw"",""de"")"),"Waffe kein Verbrauch (Cheat)")</f>
        <v>Waffe kein Verbrauch (Cheat)</v>
      </c>
      <c r="Q81" s="340" t="s">
        <v>5368</v>
      </c>
      <c r="R81" s="314" t="s">
        <v>5369</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49" t="s">
        <v>5370</v>
      </c>
      <c r="S1" s="292"/>
      <c r="T1" s="292"/>
      <c r="U1" s="292"/>
      <c r="V1" s="292"/>
    </row>
    <row r="2">
      <c r="A2" s="350" t="s">
        <v>5371</v>
      </c>
      <c r="C2" s="350" t="str">
        <f>IFERROR(__xludf.DUMMYFUNCTION("GOOGLETRANSLATE(A2,""zh-tw"",""ja"")"),"消耗品のみ記録されます")</f>
        <v>消耗品のみ記録されます</v>
      </c>
      <c r="E2" s="350" t="s">
        <v>5372</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5373</v>
      </c>
      <c r="Q2" s="352" t="s">
        <v>5374</v>
      </c>
      <c r="S2" s="353"/>
      <c r="T2" s="353"/>
      <c r="U2" s="353"/>
      <c r="V2" s="353"/>
    </row>
    <row r="3">
      <c r="A3" s="319" t="s">
        <v>5375</v>
      </c>
      <c r="B3" s="72" t="s">
        <v>5376</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5377</v>
      </c>
      <c r="P3" s="72" t="s">
        <v>5378</v>
      </c>
      <c r="Q3" s="354" t="s">
        <v>5379</v>
      </c>
      <c r="R3" s="355" t="s">
        <v>5380</v>
      </c>
      <c r="S3" s="353"/>
      <c r="T3" s="353"/>
      <c r="U3" s="353"/>
      <c r="V3" s="353"/>
    </row>
    <row r="4">
      <c r="A4" s="324" t="s">
        <v>5381</v>
      </c>
      <c r="B4" s="117" t="s">
        <v>5382</v>
      </c>
      <c r="C4" s="324" t="s">
        <v>5383</v>
      </c>
      <c r="D4" s="117" t="s">
        <v>5384</v>
      </c>
      <c r="E4" s="324" t="s">
        <v>5385</v>
      </c>
      <c r="F4" s="117" t="s">
        <v>5386</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5387</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5388</v>
      </c>
      <c r="P4" s="117" t="s">
        <v>5389</v>
      </c>
      <c r="Q4" s="331" t="s">
        <v>5390</v>
      </c>
      <c r="R4" s="123" t="s">
        <v>5391</v>
      </c>
      <c r="S4" s="17"/>
      <c r="T4" s="17"/>
      <c r="U4" s="17"/>
      <c r="V4" s="17"/>
    </row>
    <row r="5">
      <c r="A5" s="324" t="s">
        <v>5392</v>
      </c>
      <c r="B5" s="117" t="s">
        <v>5393</v>
      </c>
      <c r="C5" s="324" t="s">
        <v>5394</v>
      </c>
      <c r="D5" s="117" t="s">
        <v>5395</v>
      </c>
      <c r="E5" s="324" t="s">
        <v>5396</v>
      </c>
      <c r="F5" s="117" t="s">
        <v>5397</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5398</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5399</v>
      </c>
      <c r="P5" s="117" t="s">
        <v>5400</v>
      </c>
      <c r="Q5" s="331" t="s">
        <v>5401</v>
      </c>
      <c r="R5" s="123" t="s">
        <v>5402</v>
      </c>
      <c r="S5" s="17"/>
      <c r="T5" s="17"/>
      <c r="U5" s="17"/>
      <c r="V5" s="17"/>
    </row>
    <row r="6">
      <c r="A6" s="324" t="s">
        <v>5403</v>
      </c>
      <c r="B6" s="117" t="s">
        <v>5404</v>
      </c>
      <c r="C6" s="324" t="s">
        <v>5405</v>
      </c>
      <c r="D6" s="117" t="s">
        <v>5406</v>
      </c>
      <c r="E6" s="324" t="s">
        <v>5407</v>
      </c>
      <c r="F6" s="117" t="s">
        <v>5408</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5409</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5410</v>
      </c>
      <c r="P6" s="117" t="s">
        <v>5411</v>
      </c>
      <c r="Q6" s="331" t="s">
        <v>5412</v>
      </c>
      <c r="R6" s="123" t="s">
        <v>5413</v>
      </c>
      <c r="S6" s="17"/>
      <c r="T6" s="17"/>
      <c r="U6" s="17"/>
      <c r="V6" s="17"/>
    </row>
    <row r="7">
      <c r="A7" s="324" t="s">
        <v>5414</v>
      </c>
      <c r="B7" s="117" t="s">
        <v>5415</v>
      </c>
      <c r="C7" s="324" t="s">
        <v>5416</v>
      </c>
      <c r="D7" s="117" t="s">
        <v>5417</v>
      </c>
      <c r="E7" s="324" t="s">
        <v>5418</v>
      </c>
      <c r="F7" s="117" t="s">
        <v>5419</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5420</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5421</v>
      </c>
      <c r="P7" s="117" t="s">
        <v>5422</v>
      </c>
      <c r="Q7" s="331" t="s">
        <v>5423</v>
      </c>
      <c r="R7" s="123" t="s">
        <v>5424</v>
      </c>
      <c r="S7" s="17"/>
      <c r="T7" s="17"/>
      <c r="U7" s="17"/>
      <c r="V7" s="17"/>
    </row>
    <row r="8">
      <c r="A8" s="324" t="s">
        <v>5425</v>
      </c>
      <c r="B8" s="117" t="s">
        <v>5426</v>
      </c>
      <c r="C8" s="324" t="s">
        <v>5427</v>
      </c>
      <c r="D8" s="117" t="s">
        <v>5428</v>
      </c>
      <c r="E8" s="324" t="s">
        <v>5429</v>
      </c>
      <c r="F8" s="117" t="s">
        <v>5430</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5431</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5432</v>
      </c>
      <c r="P8" s="117" t="s">
        <v>5433</v>
      </c>
      <c r="Q8" s="331" t="s">
        <v>5434</v>
      </c>
      <c r="R8" s="123" t="s">
        <v>5435</v>
      </c>
      <c r="S8" s="17"/>
      <c r="T8" s="17"/>
      <c r="U8" s="17"/>
      <c r="V8" s="17"/>
    </row>
    <row r="9">
      <c r="A9" s="324" t="s">
        <v>5436</v>
      </c>
      <c r="B9" s="117" t="s">
        <v>5437</v>
      </c>
      <c r="C9" s="324" t="s">
        <v>5438</v>
      </c>
      <c r="D9" s="117" t="s">
        <v>5439</v>
      </c>
      <c r="E9" s="324" t="s">
        <v>5440</v>
      </c>
      <c r="F9" s="117" t="s">
        <v>5441</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5442</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5443</v>
      </c>
      <c r="P9" s="117" t="s">
        <v>5444</v>
      </c>
      <c r="Q9" s="331" t="s">
        <v>5445</v>
      </c>
      <c r="R9" s="123" t="s">
        <v>5446</v>
      </c>
      <c r="S9" s="17"/>
      <c r="T9" s="17"/>
      <c r="U9" s="17"/>
      <c r="V9" s="17"/>
    </row>
    <row r="10">
      <c r="A10" s="324" t="s">
        <v>5447</v>
      </c>
      <c r="B10" s="117" t="s">
        <v>5448</v>
      </c>
      <c r="C10" s="324" t="s">
        <v>5449</v>
      </c>
      <c r="D10" s="117" t="s">
        <v>5450</v>
      </c>
      <c r="E10" s="324" t="s">
        <v>5451</v>
      </c>
      <c r="F10" s="117" t="s">
        <v>5452</v>
      </c>
      <c r="G10" s="324" t="str">
        <f>IFERROR(__xludf.DUMMYFUNCTION("GOOGLETRANSLATE(A10,""zh-tw"",""zh"")"),"逆流可乐")</f>
        <v>逆流可乐</v>
      </c>
      <c r="H10" s="117" t="str">
        <f>IFERROR(__xludf.DUMMYFUNCTION("GOOGLETRANSLATE(B10,""zh-tw"",""zh"")"),"(战斗效果未实装)")</f>
        <v>(战斗效果未实装)</v>
      </c>
      <c r="I10" s="324" t="s">
        <v>5451</v>
      </c>
      <c r="J10" s="121" t="str">
        <f>IFERROR(__xludf.DUMMYFUNCTION("GOOGLETRANSLATE(B10,""zh-tw"",""es-MX"")"),"(Efectos de batalla aún no implementados)")</f>
        <v>(Efectos de batalla aún no implementados)</v>
      </c>
      <c r="K10" s="324" t="s">
        <v>5453</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5451</v>
      </c>
      <c r="P10" s="117" t="s">
        <v>5454</v>
      </c>
      <c r="Q10" s="331" t="s">
        <v>5451</v>
      </c>
      <c r="R10" s="123" t="s">
        <v>5455</v>
      </c>
      <c r="S10" s="17"/>
      <c r="T10" s="17"/>
      <c r="U10" s="17"/>
      <c r="V10" s="17"/>
    </row>
    <row r="11">
      <c r="A11" s="324" t="s">
        <v>5456</v>
      </c>
      <c r="B11" s="117" t="s">
        <v>5457</v>
      </c>
      <c r="C11" s="324" t="s">
        <v>5458</v>
      </c>
      <c r="D11" s="117" t="s">
        <v>5459</v>
      </c>
      <c r="E11" s="324" t="s">
        <v>5460</v>
      </c>
      <c r="F11" s="117" t="s">
        <v>5461</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5462</v>
      </c>
      <c r="L11" s="117" t="s">
        <v>5463</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5464</v>
      </c>
      <c r="P11" s="117" t="s">
        <v>5465</v>
      </c>
      <c r="Q11" s="331" t="s">
        <v>5466</v>
      </c>
      <c r="R11" s="123" t="s">
        <v>5467</v>
      </c>
      <c r="S11" s="17"/>
      <c r="T11" s="17"/>
      <c r="U11" s="17"/>
      <c r="V11" s="17"/>
    </row>
    <row r="12">
      <c r="A12" s="324" t="s">
        <v>5468</v>
      </c>
      <c r="B12" s="117" t="s">
        <v>5469</v>
      </c>
      <c r="C12" s="324" t="s">
        <v>5470</v>
      </c>
      <c r="D12" s="117" t="s">
        <v>5471</v>
      </c>
      <c r="E12" s="324" t="s">
        <v>5472</v>
      </c>
      <c r="F12" s="117" t="s">
        <v>5473</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IFERROR(__xludf.DUMMYFUNCTION("GOOGLETRANSLATE(A12,""zh-tw"",""es-MX"")"),"konpeito azul")</f>
        <v>konpeito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5474</v>
      </c>
      <c r="L12" s="117" t="s">
        <v>5475</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5476</v>
      </c>
      <c r="P12" s="117" t="s">
        <v>5477</v>
      </c>
      <c r="Q12" s="331" t="s">
        <v>5478</v>
      </c>
      <c r="R12" s="123" t="s">
        <v>5479</v>
      </c>
      <c r="S12" s="17"/>
      <c r="T12" s="17"/>
      <c r="U12" s="17"/>
      <c r="V12" s="17"/>
    </row>
    <row r="13">
      <c r="A13" s="324" t="s">
        <v>5480</v>
      </c>
      <c r="B13" s="117" t="s">
        <v>5481</v>
      </c>
      <c r="C13" s="324" t="s">
        <v>5482</v>
      </c>
      <c r="D13" s="117" t="s">
        <v>593</v>
      </c>
      <c r="E13" s="324" t="s">
        <v>5483</v>
      </c>
      <c r="F13" s="117" t="s">
        <v>5484</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5485</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5486</v>
      </c>
      <c r="P13" s="117" t="s">
        <v>2323</v>
      </c>
      <c r="Q13" s="331" t="s">
        <v>5487</v>
      </c>
      <c r="R13" s="123" t="s">
        <v>5488</v>
      </c>
      <c r="S13" s="17"/>
      <c r="T13" s="17"/>
      <c r="U13" s="17"/>
      <c r="V13" s="17"/>
    </row>
    <row r="14">
      <c r="A14" s="324" t="s">
        <v>5489</v>
      </c>
      <c r="B14" s="117" t="s">
        <v>5490</v>
      </c>
      <c r="C14" s="324" t="s">
        <v>5491</v>
      </c>
      <c r="D14" s="117" t="s">
        <v>5492</v>
      </c>
      <c r="E14" s="324" t="s">
        <v>5493</v>
      </c>
      <c r="F14" s="117" t="s">
        <v>5494</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조각들")</f>
        <v>천상의 돌 조각들</v>
      </c>
      <c r="L14" s="117" t="s">
        <v>5495</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5496</v>
      </c>
      <c r="P14" s="117" t="s">
        <v>5497</v>
      </c>
      <c r="Q14" s="331" t="s">
        <v>5498</v>
      </c>
      <c r="R14" s="123" t="s">
        <v>5499</v>
      </c>
      <c r="S14" s="17"/>
      <c r="T14" s="17"/>
      <c r="U14" s="17"/>
      <c r="V14" s="17"/>
    </row>
    <row r="15">
      <c r="A15" s="324" t="s">
        <v>5500</v>
      </c>
      <c r="B15" s="117" t="s">
        <v>5501</v>
      </c>
      <c r="C15" s="324" t="s">
        <v>5502</v>
      </c>
      <c r="D15" s="117" t="s">
        <v>5503</v>
      </c>
      <c r="E15" s="324" t="s">
        <v>5504</v>
      </c>
      <c r="F15" s="117" t="s">
        <v>5505</v>
      </c>
      <c r="G15" s="324" t="str">
        <f>IFERROR(__xludf.DUMMYFUNCTION("GOOGLETRANSLATE(A15,""zh-tw"",""zh"")"),"卢恩符文A")</f>
        <v>卢恩符文A</v>
      </c>
      <c r="H15" s="117" t="s">
        <v>5506</v>
      </c>
      <c r="I15" s="326" t="str">
        <f>IFERROR(__xludf.DUMMYFUNCTION("GOOGLETRANSLATE(A15,""zh-tw"",""es-MX"")"),"Runa A")</f>
        <v>Runa A</v>
      </c>
      <c r="J15" s="121" t="str">
        <f>IFERROR(__xludf.DUMMYFUNCTION("GOOGLETRANSLATE(B15,""zh-tw"",""es-MX"")"),"Dejar constancia escrita")</f>
        <v>Dejar constancia escrita</v>
      </c>
      <c r="K15" s="324" t="s">
        <v>5507</v>
      </c>
      <c r="L15" s="117" t="s">
        <v>5508</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5509</v>
      </c>
      <c r="P15" s="117" t="s">
        <v>5510</v>
      </c>
      <c r="Q15" s="331" t="s">
        <v>5504</v>
      </c>
      <c r="R15" s="123" t="s">
        <v>5511</v>
      </c>
      <c r="S15" s="17"/>
      <c r="T15" s="17"/>
      <c r="U15" s="17"/>
      <c r="V15" s="17"/>
    </row>
    <row r="16">
      <c r="A16" s="324" t="s">
        <v>5512</v>
      </c>
      <c r="B16" s="117" t="s">
        <v>5513</v>
      </c>
      <c r="C16" s="324" t="s">
        <v>5514</v>
      </c>
      <c r="D16" s="117" t="s">
        <v>5515</v>
      </c>
      <c r="E16" s="324" t="s">
        <v>5516</v>
      </c>
      <c r="F16" s="117" t="s">
        <v>5517</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5518</v>
      </c>
      <c r="L16" s="117" t="s">
        <v>5519</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5520</v>
      </c>
      <c r="P16" s="117" t="s">
        <v>5521</v>
      </c>
      <c r="Q16" s="331" t="s">
        <v>5516</v>
      </c>
      <c r="R16" s="123" t="s">
        <v>5522</v>
      </c>
      <c r="S16" s="17"/>
      <c r="T16" s="17"/>
      <c r="U16" s="17"/>
      <c r="V16" s="17"/>
    </row>
    <row r="17">
      <c r="A17" s="324" t="s">
        <v>5523</v>
      </c>
      <c r="B17" s="117" t="s">
        <v>5524</v>
      </c>
      <c r="C17" s="324" t="s">
        <v>5525</v>
      </c>
      <c r="D17" s="117" t="s">
        <v>5526</v>
      </c>
      <c r="E17" s="324" t="s">
        <v>5527</v>
      </c>
      <c r="F17" s="117" t="s">
        <v>5528</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5529</v>
      </c>
      <c r="L17" s="117" t="s">
        <v>5530</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5531</v>
      </c>
      <c r="P17" s="117" t="s">
        <v>5532</v>
      </c>
      <c r="Q17" s="331" t="s">
        <v>5527</v>
      </c>
      <c r="R17" s="123" t="s">
        <v>5533</v>
      </c>
      <c r="S17" s="17"/>
      <c r="T17" s="17"/>
      <c r="U17" s="17"/>
      <c r="V17" s="17"/>
    </row>
    <row r="18">
      <c r="A18" s="324" t="s">
        <v>5534</v>
      </c>
      <c r="B18" s="117" t="s">
        <v>5535</v>
      </c>
      <c r="C18" s="324" t="s">
        <v>5536</v>
      </c>
      <c r="D18" s="117" t="s">
        <v>5537</v>
      </c>
      <c r="E18" s="324" t="s">
        <v>5538</v>
      </c>
      <c r="F18" s="117" t="s">
        <v>5539</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5540</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5541</v>
      </c>
      <c r="P18" s="117" t="s">
        <v>5542</v>
      </c>
      <c r="Q18" s="331" t="s">
        <v>5538</v>
      </c>
      <c r="R18" s="123" t="s">
        <v>5543</v>
      </c>
      <c r="S18" s="17"/>
      <c r="T18" s="17"/>
      <c r="U18" s="17"/>
      <c r="V18" s="17"/>
    </row>
    <row r="19">
      <c r="A19" s="324" t="s">
        <v>5544</v>
      </c>
      <c r="B19" s="117" t="s">
        <v>5545</v>
      </c>
      <c r="C19" s="324" t="s">
        <v>5546</v>
      </c>
      <c r="D19" s="117" t="s">
        <v>5547</v>
      </c>
      <c r="E19" s="324" t="s">
        <v>5548</v>
      </c>
      <c r="F19" s="117" t="s">
        <v>5549</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5550</v>
      </c>
      <c r="L19" s="309" t="s">
        <v>5551</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5552</v>
      </c>
      <c r="P19" s="117" t="s">
        <v>5553</v>
      </c>
      <c r="Q19" s="331" t="s">
        <v>5548</v>
      </c>
      <c r="R19" s="123" t="s">
        <v>5549</v>
      </c>
      <c r="S19" s="17"/>
      <c r="T19" s="17"/>
      <c r="U19" s="17"/>
      <c r="V19" s="17"/>
    </row>
    <row r="20">
      <c r="A20" s="324" t="s">
        <v>5554</v>
      </c>
      <c r="B20" s="117" t="s">
        <v>5555</v>
      </c>
      <c r="C20" s="324" t="s">
        <v>5556</v>
      </c>
      <c r="D20" s="117" t="s">
        <v>5557</v>
      </c>
      <c r="E20" s="324" t="s">
        <v>5558</v>
      </c>
      <c r="F20" s="117" t="s">
        <v>5559</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5560</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5561</v>
      </c>
      <c r="P20" s="117" t="s">
        <v>5562</v>
      </c>
      <c r="Q20" s="331" t="s">
        <v>5558</v>
      </c>
      <c r="R20" s="123" t="s">
        <v>5563</v>
      </c>
      <c r="S20" s="17"/>
      <c r="T20" s="17"/>
      <c r="U20" s="17"/>
      <c r="V20" s="17"/>
    </row>
    <row r="21">
      <c r="A21" s="324" t="s">
        <v>5564</v>
      </c>
      <c r="B21" s="117" t="s">
        <v>5565</v>
      </c>
      <c r="C21" s="324" t="s">
        <v>5566</v>
      </c>
      <c r="D21" s="117" t="s">
        <v>5567</v>
      </c>
      <c r="E21" s="324" t="s">
        <v>5568</v>
      </c>
      <c r="F21" s="117" t="s">
        <v>5569</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5570</v>
      </c>
      <c r="M21" s="326" t="str">
        <f>IFERROR(__xludf.DUMMYFUNCTION("GOOGLETRANSLATE(A21,""zh-tw"",""ru"")"),"император")</f>
        <v>император</v>
      </c>
      <c r="N21" s="121" t="str">
        <f>IFERROR(__xludf.DUMMYFUNCTION("GOOGLETRANSLATE(B21,""zh-tw"",""ru"")"),"Рев Дракона")</f>
        <v>Рев Дракона</v>
      </c>
      <c r="O21" s="324" t="s">
        <v>5571</v>
      </c>
      <c r="P21" s="117" t="s">
        <v>5572</v>
      </c>
      <c r="Q21" s="331" t="s">
        <v>5568</v>
      </c>
      <c r="R21" s="123" t="s">
        <v>5573</v>
      </c>
      <c r="S21" s="17"/>
      <c r="T21" s="17"/>
      <c r="U21" s="17"/>
      <c r="V21" s="17"/>
    </row>
    <row r="22">
      <c r="A22" s="324" t="s">
        <v>5574</v>
      </c>
      <c r="B22" s="117" t="s">
        <v>5575</v>
      </c>
      <c r="C22" s="324" t="str">
        <f>IFERROR(__xludf.DUMMYFUNCTION("GOOGLETRANSLATE(A22,""zh-tw"",""ja"")"),"星")</f>
        <v>星</v>
      </c>
      <c r="D22" s="117" t="s">
        <v>5576</v>
      </c>
      <c r="E22" s="324" t="s">
        <v>5577</v>
      </c>
      <c r="F22" s="117" t="s">
        <v>5578</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5579</v>
      </c>
      <c r="M22" s="326" t="str">
        <f>IFERROR(__xludf.DUMMYFUNCTION("GOOGLETRANSLATE(A22,""zh-tw"",""ru"")"),"звезда")</f>
        <v>звезда</v>
      </c>
      <c r="N22" s="121" t="str">
        <f>IFERROR(__xludf.DUMMYFUNCTION("GOOGLETRANSLATE(B22,""zh-tw"",""ru"")"),"Звездные Врата")</f>
        <v>Звездные Врата</v>
      </c>
      <c r="O22" s="324" t="s">
        <v>5580</v>
      </c>
      <c r="P22" s="117" t="s">
        <v>5581</v>
      </c>
      <c r="Q22" s="331" t="s">
        <v>5577</v>
      </c>
      <c r="R22" s="123" t="s">
        <v>5582</v>
      </c>
      <c r="S22" s="17"/>
      <c r="T22" s="17"/>
      <c r="U22" s="17"/>
      <c r="V22" s="17"/>
    </row>
    <row r="23">
      <c r="A23" s="324" t="s">
        <v>5583</v>
      </c>
      <c r="B23" s="117" t="s">
        <v>5584</v>
      </c>
      <c r="C23" s="324" t="s">
        <v>5585</v>
      </c>
      <c r="D23" s="117" t="s">
        <v>5586</v>
      </c>
      <c r="E23" s="324" t="s">
        <v>5587</v>
      </c>
      <c r="F23" s="117" t="s">
        <v>5588</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5589</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5590</v>
      </c>
      <c r="P23" s="117" t="s">
        <v>5591</v>
      </c>
      <c r="Q23" s="331" t="s">
        <v>5587</v>
      </c>
      <c r="R23" s="123" t="s">
        <v>5592</v>
      </c>
      <c r="S23" s="17"/>
      <c r="T23" s="17"/>
      <c r="U23" s="17"/>
      <c r="V23" s="17"/>
    </row>
    <row r="24">
      <c r="A24" s="324" t="s">
        <v>5593</v>
      </c>
      <c r="B24" s="117" t="s">
        <v>5594</v>
      </c>
      <c r="C24" s="324" t="s">
        <v>5595</v>
      </c>
      <c r="D24" s="117" t="s">
        <v>5596</v>
      </c>
      <c r="E24" s="324" t="s">
        <v>5597</v>
      </c>
      <c r="F24" s="117" t="s">
        <v>5598</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5599</v>
      </c>
      <c r="L24" s="117" t="s">
        <v>5600</v>
      </c>
      <c r="M24" s="326" t="str">
        <f>IFERROR(__xludf.DUMMYFUNCTION("GOOGLETRANSLATE(A24,""zh-tw"",""ru"")"),"Жрица")</f>
        <v>Жрица</v>
      </c>
      <c r="N24" s="121" t="str">
        <f>IFERROR(__xludf.DUMMYFUNCTION("GOOGLETRANSLATE(B24,""zh-tw"",""ru"")"),"Церковь Призыва")</f>
        <v>Церковь Призыва</v>
      </c>
      <c r="O24" s="324" t="s">
        <v>5601</v>
      </c>
      <c r="P24" s="117" t="s">
        <v>5602</v>
      </c>
      <c r="Q24" s="331" t="s">
        <v>5597</v>
      </c>
      <c r="R24" s="123" t="s">
        <v>5603</v>
      </c>
      <c r="S24" s="17"/>
      <c r="T24" s="17"/>
      <c r="U24" s="17"/>
      <c r="V24" s="17"/>
    </row>
    <row r="25">
      <c r="A25" s="324" t="s">
        <v>5604</v>
      </c>
      <c r="B25" s="117" t="s">
        <v>5605</v>
      </c>
      <c r="C25" s="324" t="s">
        <v>5606</v>
      </c>
      <c r="D25" s="117" t="s">
        <v>5607</v>
      </c>
      <c r="E25" s="324" t="s">
        <v>5608</v>
      </c>
      <c r="F25" s="117" t="s">
        <v>5609</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5610</v>
      </c>
      <c r="L25" s="117" t="s">
        <v>5611</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5612</v>
      </c>
      <c r="P25" s="117" t="s">
        <v>5613</v>
      </c>
      <c r="Q25" s="331" t="s">
        <v>5608</v>
      </c>
      <c r="R25" s="123" t="s">
        <v>5614</v>
      </c>
      <c r="S25" s="17"/>
      <c r="T25" s="17"/>
      <c r="U25" s="17"/>
      <c r="V25" s="17"/>
    </row>
    <row r="26">
      <c r="A26" s="324" t="s">
        <v>5615</v>
      </c>
      <c r="B26" s="117" t="s">
        <v>5616</v>
      </c>
      <c r="C26" s="324" t="s">
        <v>5617</v>
      </c>
      <c r="D26" s="117" t="s">
        <v>5618</v>
      </c>
      <c r="E26" s="324" t="s">
        <v>5619</v>
      </c>
      <c r="F26" s="117" t="s">
        <v>5620</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5621</v>
      </c>
      <c r="M26" s="326" t="str">
        <f>IFERROR(__xludf.DUMMYFUNCTION("GOOGLETRANSLATE(A26,""zh-tw"",""ru"")"),"мир")</f>
        <v>мир</v>
      </c>
      <c r="N26" s="121" t="str">
        <f>IFERROR(__xludf.DUMMYFUNCTION("GOOGLETRANSLATE(B26,""zh-tw"",""ru"")"),"Remake Venue")</f>
        <v>Remake Venue</v>
      </c>
      <c r="O26" s="324" t="s">
        <v>5622</v>
      </c>
      <c r="P26" s="117" t="s">
        <v>5623</v>
      </c>
      <c r="Q26" s="331" t="s">
        <v>5619</v>
      </c>
      <c r="R26" s="123" t="s">
        <v>5624</v>
      </c>
      <c r="S26" s="17"/>
      <c r="T26" s="17"/>
      <c r="U26" s="17"/>
      <c r="V26" s="17"/>
    </row>
    <row r="27">
      <c r="A27" s="324" t="s">
        <v>5625</v>
      </c>
      <c r="B27" s="117" t="s">
        <v>5626</v>
      </c>
      <c r="C27" s="337" t="s">
        <v>5627</v>
      </c>
      <c r="D27" s="338" t="str">
        <f>IFERROR(__xludf.DUMMYFUNCTION("GOOGLETRANSLATE(B27,""zh-tw"",""ja"")"),"一定期間内に1回復活できる")</f>
        <v>一定期間内に1回復活できる</v>
      </c>
      <c r="E27" s="324" t="s">
        <v>5628</v>
      </c>
      <c r="F27" s="117" t="s">
        <v>5629</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5630</v>
      </c>
      <c r="L27" s="117" t="s">
        <v>5631</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5632</v>
      </c>
      <c r="P27" s="117" t="s">
        <v>5633</v>
      </c>
      <c r="Q27" s="331" t="s">
        <v>5628</v>
      </c>
      <c r="R27" s="123" t="s">
        <v>5634</v>
      </c>
      <c r="S27" s="17"/>
      <c r="T27" s="17"/>
      <c r="U27" s="17"/>
      <c r="V27" s="17"/>
    </row>
    <row r="28">
      <c r="A28" s="330" t="s">
        <v>5635</v>
      </c>
      <c r="B28" s="117" t="s">
        <v>5636</v>
      </c>
      <c r="C28" s="330" t="s">
        <v>5637</v>
      </c>
      <c r="D28" s="117" t="s">
        <v>5638</v>
      </c>
      <c r="E28" s="330" t="s">
        <v>5639</v>
      </c>
      <c r="F28" s="105" t="s">
        <v>5640</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5641</v>
      </c>
      <c r="P28" s="117" t="s">
        <v>5642</v>
      </c>
      <c r="Q28" s="331" t="s">
        <v>5639</v>
      </c>
      <c r="R28" s="123" t="s">
        <v>5643</v>
      </c>
      <c r="S28" s="17"/>
      <c r="T28" s="17"/>
      <c r="U28" s="17"/>
      <c r="V28" s="17"/>
    </row>
    <row r="29">
      <c r="A29" s="324" t="s">
        <v>5644</v>
      </c>
      <c r="B29" s="117" t="s">
        <v>5645</v>
      </c>
      <c r="C29" s="324" t="str">
        <f>IFERROR(__xludf.DUMMYFUNCTION("GOOGLETRANSLATE(A29,""zh-tw"",""ja"")"),"ジャック・ボム")</f>
        <v>ジャック・ボム</v>
      </c>
      <c r="D29" s="117" t="s">
        <v>5646</v>
      </c>
      <c r="E29" s="324" t="s">
        <v>5647</v>
      </c>
      <c r="F29" s="117" t="s">
        <v>5648</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5649</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5650</v>
      </c>
      <c r="P29" s="117" t="s">
        <v>5651</v>
      </c>
      <c r="Q29" s="331" t="s">
        <v>5647</v>
      </c>
      <c r="R29" s="123" t="s">
        <v>5652</v>
      </c>
      <c r="S29" s="17"/>
      <c r="T29" s="17"/>
      <c r="U29" s="17"/>
      <c r="V29" s="17"/>
    </row>
    <row r="30">
      <c r="A30" s="324" t="s">
        <v>5653</v>
      </c>
      <c r="B30" s="117" t="s">
        <v>5654</v>
      </c>
      <c r="C30" s="324" t="s">
        <v>5655</v>
      </c>
      <c r="D30" s="117" t="s">
        <v>5656</v>
      </c>
      <c r="E30" s="324" t="s">
        <v>5657</v>
      </c>
      <c r="F30" s="117" t="s">
        <v>5658</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5659</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5660</v>
      </c>
      <c r="P30" s="117" t="s">
        <v>5661</v>
      </c>
      <c r="Q30" s="331" t="s">
        <v>5657</v>
      </c>
      <c r="R30" s="123" t="s">
        <v>5662</v>
      </c>
      <c r="S30" s="17"/>
      <c r="T30" s="17"/>
      <c r="U30" s="17"/>
      <c r="V30" s="17"/>
    </row>
    <row r="31">
      <c r="A31" s="324" t="s">
        <v>5663</v>
      </c>
      <c r="B31" s="117" t="s">
        <v>5664</v>
      </c>
      <c r="C31" s="324" t="s">
        <v>5665</v>
      </c>
      <c r="D31" s="117" t="s">
        <v>5666</v>
      </c>
      <c r="E31" s="324" t="s">
        <v>5667</v>
      </c>
      <c r="F31" s="117" t="s">
        <v>5668</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5669</v>
      </c>
      <c r="L31" s="117" t="s">
        <v>5670</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5671</v>
      </c>
      <c r="P31" s="117" t="s">
        <v>5672</v>
      </c>
      <c r="Q31" s="331" t="s">
        <v>5667</v>
      </c>
      <c r="R31" s="123" t="s">
        <v>5673</v>
      </c>
      <c r="S31" s="17"/>
      <c r="T31" s="17"/>
      <c r="U31" s="17"/>
      <c r="V31" s="17"/>
    </row>
    <row r="32">
      <c r="A32" s="324" t="s">
        <v>5674</v>
      </c>
      <c r="B32" s="117" t="s">
        <v>5675</v>
      </c>
      <c r="C32" s="324" t="str">
        <f>IFERROR(__xludf.DUMMYFUNCTION("GOOGLETRANSLATE(A32,""zh-tw"",""ja"")"),"密封された時計")</f>
        <v>密封された時計</v>
      </c>
      <c r="D32" s="117" t="s">
        <v>5676</v>
      </c>
      <c r="E32" s="324" t="s">
        <v>5677</v>
      </c>
      <c r="F32" s="117" t="s">
        <v>5678</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5679</v>
      </c>
      <c r="L32" s="117" t="s">
        <v>5680</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5681</v>
      </c>
      <c r="P32" s="117" t="s">
        <v>5682</v>
      </c>
      <c r="Q32" s="331" t="s">
        <v>5683</v>
      </c>
      <c r="R32" s="123" t="s">
        <v>5684</v>
      </c>
      <c r="S32" s="17"/>
      <c r="T32" s="17"/>
      <c r="U32" s="17"/>
      <c r="V32" s="17"/>
    </row>
    <row r="33">
      <c r="A33" s="324" t="s">
        <v>5685</v>
      </c>
      <c r="B33" s="117" t="s">
        <v>5686</v>
      </c>
      <c r="C33" s="324" t="str">
        <f>IFERROR(__xludf.DUMMYFUNCTION("GOOGLETRANSLATE(A33,""zh-tw"",""ja"")"),"寿司プリン")</f>
        <v>寿司プリン</v>
      </c>
      <c r="D33" s="117" t="s">
        <v>5687</v>
      </c>
      <c r="E33" s="324" t="s">
        <v>5688</v>
      </c>
      <c r="F33" s="117" t="s">
        <v>5689</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5688</v>
      </c>
      <c r="P33" s="117" t="s">
        <v>5690</v>
      </c>
      <c r="Q33" s="331" t="s">
        <v>5688</v>
      </c>
      <c r="R33" s="123" t="s">
        <v>5691</v>
      </c>
      <c r="S33" s="17"/>
      <c r="T33" s="17"/>
      <c r="U33" s="17"/>
      <c r="V33" s="17"/>
    </row>
    <row r="34">
      <c r="A34" s="324" t="s">
        <v>5692</v>
      </c>
      <c r="B34" s="117" t="s">
        <v>5693</v>
      </c>
      <c r="C34" s="324" t="str">
        <f>IFERROR(__xludf.DUMMYFUNCTION("GOOGLETRANSLATE(A34,""zh-tw"",""ja"")"),"ポラロイド 1～35")</f>
        <v>ポラロイド 1～35</v>
      </c>
      <c r="D34" s="117" t="s">
        <v>5694</v>
      </c>
      <c r="E34" s="324" t="s">
        <v>5695</v>
      </c>
      <c r="F34" s="117" t="s">
        <v>5696</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5697</v>
      </c>
      <c r="P34" s="117" t="s">
        <v>5698</v>
      </c>
      <c r="Q34" s="331" t="s">
        <v>5695</v>
      </c>
      <c r="R34" s="123" t="s">
        <v>5699</v>
      </c>
      <c r="S34" s="17"/>
      <c r="T34" s="17"/>
      <c r="U34" s="17"/>
      <c r="V34" s="17"/>
    </row>
    <row r="35">
      <c r="A35" s="324" t="s">
        <v>5700</v>
      </c>
      <c r="B35" s="117" t="s">
        <v>5701</v>
      </c>
      <c r="C35" s="324" t="s">
        <v>5702</v>
      </c>
      <c r="D35" s="117" t="s">
        <v>5703</v>
      </c>
      <c r="E35" s="324" t="s">
        <v>5704</v>
      </c>
      <c r="F35" s="117" t="s">
        <v>5705</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5706</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5707</v>
      </c>
      <c r="P35" s="117" t="s">
        <v>5708</v>
      </c>
      <c r="Q35" s="331" t="s">
        <v>5709</v>
      </c>
      <c r="R35" s="123" t="s">
        <v>5710</v>
      </c>
      <c r="S35" s="17"/>
      <c r="T35" s="17"/>
      <c r="U35" s="17"/>
      <c r="V35" s="17"/>
    </row>
    <row r="36">
      <c r="A36" s="324" t="s">
        <v>5711</v>
      </c>
      <c r="B36" s="117" t="s">
        <v>5712</v>
      </c>
      <c r="C36" s="324" t="s">
        <v>5713</v>
      </c>
      <c r="D36" s="117" t="s">
        <v>5714</v>
      </c>
      <c r="E36" s="324" t="s">
        <v>5715</v>
      </c>
      <c r="F36" s="117" t="s">
        <v>5716</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5717</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5718</v>
      </c>
      <c r="P36" s="117" t="s">
        <v>5719</v>
      </c>
      <c r="Q36" s="331" t="s">
        <v>5720</v>
      </c>
      <c r="R36" s="123" t="s">
        <v>5721</v>
      </c>
      <c r="S36" s="17"/>
      <c r="T36" s="17"/>
      <c r="U36" s="17"/>
      <c r="V36" s="17"/>
    </row>
    <row r="37">
      <c r="A37" s="324" t="s">
        <v>5722</v>
      </c>
      <c r="B37" s="117" t="s">
        <v>5712</v>
      </c>
      <c r="C37" s="324" t="s">
        <v>5723</v>
      </c>
      <c r="D37" s="117" t="s">
        <v>5724</v>
      </c>
      <c r="E37" s="324" t="s">
        <v>5725</v>
      </c>
      <c r="F37" s="117" t="s">
        <v>5716</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5706</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5707</v>
      </c>
      <c r="P37" s="117" t="s">
        <v>5708</v>
      </c>
      <c r="Q37" s="331" t="s">
        <v>5726</v>
      </c>
      <c r="R37" s="123" t="s">
        <v>5721</v>
      </c>
      <c r="S37" s="17"/>
      <c r="T37" s="17"/>
      <c r="U37" s="17"/>
      <c r="V37" s="17"/>
    </row>
    <row r="38">
      <c r="A38" s="324" t="s">
        <v>5727</v>
      </c>
      <c r="B38" s="117" t="s">
        <v>5728</v>
      </c>
      <c r="C38" s="324" t="s">
        <v>5729</v>
      </c>
      <c r="D38" s="117" t="s">
        <v>5730</v>
      </c>
      <c r="E38" s="324" t="s">
        <v>5731</v>
      </c>
      <c r="F38" s="117" t="s">
        <v>5732</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5717</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5718</v>
      </c>
      <c r="P38" s="117" t="s">
        <v>5719</v>
      </c>
      <c r="Q38" s="331" t="s">
        <v>5733</v>
      </c>
      <c r="R38" s="123" t="s">
        <v>5734</v>
      </c>
      <c r="S38" s="17"/>
      <c r="T38" s="17"/>
      <c r="U38" s="17"/>
      <c r="V38" s="17"/>
    </row>
    <row r="39">
      <c r="A39" s="330" t="s">
        <v>5735</v>
      </c>
      <c r="B39" s="121" t="s">
        <v>5736</v>
      </c>
      <c r="C39" s="326" t="s">
        <v>5737</v>
      </c>
      <c r="D39" s="121" t="s">
        <v>5738</v>
      </c>
      <c r="E39" s="326" t="s">
        <v>5739</v>
      </c>
      <c r="F39" s="121" t="s">
        <v>5740</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5741</v>
      </c>
      <c r="P39" s="117" t="s">
        <v>5742</v>
      </c>
      <c r="Q39" s="331" t="s">
        <v>5743</v>
      </c>
      <c r="R39" s="120" t="s">
        <v>5744</v>
      </c>
      <c r="S39" s="17"/>
      <c r="T39" s="17"/>
      <c r="U39" s="17"/>
      <c r="V39" s="17"/>
    </row>
    <row r="40">
      <c r="A40" s="324" t="s">
        <v>5745</v>
      </c>
      <c r="B40" s="117" t="s">
        <v>5746</v>
      </c>
      <c r="C40" s="324" t="s">
        <v>5747</v>
      </c>
      <c r="D40" s="117" t="s">
        <v>5748</v>
      </c>
      <c r="E40" s="324" t="s">
        <v>5749</v>
      </c>
      <c r="F40" s="117" t="s">
        <v>5750</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5751</v>
      </c>
      <c r="P40" s="117" t="s">
        <v>5752</v>
      </c>
      <c r="Q40" s="331" t="s">
        <v>5753</v>
      </c>
      <c r="R40" s="123" t="s">
        <v>5754</v>
      </c>
      <c r="S40" s="17"/>
      <c r="T40" s="17"/>
      <c r="U40" s="17"/>
      <c r="V40" s="17"/>
    </row>
    <row r="41">
      <c r="A41" s="330" t="s">
        <v>5755</v>
      </c>
      <c r="B41" s="121" t="s">
        <v>5756</v>
      </c>
      <c r="C41" s="326" t="s">
        <v>5757</v>
      </c>
      <c r="D41" s="121" t="s">
        <v>5758</v>
      </c>
      <c r="E41" s="326" t="s">
        <v>5759</v>
      </c>
      <c r="F41" s="121" t="s">
        <v>5760</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5759</v>
      </c>
      <c r="P41" s="121" t="s">
        <v>5760</v>
      </c>
      <c r="Q41" s="331" t="s">
        <v>5759</v>
      </c>
      <c r="R41" s="176" t="s">
        <v>5761</v>
      </c>
      <c r="S41" s="17"/>
      <c r="T41" s="17"/>
      <c r="U41" s="17"/>
      <c r="V41" s="17"/>
    </row>
    <row r="42">
      <c r="A42" s="324" t="s">
        <v>5762</v>
      </c>
      <c r="B42" s="117" t="s">
        <v>5763</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5764</v>
      </c>
      <c r="F42" s="117" t="s">
        <v>5765</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hay forma de canjearlos.
(Gemas)")</f>
        <v>Actualmente no hay forma de canjearlos.
(Gemas)</v>
      </c>
      <c r="K42" s="326" t="str">
        <f>IFERROR(__xludf.DUMMYFUNCTION("GOOGLETRANSLATE(A42,""zh-tw"",""KO"")"),"푸른 휘석")</f>
        <v>푸른 휘석</v>
      </c>
      <c r="L42" s="117" t="s">
        <v>5717</v>
      </c>
      <c r="M42" s="326"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5" t="s">
        <v>5766</v>
      </c>
      <c r="P42" s="309" t="s">
        <v>5767</v>
      </c>
      <c r="Q42" s="345" t="s">
        <v>5768</v>
      </c>
      <c r="R42" s="123" t="s">
        <v>5769</v>
      </c>
      <c r="S42" s="17"/>
      <c r="T42" s="17"/>
      <c r="U42" s="17"/>
      <c r="V42" s="17"/>
    </row>
    <row r="43">
      <c r="A43" s="324" t="s">
        <v>5770</v>
      </c>
      <c r="B43" s="117" t="s">
        <v>5763</v>
      </c>
      <c r="C43" s="324" t="s">
        <v>5771</v>
      </c>
      <c r="D43" s="117" t="s">
        <v>5772</v>
      </c>
      <c r="E43" s="324" t="s">
        <v>5773</v>
      </c>
      <c r="F43" s="117" t="s">
        <v>2304</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hay forma de canjearlos.
(Gemas)")</f>
        <v>Actualmente no hay forma de canjearlos.
(Gemas)</v>
      </c>
      <c r="K43" s="326" t="str">
        <f>IFERROR(__xludf.DUMMYFUNCTION("GOOGLETRANSLATE(A43,""zh-tw"",""KO"")"),"파이어스톤")</f>
        <v>파이어스톤</v>
      </c>
      <c r="L43" s="117" t="s">
        <v>5717</v>
      </c>
      <c r="M43" s="326"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4" t="s">
        <v>5774</v>
      </c>
      <c r="P43" s="117" t="s">
        <v>5775</v>
      </c>
      <c r="Q43" s="345" t="s">
        <v>5776</v>
      </c>
      <c r="R43" s="123" t="s">
        <v>3042</v>
      </c>
      <c r="S43" s="17"/>
      <c r="T43" s="17"/>
      <c r="U43" s="17"/>
      <c r="V43" s="17"/>
    </row>
    <row r="44">
      <c r="A44" s="330" t="s">
        <v>5777</v>
      </c>
      <c r="B44" s="121" t="s">
        <v>5778</v>
      </c>
      <c r="C44" s="324" t="s">
        <v>5779</v>
      </c>
      <c r="D44" s="117" t="s">
        <v>5780</v>
      </c>
      <c r="E44" s="324" t="s">
        <v>5781</v>
      </c>
      <c r="F44" s="117" t="s">
        <v>5782</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5717</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5783</v>
      </c>
      <c r="P44" s="117" t="s">
        <v>5784</v>
      </c>
      <c r="Q44" s="345" t="s">
        <v>5785</v>
      </c>
      <c r="R44" s="120" t="s">
        <v>5786</v>
      </c>
      <c r="S44" s="17"/>
      <c r="T44" s="17"/>
      <c r="U44" s="17"/>
      <c r="V44" s="17"/>
    </row>
    <row r="45">
      <c r="A45" s="324" t="s">
        <v>5787</v>
      </c>
      <c r="B45" s="117" t="s">
        <v>5788</v>
      </c>
      <c r="C45" s="324" t="s">
        <v>5789</v>
      </c>
      <c r="D45" s="117" t="s">
        <v>5790</v>
      </c>
      <c r="E45" s="324" t="s">
        <v>5791</v>
      </c>
      <c r="F45" s="117" t="s">
        <v>5792</v>
      </c>
      <c r="G45" s="326"/>
      <c r="H45" s="121"/>
      <c r="I45" s="357"/>
      <c r="J45" s="141"/>
      <c r="K45" s="357"/>
      <c r="L45" s="141"/>
      <c r="M45" s="326"/>
      <c r="N45" s="121"/>
      <c r="O45" s="324" t="s">
        <v>5791</v>
      </c>
      <c r="P45" s="120" t="s">
        <v>5793</v>
      </c>
      <c r="Q45" s="337" t="s">
        <v>5791</v>
      </c>
      <c r="R45" s="120" t="s">
        <v>5794</v>
      </c>
      <c r="S45" s="17"/>
      <c r="T45" s="17"/>
      <c r="U45" s="17"/>
      <c r="V45" s="17"/>
    </row>
    <row r="46">
      <c r="A46" s="324" t="s">
        <v>5795</v>
      </c>
      <c r="B46" s="117" t="s">
        <v>5796</v>
      </c>
      <c r="C46" s="324" t="s">
        <v>5797</v>
      </c>
      <c r="D46" s="117" t="s">
        <v>5798</v>
      </c>
      <c r="E46" s="324" t="s">
        <v>5799</v>
      </c>
      <c r="F46" s="117" t="s">
        <v>5800</v>
      </c>
      <c r="G46" s="326"/>
      <c r="H46" s="121"/>
      <c r="I46" s="357"/>
      <c r="J46" s="141"/>
      <c r="K46" s="357"/>
      <c r="L46" s="141"/>
      <c r="M46" s="326"/>
      <c r="N46" s="121"/>
      <c r="O46" s="324" t="s">
        <v>5801</v>
      </c>
      <c r="P46" s="120" t="s">
        <v>5802</v>
      </c>
      <c r="Q46" s="337" t="s">
        <v>5803</v>
      </c>
      <c r="R46" s="120" t="s">
        <v>5804</v>
      </c>
      <c r="S46" s="17"/>
      <c r="T46" s="17"/>
      <c r="U46" s="17"/>
      <c r="V46" s="17"/>
    </row>
    <row r="47">
      <c r="A47" s="324" t="s">
        <v>5805</v>
      </c>
      <c r="B47" s="117" t="s">
        <v>5806</v>
      </c>
      <c r="C47" s="324" t="s">
        <v>5807</v>
      </c>
      <c r="D47" s="117" t="s">
        <v>5808</v>
      </c>
      <c r="E47" s="324" t="s">
        <v>5809</v>
      </c>
      <c r="F47" s="117" t="s">
        <v>5810</v>
      </c>
      <c r="G47" s="326"/>
      <c r="H47" s="121"/>
      <c r="I47" s="357"/>
      <c r="J47" s="141"/>
      <c r="K47" s="357"/>
      <c r="L47" s="141"/>
      <c r="M47" s="326"/>
      <c r="N47" s="121"/>
      <c r="O47" s="324" t="s">
        <v>5811</v>
      </c>
      <c r="P47" s="120" t="s">
        <v>5812</v>
      </c>
      <c r="Q47" s="337" t="s">
        <v>5813</v>
      </c>
      <c r="R47" s="120" t="s">
        <v>5814</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59" t="s">
        <v>236</v>
      </c>
      <c r="C1" s="360" t="s">
        <v>5816</v>
      </c>
      <c r="F1" s="119" t="s">
        <v>5817</v>
      </c>
      <c r="G1" s="359" t="s">
        <v>236</v>
      </c>
      <c r="H1" s="361" t="s">
        <v>5818</v>
      </c>
      <c r="K1" s="119" t="s">
        <v>5819</v>
      </c>
      <c r="L1" s="359" t="s">
        <v>236</v>
      </c>
      <c r="M1" s="361" t="s">
        <v>5820</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f>
        <v>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и"&amp;"нгредиентов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5821</v>
      </c>
      <c r="AK1" s="359" t="s">
        <v>236</v>
      </c>
      <c r="AL1" s="360" t="s">
        <v>5822</v>
      </c>
      <c r="AO1" s="363" t="s">
        <v>5823</v>
      </c>
      <c r="AP1" s="364" t="s">
        <v>236</v>
      </c>
      <c r="AQ1" s="141" t="s">
        <v>5824</v>
      </c>
    </row>
    <row r="2" ht="75.0" customHeight="1">
      <c r="A2" s="119" t="s">
        <v>5825</v>
      </c>
      <c r="B2" s="359" t="s">
        <v>757</v>
      </c>
      <c r="F2" s="119" t="s">
        <v>5826</v>
      </c>
      <c r="G2" s="359" t="s">
        <v>757</v>
      </c>
      <c r="K2" s="119" t="s">
        <v>5827</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(posibilidad de desencadenar)")</f>
        <v>Mi hermana es tan picante que llora (posibilidad de desencadenar)</v>
      </c>
      <c r="V2" s="359" t="s">
        <v>757</v>
      </c>
      <c r="Z2" s="119" t="str">
        <f>IFERROR(__xludf.DUMMYFUNCTION("GOOGLETRANSLATE(A2,""zh-tw"",""KO"")"),"내 여동생은 너무 매워서 울어요(발동 확률)")</f>
        <v>내 여동생은 너무 매워서 울어요(발동 확률)</v>
      </c>
      <c r="AA2" s="359"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59" t="s">
        <v>757</v>
      </c>
      <c r="AJ2" s="111" t="s">
        <v>5828</v>
      </c>
      <c r="AK2" s="359" t="s">
        <v>757</v>
      </c>
      <c r="AO2" s="175" t="s">
        <v>5829</v>
      </c>
      <c r="AP2" s="365" t="s">
        <v>757</v>
      </c>
    </row>
    <row r="3">
      <c r="A3" s="366" t="s">
        <v>5830</v>
      </c>
      <c r="B3" s="367" t="s">
        <v>5376</v>
      </c>
      <c r="F3" s="366" t="str">
        <f>IFERROR(__xludf.DUMMYFUNCTION("GOOGLETRANSLATE(A3,""zh-tw"",""ja"")"),"料理名")</f>
        <v>料理名</v>
      </c>
      <c r="G3" s="367" t="str">
        <f>IFERROR(__xludf.DUMMYFUNCTION("GOOGLETRANSLATE(B3,""zh-tw"",""ja"")"),"効果")</f>
        <v>効果</v>
      </c>
      <c r="K3" s="366" t="s">
        <v>5831</v>
      </c>
      <c r="L3" s="367" t="s">
        <v>5832</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5833</v>
      </c>
      <c r="AK3" s="368" t="s">
        <v>5834</v>
      </c>
      <c r="AO3" s="370" t="s">
        <v>5835</v>
      </c>
      <c r="AP3" s="371" t="s">
        <v>4232</v>
      </c>
    </row>
    <row r="4">
      <c r="A4" s="372" t="s">
        <v>5836</v>
      </c>
      <c r="B4" s="373"/>
      <c r="C4" s="114" t="s">
        <v>5837</v>
      </c>
      <c r="D4" s="127"/>
      <c r="E4" s="127"/>
      <c r="F4" s="372" t="s">
        <v>5838</v>
      </c>
      <c r="G4" s="373"/>
      <c r="H4" s="114" t="s">
        <v>5839</v>
      </c>
      <c r="I4" s="127"/>
      <c r="J4" s="127"/>
      <c r="K4" s="374" t="s">
        <v>5840</v>
      </c>
      <c r="L4" s="373"/>
      <c r="M4" s="117" t="s">
        <v>5841</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5842</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5843</v>
      </c>
      <c r="AK4" s="368"/>
      <c r="AL4" s="117" t="s">
        <v>5844</v>
      </c>
      <c r="AM4" s="121"/>
      <c r="AN4" s="121"/>
      <c r="AO4" s="139" t="s">
        <v>5845</v>
      </c>
      <c r="AP4" s="182"/>
      <c r="AQ4" s="176" t="s">
        <v>5846</v>
      </c>
      <c r="AR4" s="141"/>
      <c r="AS4" s="141"/>
    </row>
    <row r="5">
      <c r="A5" s="372" t="s">
        <v>5847</v>
      </c>
      <c r="B5" s="373"/>
      <c r="C5" s="114" t="s">
        <v>5848</v>
      </c>
      <c r="D5" s="114" t="s">
        <v>5849</v>
      </c>
      <c r="E5" s="127"/>
      <c r="F5" s="372" t="s">
        <v>5850</v>
      </c>
      <c r="G5" s="373"/>
      <c r="H5" s="114" t="s">
        <v>5851</v>
      </c>
      <c r="I5" s="114" t="s">
        <v>5852</v>
      </c>
      <c r="J5" s="127"/>
      <c r="K5" s="376" t="s">
        <v>5853</v>
      </c>
      <c r="L5" s="373"/>
      <c r="M5" s="117" t="s">
        <v>5854</v>
      </c>
      <c r="N5" s="117" t="s">
        <v>5855</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5856</v>
      </c>
      <c r="AD5" s="121"/>
      <c r="AE5" s="372" t="str">
        <f>IFERROR(__xludf.DUMMYFUNCTION("GOOGLETRANSLATE(A5,""zh-tw"",""ru"")"),"Карри с рисом")</f>
        <v>Карри с рисом</v>
      </c>
      <c r="AF5" s="367"/>
      <c r="AG5" s="114" t="str">
        <f>IFERROR(__xludf.DUMMYFUNCTION("GOOGLETRANSLATE(C5,""zh-tw"",""ru"")"),"Белый рис")</f>
        <v>Белый рис</v>
      </c>
      <c r="AH5" s="114" t="str">
        <f>IFERROR(__xludf.DUMMYFUNCTION("GOOGLETRANSLATE(D5,""zh-tw"",""ru"")"),"Кубики карри")</f>
        <v>Кубики карри</v>
      </c>
      <c r="AI5" s="114"/>
      <c r="AJ5" s="101" t="s">
        <v>5857</v>
      </c>
      <c r="AK5" s="368"/>
      <c r="AL5" s="117" t="s">
        <v>5858</v>
      </c>
      <c r="AM5" s="117" t="s">
        <v>5859</v>
      </c>
      <c r="AN5" s="121"/>
      <c r="AO5" s="139" t="s">
        <v>5860</v>
      </c>
      <c r="AP5" s="182"/>
      <c r="AQ5" s="176" t="s">
        <v>5861</v>
      </c>
      <c r="AR5" s="176" t="s">
        <v>5862</v>
      </c>
      <c r="AS5" s="141"/>
    </row>
    <row r="6">
      <c r="A6" s="372" t="s">
        <v>5863</v>
      </c>
      <c r="B6" s="373"/>
      <c r="C6" s="114" t="s">
        <v>5864</v>
      </c>
      <c r="D6" s="114" t="s">
        <v>5865</v>
      </c>
      <c r="E6" s="127"/>
      <c r="F6" s="372" t="s">
        <v>5866</v>
      </c>
      <c r="G6" s="373"/>
      <c r="H6" s="114" t="s">
        <v>5867</v>
      </c>
      <c r="I6" s="114" t="s">
        <v>5868</v>
      </c>
      <c r="J6" s="127"/>
      <c r="K6" s="374" t="s">
        <v>5869</v>
      </c>
      <c r="L6" s="373"/>
      <c r="M6" s="117" t="s">
        <v>5870</v>
      </c>
      <c r="N6" s="117" t="s">
        <v>5871</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5872</v>
      </c>
      <c r="AK6" s="368"/>
      <c r="AL6" s="117" t="s">
        <v>5873</v>
      </c>
      <c r="AM6" s="117" t="s">
        <v>5874</v>
      </c>
      <c r="AN6" s="121"/>
      <c r="AO6" s="139" t="s">
        <v>5875</v>
      </c>
      <c r="AP6" s="182"/>
      <c r="AQ6" s="176" t="s">
        <v>5876</v>
      </c>
      <c r="AR6" s="176" t="s">
        <v>5877</v>
      </c>
      <c r="AS6" s="141"/>
    </row>
    <row r="7">
      <c r="A7" s="372" t="s">
        <v>5878</v>
      </c>
      <c r="B7" s="373"/>
      <c r="C7" s="114" t="s">
        <v>5864</v>
      </c>
      <c r="D7" s="127"/>
      <c r="E7" s="127"/>
      <c r="F7" s="372" t="s">
        <v>5879</v>
      </c>
      <c r="G7" s="373"/>
      <c r="H7" s="114" t="s">
        <v>5867</v>
      </c>
      <c r="I7" s="127"/>
      <c r="J7" s="127"/>
      <c r="K7" s="374" t="s">
        <v>5880</v>
      </c>
      <c r="L7" s="373"/>
      <c r="M7" s="117" t="s">
        <v>5870</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5881</v>
      </c>
      <c r="AK7" s="368"/>
      <c r="AL7" s="117" t="s">
        <v>5873</v>
      </c>
      <c r="AM7" s="121"/>
      <c r="AN7" s="121"/>
      <c r="AO7" s="139" t="s">
        <v>5882</v>
      </c>
      <c r="AP7" s="182"/>
      <c r="AQ7" s="176" t="s">
        <v>5876</v>
      </c>
      <c r="AR7" s="141"/>
      <c r="AS7" s="141"/>
    </row>
    <row r="8">
      <c r="A8" s="372" t="s">
        <v>5883</v>
      </c>
      <c r="B8" s="373"/>
      <c r="C8" s="114" t="s">
        <v>5884</v>
      </c>
      <c r="F8" s="372" t="s">
        <v>5885</v>
      </c>
      <c r="G8" s="373"/>
      <c r="H8" s="114" t="s">
        <v>593</v>
      </c>
      <c r="I8" s="127"/>
      <c r="J8" s="127"/>
      <c r="K8" s="374" t="s">
        <v>5886</v>
      </c>
      <c r="L8" s="373"/>
      <c r="M8" s="117" t="s">
        <v>5887</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5888</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8"/>
      <c r="AL8" s="117" t="s">
        <v>5890</v>
      </c>
      <c r="AO8" s="139" t="s">
        <v>5891</v>
      </c>
      <c r="AP8" s="182"/>
      <c r="AQ8" s="176" t="s">
        <v>5892</v>
      </c>
      <c r="AR8" s="141"/>
      <c r="AS8" s="141"/>
    </row>
    <row r="9">
      <c r="A9" s="372" t="s">
        <v>5893</v>
      </c>
      <c r="B9" s="373"/>
      <c r="C9" s="114" t="s">
        <v>5894</v>
      </c>
      <c r="D9" s="127"/>
      <c r="E9" s="127"/>
      <c r="F9" s="372" t="s">
        <v>5895</v>
      </c>
      <c r="G9" s="373"/>
      <c r="H9" s="114" t="s">
        <v>5894</v>
      </c>
      <c r="I9" s="127"/>
      <c r="J9" s="127"/>
      <c r="K9" s="374" t="s">
        <v>5896</v>
      </c>
      <c r="L9" s="373"/>
      <c r="M9" s="117" t="s">
        <v>5897</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5898</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5899</v>
      </c>
      <c r="AK9" s="368"/>
      <c r="AL9" s="117" t="s">
        <v>5900</v>
      </c>
      <c r="AM9" s="121"/>
      <c r="AN9" s="121"/>
      <c r="AO9" s="139" t="s">
        <v>5901</v>
      </c>
      <c r="AP9" s="182"/>
      <c r="AQ9" s="176" t="s">
        <v>5902</v>
      </c>
      <c r="AR9" s="141"/>
      <c r="AS9" s="141"/>
    </row>
    <row r="10">
      <c r="A10" s="372" t="s">
        <v>5903</v>
      </c>
      <c r="B10" s="373"/>
      <c r="C10" s="114" t="s">
        <v>3872</v>
      </c>
      <c r="D10" s="114" t="s">
        <v>3872</v>
      </c>
      <c r="E10" s="114" t="s">
        <v>3872</v>
      </c>
      <c r="F10" s="372" t="s">
        <v>5904</v>
      </c>
      <c r="G10" s="373"/>
      <c r="H10" s="114" t="s">
        <v>5905</v>
      </c>
      <c r="I10" s="114" t="s">
        <v>5905</v>
      </c>
      <c r="J10" s="114" t="s">
        <v>5905</v>
      </c>
      <c r="K10" s="374" t="s">
        <v>5906</v>
      </c>
      <c r="L10" s="373"/>
      <c r="M10" s="117" t="s">
        <v>3877</v>
      </c>
      <c r="N10" s="117" t="s">
        <v>3877</v>
      </c>
      <c r="O10" s="117" t="s">
        <v>3877</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8"/>
      <c r="AL10" s="117" t="s">
        <v>5909</v>
      </c>
      <c r="AM10" s="117" t="s">
        <v>5909</v>
      </c>
      <c r="AN10" s="117" t="s">
        <v>5909</v>
      </c>
      <c r="AO10" s="139" t="s">
        <v>5910</v>
      </c>
      <c r="AP10" s="182"/>
      <c r="AQ10" s="176" t="s">
        <v>3885</v>
      </c>
      <c r="AR10" s="176" t="s">
        <v>3885</v>
      </c>
      <c r="AS10" s="176" t="s">
        <v>3885</v>
      </c>
    </row>
    <row r="11">
      <c r="A11" s="377" t="s">
        <v>5911</v>
      </c>
      <c r="B11" s="373"/>
      <c r="C11" s="114" t="s">
        <v>5912</v>
      </c>
      <c r="D11" s="114" t="s">
        <v>4049</v>
      </c>
      <c r="E11" s="127"/>
      <c r="F11" s="372" t="s">
        <v>5913</v>
      </c>
      <c r="G11" s="373"/>
      <c r="H11" s="114" t="s">
        <v>5914</v>
      </c>
      <c r="I11" s="114" t="s">
        <v>5915</v>
      </c>
      <c r="J11" s="127"/>
      <c r="K11" s="374" t="s">
        <v>5916</v>
      </c>
      <c r="L11" s="373"/>
      <c r="M11" s="117" t="s">
        <v>5917</v>
      </c>
      <c r="N11" s="117" t="s">
        <v>4051</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5918</v>
      </c>
      <c r="AA11" s="368"/>
      <c r="AB11" s="117" t="s">
        <v>5919</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8"/>
      <c r="AL11" s="117" t="s">
        <v>5921</v>
      </c>
      <c r="AM11" s="117" t="s">
        <v>4054</v>
      </c>
      <c r="AN11" s="121"/>
      <c r="AO11" s="94" t="s">
        <v>5916</v>
      </c>
      <c r="AP11" s="182"/>
      <c r="AQ11" s="176" t="s">
        <v>5922</v>
      </c>
      <c r="AR11" s="176" t="s">
        <v>4056</v>
      </c>
      <c r="AS11" s="141"/>
    </row>
    <row r="12">
      <c r="A12" s="372" t="s">
        <v>5923</v>
      </c>
      <c r="B12" s="373"/>
      <c r="C12" s="114" t="s">
        <v>5848</v>
      </c>
      <c r="D12" s="127"/>
      <c r="E12" s="127"/>
      <c r="F12" s="372" t="s">
        <v>5924</v>
      </c>
      <c r="G12" s="373"/>
      <c r="H12" s="114" t="s">
        <v>5851</v>
      </c>
      <c r="I12" s="127"/>
      <c r="J12" s="127"/>
      <c r="K12" s="374" t="s">
        <v>5925</v>
      </c>
      <c r="L12" s="373"/>
      <c r="M12" s="117" t="s">
        <v>5854</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5926</v>
      </c>
      <c r="AK12" s="368"/>
      <c r="AL12" s="117" t="s">
        <v>5858</v>
      </c>
      <c r="AM12" s="121"/>
      <c r="AN12" s="121"/>
      <c r="AO12" s="139" t="s">
        <v>5927</v>
      </c>
      <c r="AP12" s="182"/>
      <c r="AQ12" s="176" t="s">
        <v>5861</v>
      </c>
      <c r="AR12" s="141"/>
      <c r="AS12" s="141"/>
    </row>
    <row r="13">
      <c r="A13" s="372" t="s">
        <v>5928</v>
      </c>
      <c r="B13" s="373"/>
      <c r="C13" s="114" t="s">
        <v>5848</v>
      </c>
      <c r="D13" s="114" t="s">
        <v>5849</v>
      </c>
      <c r="E13" s="114" t="s">
        <v>5912</v>
      </c>
      <c r="F13" s="372" t="s">
        <v>5929</v>
      </c>
      <c r="G13" s="373"/>
      <c r="H13" s="114" t="s">
        <v>5851</v>
      </c>
      <c r="I13" s="114" t="s">
        <v>5852</v>
      </c>
      <c r="J13" s="114" t="s">
        <v>5914</v>
      </c>
      <c r="K13" s="376" t="s">
        <v>5930</v>
      </c>
      <c r="L13" s="373"/>
      <c r="M13" s="117" t="s">
        <v>5854</v>
      </c>
      <c r="N13" s="117" t="s">
        <v>5855</v>
      </c>
      <c r="O13" s="117" t="s">
        <v>5917</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8"/>
      <c r="AB13" s="121" t="str">
        <f>IFERROR(__xludf.DUMMYFUNCTION("GOOGLETRANSLATE(C13,""zh-tw"",""KO"")"),"흰쌀")</f>
        <v>흰쌀</v>
      </c>
      <c r="AC13" s="117" t="s">
        <v>5856</v>
      </c>
      <c r="AD13" s="117" t="s">
        <v>5919</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8"/>
      <c r="AL13" s="117" t="s">
        <v>5858</v>
      </c>
      <c r="AM13" s="117" t="s">
        <v>5859</v>
      </c>
      <c r="AN13" s="117" t="s">
        <v>5921</v>
      </c>
      <c r="AO13" s="139" t="s">
        <v>5933</v>
      </c>
      <c r="AP13" s="182"/>
      <c r="AQ13" s="176" t="s">
        <v>5861</v>
      </c>
      <c r="AR13" s="176" t="s">
        <v>5862</v>
      </c>
      <c r="AS13" s="176" t="s">
        <v>5922</v>
      </c>
    </row>
    <row r="14">
      <c r="A14" s="372" t="s">
        <v>5934</v>
      </c>
      <c r="B14" s="359" t="s">
        <v>236</v>
      </c>
      <c r="C14" s="114" t="s">
        <v>5935</v>
      </c>
      <c r="D14" s="127"/>
      <c r="E14" s="127"/>
      <c r="F14" s="372" t="s">
        <v>5936</v>
      </c>
      <c r="G14" s="359" t="s">
        <v>236</v>
      </c>
      <c r="H14" s="114" t="s">
        <v>5937</v>
      </c>
      <c r="I14" s="127"/>
      <c r="J14" s="127"/>
      <c r="K14" s="374" t="s">
        <v>5938</v>
      </c>
      <c r="L14" s="359" t="s">
        <v>236</v>
      </c>
      <c r="M14" s="117" t="s">
        <v>4077</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5939</v>
      </c>
      <c r="AA14" s="368" t="s">
        <v>236</v>
      </c>
      <c r="AB14" s="117" t="s">
        <v>4079</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8" t="s">
        <v>236</v>
      </c>
      <c r="AL14" s="117" t="s">
        <v>5941</v>
      </c>
      <c r="AM14" s="121"/>
      <c r="AN14" s="121"/>
      <c r="AO14" s="139" t="s">
        <v>5942</v>
      </c>
      <c r="AP14" s="378" t="s">
        <v>236</v>
      </c>
      <c r="AQ14" s="176" t="s">
        <v>4083</v>
      </c>
      <c r="AR14" s="141"/>
      <c r="AS14" s="141"/>
    </row>
    <row r="15">
      <c r="A15" s="372" t="s">
        <v>5943</v>
      </c>
      <c r="B15" s="359" t="s">
        <v>236</v>
      </c>
      <c r="C15" s="114" t="s">
        <v>5912</v>
      </c>
      <c r="D15" s="127"/>
      <c r="E15" s="127"/>
      <c r="F15" s="372" t="s">
        <v>5944</v>
      </c>
      <c r="G15" s="359" t="s">
        <v>236</v>
      </c>
      <c r="H15" s="114" t="s">
        <v>5914</v>
      </c>
      <c r="I15" s="127"/>
      <c r="J15" s="127"/>
      <c r="K15" s="374" t="s">
        <v>5945</v>
      </c>
      <c r="L15" s="359" t="s">
        <v>236</v>
      </c>
      <c r="M15" s="117" t="s">
        <v>5917</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5919</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5946</v>
      </c>
      <c r="AK15" s="368" t="s">
        <v>236</v>
      </c>
      <c r="AL15" s="117" t="s">
        <v>5921</v>
      </c>
      <c r="AM15" s="121"/>
      <c r="AN15" s="121"/>
      <c r="AO15" s="139" t="s">
        <v>5947</v>
      </c>
      <c r="AP15" s="378" t="s">
        <v>236</v>
      </c>
      <c r="AQ15" s="176" t="s">
        <v>5922</v>
      </c>
      <c r="AR15" s="141"/>
      <c r="AS15" s="141"/>
    </row>
    <row r="16">
      <c r="A16" s="372" t="s">
        <v>5948</v>
      </c>
      <c r="B16" s="359" t="s">
        <v>236</v>
      </c>
      <c r="C16" s="114" t="s">
        <v>5912</v>
      </c>
      <c r="D16" s="114" t="s">
        <v>5912</v>
      </c>
      <c r="E16" s="127"/>
      <c r="F16" s="372" t="s">
        <v>5949</v>
      </c>
      <c r="G16" s="359" t="s">
        <v>236</v>
      </c>
      <c r="H16" s="114" t="s">
        <v>5914</v>
      </c>
      <c r="I16" s="114" t="s">
        <v>5914</v>
      </c>
      <c r="J16" s="127"/>
      <c r="K16" s="374" t="s">
        <v>5950</v>
      </c>
      <c r="L16" s="359" t="s">
        <v>236</v>
      </c>
      <c r="M16" s="117" t="s">
        <v>5917</v>
      </c>
      <c r="N16" s="117" t="s">
        <v>5917</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8" t="s">
        <v>236</v>
      </c>
      <c r="AB16" s="117" t="s">
        <v>5919</v>
      </c>
      <c r="AC16" s="117" t="s">
        <v>5919</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8" t="s">
        <v>236</v>
      </c>
      <c r="AL16" s="117" t="s">
        <v>5921</v>
      </c>
      <c r="AM16" s="117" t="s">
        <v>5921</v>
      </c>
      <c r="AN16" s="121"/>
      <c r="AO16" s="139" t="s">
        <v>5953</v>
      </c>
      <c r="AP16" s="378" t="s">
        <v>236</v>
      </c>
      <c r="AQ16" s="176" t="s">
        <v>5922</v>
      </c>
      <c r="AR16" s="176" t="s">
        <v>5922</v>
      </c>
      <c r="AS16" s="141"/>
    </row>
    <row r="17">
      <c r="A17" s="377" t="s">
        <v>5954</v>
      </c>
      <c r="B17" s="359" t="s">
        <v>236</v>
      </c>
      <c r="C17" s="114" t="s">
        <v>5912</v>
      </c>
      <c r="D17" s="114" t="s">
        <v>5912</v>
      </c>
      <c r="E17" s="114" t="s">
        <v>5912</v>
      </c>
      <c r="F17" s="372" t="s">
        <v>5955</v>
      </c>
      <c r="G17" s="359" t="s">
        <v>236</v>
      </c>
      <c r="H17" s="114" t="s">
        <v>5914</v>
      </c>
      <c r="I17" s="114" t="s">
        <v>5914</v>
      </c>
      <c r="J17" s="114" t="s">
        <v>5914</v>
      </c>
      <c r="K17" s="374" t="s">
        <v>5956</v>
      </c>
      <c r="L17" s="359" t="s">
        <v>236</v>
      </c>
      <c r="M17" s="117" t="s">
        <v>5917</v>
      </c>
      <c r="N17" s="117" t="s">
        <v>5917</v>
      </c>
      <c r="O17" s="117" t="s">
        <v>5917</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8" t="s">
        <v>236</v>
      </c>
      <c r="AB17" s="117" t="s">
        <v>5919</v>
      </c>
      <c r="AC17" s="309" t="s">
        <v>5919</v>
      </c>
      <c r="AD17" s="309" t="s">
        <v>5919</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8" t="s">
        <v>236</v>
      </c>
      <c r="AL17" s="117" t="s">
        <v>5921</v>
      </c>
      <c r="AM17" s="117" t="s">
        <v>5921</v>
      </c>
      <c r="AN17" s="117" t="s">
        <v>5921</v>
      </c>
      <c r="AO17" s="94" t="s">
        <v>5959</v>
      </c>
      <c r="AP17" s="378" t="s">
        <v>236</v>
      </c>
      <c r="AQ17" s="176" t="s">
        <v>5922</v>
      </c>
      <c r="AR17" s="176" t="s">
        <v>5922</v>
      </c>
      <c r="AS17" s="176" t="s">
        <v>5922</v>
      </c>
    </row>
    <row r="18">
      <c r="A18" s="372" t="s">
        <v>5960</v>
      </c>
      <c r="B18" s="359" t="s">
        <v>236</v>
      </c>
      <c r="C18" s="114" t="s">
        <v>5848</v>
      </c>
      <c r="D18" s="114" t="s">
        <v>5912</v>
      </c>
      <c r="E18" s="127"/>
      <c r="F18" s="372" t="s">
        <v>5961</v>
      </c>
      <c r="G18" s="359" t="s">
        <v>236</v>
      </c>
      <c r="H18" s="114" t="s">
        <v>5851</v>
      </c>
      <c r="I18" s="114" t="s">
        <v>5914</v>
      </c>
      <c r="J18" s="127"/>
      <c r="K18" s="374" t="s">
        <v>5962</v>
      </c>
      <c r="L18" s="359" t="s">
        <v>236</v>
      </c>
      <c r="M18" s="117" t="s">
        <v>5963</v>
      </c>
      <c r="N18" s="117" t="s">
        <v>5917</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8" t="s">
        <v>236</v>
      </c>
      <c r="AB18" s="121" t="str">
        <f>IFERROR(__xludf.DUMMYFUNCTION("GOOGLETRANSLATE(C18,""zh-tw"",""KO"")"),"흰쌀")</f>
        <v>흰쌀</v>
      </c>
      <c r="AC18" s="117" t="s">
        <v>5919</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8" t="s">
        <v>236</v>
      </c>
      <c r="AL18" s="117" t="s">
        <v>5858</v>
      </c>
      <c r="AM18" s="117" t="s">
        <v>5921</v>
      </c>
      <c r="AN18" s="121"/>
      <c r="AO18" s="139" t="s">
        <v>5966</v>
      </c>
      <c r="AP18" s="378" t="s">
        <v>236</v>
      </c>
      <c r="AQ18" s="176" t="s">
        <v>5861</v>
      </c>
      <c r="AR18" s="176" t="s">
        <v>5922</v>
      </c>
      <c r="AS18" s="141"/>
    </row>
    <row r="19">
      <c r="A19" s="372" t="s">
        <v>5967</v>
      </c>
      <c r="B19" s="373"/>
      <c r="C19" s="114" t="s">
        <v>5968</v>
      </c>
      <c r="D19" s="127"/>
      <c r="E19" s="127"/>
      <c r="F19" s="372" t="s">
        <v>5969</v>
      </c>
      <c r="G19" s="373"/>
      <c r="H19" s="114" t="s">
        <v>5970</v>
      </c>
      <c r="I19" s="127"/>
      <c r="J19" s="127"/>
      <c r="K19" s="376" t="s">
        <v>5971</v>
      </c>
      <c r="L19" s="373"/>
      <c r="M19" s="117" t="s">
        <v>5972</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5973</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5974</v>
      </c>
      <c r="AK19" s="368"/>
      <c r="AL19" s="117" t="s">
        <v>5975</v>
      </c>
      <c r="AM19" s="121"/>
      <c r="AN19" s="121"/>
      <c r="AO19" s="139" t="s">
        <v>5976</v>
      </c>
      <c r="AP19" s="182"/>
      <c r="AQ19" s="176" t="s">
        <v>5977</v>
      </c>
      <c r="AR19" s="141"/>
      <c r="AS19" s="141"/>
    </row>
    <row r="20">
      <c r="A20" s="372" t="s">
        <v>5978</v>
      </c>
      <c r="B20" s="373"/>
      <c r="C20" s="114" t="s">
        <v>5837</v>
      </c>
      <c r="D20" s="114" t="s">
        <v>3714</v>
      </c>
      <c r="E20" s="127"/>
      <c r="F20" s="372" t="s">
        <v>5979</v>
      </c>
      <c r="G20" s="373"/>
      <c r="H20" s="114" t="s">
        <v>5839</v>
      </c>
      <c r="I20" s="114" t="s">
        <v>5980</v>
      </c>
      <c r="J20" s="127"/>
      <c r="K20" s="374" t="s">
        <v>5981</v>
      </c>
      <c r="L20" s="373"/>
      <c r="M20" s="117" t="s">
        <v>5841</v>
      </c>
      <c r="N20" s="117" t="s">
        <v>3716</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5982</v>
      </c>
      <c r="AA20" s="368"/>
      <c r="AB20" s="117" t="s">
        <v>5842</v>
      </c>
      <c r="AC20" s="117" t="s">
        <v>3718</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5983</v>
      </c>
      <c r="AK20" s="368"/>
      <c r="AL20" s="117" t="s">
        <v>5844</v>
      </c>
      <c r="AM20" s="117" t="s">
        <v>3720</v>
      </c>
      <c r="AN20" s="121"/>
      <c r="AO20" s="139" t="s">
        <v>5984</v>
      </c>
      <c r="AP20" s="182"/>
      <c r="AQ20" s="176" t="s">
        <v>5846</v>
      </c>
      <c r="AR20" s="176" t="s">
        <v>5985</v>
      </c>
      <c r="AS20" s="141"/>
    </row>
    <row r="21">
      <c r="A21" s="372" t="s">
        <v>5986</v>
      </c>
      <c r="B21" s="373"/>
      <c r="C21" s="114" t="s">
        <v>5837</v>
      </c>
      <c r="D21" s="114" t="s">
        <v>5987</v>
      </c>
      <c r="E21" s="127"/>
      <c r="F21" s="372" t="s">
        <v>5988</v>
      </c>
      <c r="G21" s="373"/>
      <c r="H21" s="114" t="s">
        <v>5839</v>
      </c>
      <c r="I21" s="114" t="s">
        <v>5989</v>
      </c>
      <c r="J21" s="127"/>
      <c r="K21" s="374" t="s">
        <v>5990</v>
      </c>
      <c r="L21" s="373"/>
      <c r="M21" s="117" t="s">
        <v>5841</v>
      </c>
      <c r="N21" s="117" t="s">
        <v>5991</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5842</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5992</v>
      </c>
      <c r="AK21" s="368"/>
      <c r="AL21" s="117" t="s">
        <v>5844</v>
      </c>
      <c r="AM21" s="117" t="s">
        <v>5993</v>
      </c>
      <c r="AN21" s="121"/>
      <c r="AO21" s="139" t="s">
        <v>5994</v>
      </c>
      <c r="AP21" s="182"/>
      <c r="AQ21" s="176" t="s">
        <v>5846</v>
      </c>
      <c r="AR21" s="176" t="s">
        <v>5995</v>
      </c>
      <c r="AS21" s="141"/>
    </row>
    <row r="22">
      <c r="A22" s="372" t="s">
        <v>5996</v>
      </c>
      <c r="B22" s="373"/>
      <c r="C22" s="114" t="s">
        <v>5968</v>
      </c>
      <c r="D22" s="114" t="s">
        <v>543</v>
      </c>
      <c r="E22" s="127"/>
      <c r="F22" s="372" t="s">
        <v>5997</v>
      </c>
      <c r="G22" s="373"/>
      <c r="H22" s="114" t="s">
        <v>5839</v>
      </c>
      <c r="I22" s="114" t="s">
        <v>546</v>
      </c>
      <c r="J22" s="127"/>
      <c r="K22" s="374" t="s">
        <v>5998</v>
      </c>
      <c r="L22" s="373"/>
      <c r="M22" s="117" t="s">
        <v>5841</v>
      </c>
      <c r="N22" s="117" t="s">
        <v>5999</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5973</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8"/>
      <c r="AL22" s="117" t="s">
        <v>5975</v>
      </c>
      <c r="AM22" s="117" t="s">
        <v>6001</v>
      </c>
      <c r="AN22" s="121"/>
      <c r="AO22" s="139" t="s">
        <v>6002</v>
      </c>
      <c r="AP22" s="182"/>
      <c r="AQ22" s="176" t="s">
        <v>5846</v>
      </c>
      <c r="AR22" s="176" t="s">
        <v>6003</v>
      </c>
      <c r="AS22" s="141"/>
    </row>
    <row r="23">
      <c r="A23" s="372" t="s">
        <v>6004</v>
      </c>
      <c r="B23" s="373"/>
      <c r="C23" s="114" t="s">
        <v>6005</v>
      </c>
      <c r="D23" s="127"/>
      <c r="E23" s="127"/>
      <c r="F23" s="372" t="s">
        <v>6006</v>
      </c>
      <c r="G23" s="373"/>
      <c r="H23" s="114" t="s">
        <v>6007</v>
      </c>
      <c r="I23" s="127"/>
      <c r="J23" s="127"/>
      <c r="K23" s="376" t="s">
        <v>6008</v>
      </c>
      <c r="L23" s="373"/>
      <c r="M23" s="117" t="s">
        <v>6009</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6010</v>
      </c>
      <c r="AK23" s="368"/>
      <c r="AL23" s="117" t="s">
        <v>6011</v>
      </c>
      <c r="AM23" s="121"/>
      <c r="AN23" s="121"/>
      <c r="AO23" s="139" t="s">
        <v>6012</v>
      </c>
      <c r="AP23" s="182"/>
      <c r="AQ23" s="176" t="s">
        <v>6013</v>
      </c>
      <c r="AR23" s="141"/>
      <c r="AS23" s="141"/>
    </row>
    <row r="24">
      <c r="A24" s="372" t="s">
        <v>6014</v>
      </c>
      <c r="B24" s="373"/>
      <c r="C24" s="114" t="s">
        <v>5935</v>
      </c>
      <c r="D24" s="114" t="s">
        <v>4049</v>
      </c>
      <c r="E24" s="114" t="s">
        <v>6015</v>
      </c>
      <c r="F24" s="372" t="s">
        <v>6016</v>
      </c>
      <c r="G24" s="373"/>
      <c r="H24" s="114" t="s">
        <v>5937</v>
      </c>
      <c r="I24" s="114" t="s">
        <v>6017</v>
      </c>
      <c r="J24" s="114" t="s">
        <v>6018</v>
      </c>
      <c r="K24" s="374" t="s">
        <v>6019</v>
      </c>
      <c r="L24" s="373"/>
      <c r="M24" s="117" t="s">
        <v>4077</v>
      </c>
      <c r="N24" s="117" t="s">
        <v>4051</v>
      </c>
      <c r="O24" s="117" t="s">
        <v>6020</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4079</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8"/>
      <c r="AL24" s="117" t="s">
        <v>5941</v>
      </c>
      <c r="AM24" s="117" t="s">
        <v>4054</v>
      </c>
      <c r="AN24" s="117" t="s">
        <v>4054</v>
      </c>
      <c r="AO24" s="139" t="s">
        <v>6022</v>
      </c>
      <c r="AP24" s="182"/>
      <c r="AQ24" s="176" t="s">
        <v>4083</v>
      </c>
      <c r="AR24" s="176" t="s">
        <v>4056</v>
      </c>
      <c r="AS24" s="176" t="s">
        <v>6023</v>
      </c>
    </row>
    <row r="25">
      <c r="A25" s="372" t="s">
        <v>6024</v>
      </c>
      <c r="B25" s="373"/>
      <c r="C25" s="114" t="s">
        <v>6025</v>
      </c>
      <c r="D25" s="127"/>
      <c r="E25" s="127"/>
      <c r="F25" s="372" t="s">
        <v>6026</v>
      </c>
      <c r="G25" s="373"/>
      <c r="H25" s="114" t="s">
        <v>6027</v>
      </c>
      <c r="I25" s="127"/>
      <c r="J25" s="127"/>
      <c r="K25" s="374" t="s">
        <v>6028</v>
      </c>
      <c r="L25" s="373"/>
      <c r="M25" s="117" t="s">
        <v>6029</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6030</v>
      </c>
      <c r="AA25" s="368"/>
      <c r="AB25" s="117" t="s">
        <v>6031</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6032</v>
      </c>
      <c r="AK25" s="368"/>
      <c r="AL25" s="117" t="s">
        <v>6033</v>
      </c>
      <c r="AM25" s="121"/>
      <c r="AN25" s="121"/>
      <c r="AO25" s="139" t="s">
        <v>6034</v>
      </c>
      <c r="AP25" s="182"/>
      <c r="AQ25" s="176" t="s">
        <v>6035</v>
      </c>
      <c r="AR25" s="141"/>
      <c r="AS25" s="141"/>
    </row>
    <row r="26">
      <c r="A26" s="377" t="s">
        <v>6036</v>
      </c>
      <c r="B26" s="373"/>
      <c r="C26" s="114" t="s">
        <v>6037</v>
      </c>
      <c r="D26" s="114" t="s">
        <v>6037</v>
      </c>
      <c r="E26" s="114" t="s">
        <v>6037</v>
      </c>
      <c r="F26" s="372" t="s">
        <v>6038</v>
      </c>
      <c r="G26" s="373"/>
      <c r="H26" s="114" t="s">
        <v>6018</v>
      </c>
      <c r="I26" s="114" t="s">
        <v>6018</v>
      </c>
      <c r="J26" s="114" t="s">
        <v>6018</v>
      </c>
      <c r="K26" s="376" t="s">
        <v>6039</v>
      </c>
      <c r="L26" s="373"/>
      <c r="M26" s="117" t="s">
        <v>6020</v>
      </c>
      <c r="N26" s="117" t="s">
        <v>6020</v>
      </c>
      <c r="O26" s="117" t="s">
        <v>6020</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8"/>
      <c r="AB26" s="379" t="s">
        <v>6041</v>
      </c>
      <c r="AC26" s="379" t="s">
        <v>6041</v>
      </c>
      <c r="AD26" s="117" t="s">
        <v>6041</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8"/>
      <c r="AL26" s="117" t="s">
        <v>6043</v>
      </c>
      <c r="AM26" s="117" t="s">
        <v>6043</v>
      </c>
      <c r="AN26" s="117" t="s">
        <v>6043</v>
      </c>
      <c r="AO26" s="94" t="s">
        <v>6044</v>
      </c>
      <c r="AP26" s="182"/>
      <c r="AQ26" s="176" t="s">
        <v>6023</v>
      </c>
      <c r="AR26" s="176" t="s">
        <v>6023</v>
      </c>
      <c r="AS26" s="176" t="s">
        <v>6023</v>
      </c>
    </row>
    <row r="27">
      <c r="A27" s="372" t="s">
        <v>6045</v>
      </c>
      <c r="B27" s="373"/>
      <c r="C27" s="114" t="s">
        <v>4049</v>
      </c>
      <c r="D27" s="127"/>
      <c r="E27" s="127"/>
      <c r="F27" s="372" t="s">
        <v>6046</v>
      </c>
      <c r="G27" s="373"/>
      <c r="H27" s="114" t="s">
        <v>6017</v>
      </c>
      <c r="I27" s="127"/>
      <c r="J27" s="127"/>
      <c r="K27" s="374" t="s">
        <v>6047</v>
      </c>
      <c r="L27" s="373"/>
      <c r="M27" s="117" t="s">
        <v>4051</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6048</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6049</v>
      </c>
      <c r="AK27" s="368"/>
      <c r="AL27" s="117" t="s">
        <v>4054</v>
      </c>
      <c r="AM27" s="121"/>
      <c r="AN27" s="121"/>
      <c r="AO27" s="139" t="s">
        <v>6050</v>
      </c>
      <c r="AP27" s="182"/>
      <c r="AQ27" s="176" t="s">
        <v>4056</v>
      </c>
      <c r="AR27" s="141"/>
      <c r="AS27" s="141"/>
    </row>
    <row r="28">
      <c r="A28" s="372" t="s">
        <v>6051</v>
      </c>
      <c r="B28" s="373"/>
      <c r="C28" s="114" t="s">
        <v>6015</v>
      </c>
      <c r="D28" s="114" t="s">
        <v>6052</v>
      </c>
      <c r="E28" s="127"/>
      <c r="F28" s="372" t="s">
        <v>6053</v>
      </c>
      <c r="G28" s="373"/>
      <c r="H28" s="114" t="s">
        <v>6018</v>
      </c>
      <c r="I28" s="114" t="s">
        <v>6054</v>
      </c>
      <c r="J28" s="127"/>
      <c r="K28" s="374" t="s">
        <v>6055</v>
      </c>
      <c r="L28" s="373"/>
      <c r="M28" s="117" t="s">
        <v>6020</v>
      </c>
      <c r="N28" s="117" t="s">
        <v>3877</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6056</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6057</v>
      </c>
      <c r="AK28" s="368"/>
      <c r="AL28" s="117" t="s">
        <v>6058</v>
      </c>
      <c r="AM28" s="121" t="str">
        <f>IFERROR(__xludf.DUMMYFUNCTION("GOOGLETRANSLATE(D28,""zh-tw"",""de"")"),"Pilze")</f>
        <v>Pilze</v>
      </c>
      <c r="AN28" s="121"/>
      <c r="AO28" s="139" t="s">
        <v>6059</v>
      </c>
      <c r="AP28" s="182"/>
      <c r="AQ28" s="176" t="s">
        <v>6023</v>
      </c>
      <c r="AR28" s="176" t="s">
        <v>3885</v>
      </c>
      <c r="AS28" s="141"/>
    </row>
    <row r="29">
      <c r="A29" s="372" t="s">
        <v>6060</v>
      </c>
      <c r="B29" s="373"/>
      <c r="C29" s="114" t="s">
        <v>6061</v>
      </c>
      <c r="D29" s="127"/>
      <c r="E29" s="127"/>
      <c r="F29" s="372" t="s">
        <v>6062</v>
      </c>
      <c r="G29" s="373"/>
      <c r="H29" s="114" t="s">
        <v>6063</v>
      </c>
      <c r="I29" s="127"/>
      <c r="J29" s="127"/>
      <c r="K29" s="374" t="s">
        <v>6064</v>
      </c>
      <c r="L29" s="373"/>
      <c r="M29" s="117" t="s">
        <v>6065</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6066</v>
      </c>
      <c r="AK29" s="368"/>
      <c r="AL29" s="117" t="s">
        <v>6065</v>
      </c>
      <c r="AM29" s="121"/>
      <c r="AN29" s="121"/>
      <c r="AO29" s="139" t="s">
        <v>6064</v>
      </c>
      <c r="AP29" s="182"/>
      <c r="AQ29" s="176" t="s">
        <v>6067</v>
      </c>
      <c r="AR29" s="141"/>
      <c r="AS29" s="141"/>
    </row>
    <row r="30">
      <c r="A30" s="372" t="s">
        <v>6068</v>
      </c>
      <c r="B30" s="373"/>
      <c r="C30" s="114" t="s">
        <v>6061</v>
      </c>
      <c r="D30" s="114" t="s">
        <v>6069</v>
      </c>
      <c r="E30" s="127"/>
      <c r="F30" s="372" t="s">
        <v>6070</v>
      </c>
      <c r="G30" s="373"/>
      <c r="H30" s="114" t="s">
        <v>6063</v>
      </c>
      <c r="I30" s="114" t="s">
        <v>6071</v>
      </c>
      <c r="J30" s="127"/>
      <c r="K30" s="374" t="s">
        <v>6072</v>
      </c>
      <c r="L30" s="373"/>
      <c r="M30" s="117" t="s">
        <v>6065</v>
      </c>
      <c r="N30" s="117" t="s">
        <v>6073</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8"/>
      <c r="AL30" s="117" t="s">
        <v>6065</v>
      </c>
      <c r="AM30" s="117" t="s">
        <v>6075</v>
      </c>
      <c r="AN30" s="121"/>
      <c r="AO30" s="139" t="s">
        <v>6076</v>
      </c>
      <c r="AP30" s="182"/>
      <c r="AQ30" s="176" t="s">
        <v>6067</v>
      </c>
      <c r="AR30" s="176" t="s">
        <v>6077</v>
      </c>
      <c r="AS30" s="141"/>
    </row>
    <row r="31">
      <c r="A31" s="372" t="s">
        <v>6078</v>
      </c>
      <c r="B31" s="373"/>
      <c r="C31" s="114" t="s">
        <v>6061</v>
      </c>
      <c r="D31" s="114" t="s">
        <v>6079</v>
      </c>
      <c r="E31" s="127"/>
      <c r="F31" s="372" t="s">
        <v>6080</v>
      </c>
      <c r="G31" s="373"/>
      <c r="H31" s="114" t="s">
        <v>6063</v>
      </c>
      <c r="I31" s="114" t="s">
        <v>6081</v>
      </c>
      <c r="J31" s="127"/>
      <c r="K31" s="374" t="s">
        <v>6082</v>
      </c>
      <c r="L31" s="373"/>
      <c r="M31" s="117" t="s">
        <v>6065</v>
      </c>
      <c r="N31" s="117" t="s">
        <v>6083</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6084</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8"/>
      <c r="AL31" s="117" t="s">
        <v>6065</v>
      </c>
      <c r="AM31" s="117" t="s">
        <v>6086</v>
      </c>
      <c r="AN31" s="121"/>
      <c r="AO31" s="139" t="s">
        <v>6087</v>
      </c>
      <c r="AP31" s="182"/>
      <c r="AQ31" s="176" t="s">
        <v>6067</v>
      </c>
      <c r="AR31" s="176" t="s">
        <v>6088</v>
      </c>
      <c r="AS31" s="141"/>
    </row>
    <row r="32">
      <c r="A32" s="372" t="s">
        <v>6089</v>
      </c>
      <c r="B32" s="373"/>
      <c r="C32" s="114" t="s">
        <v>5848</v>
      </c>
      <c r="D32" s="114" t="s">
        <v>5849</v>
      </c>
      <c r="E32" s="114" t="s">
        <v>3859</v>
      </c>
      <c r="F32" s="372" t="s">
        <v>6090</v>
      </c>
      <c r="G32" s="373"/>
      <c r="H32" s="114" t="s">
        <v>5851</v>
      </c>
      <c r="I32" s="114" t="s">
        <v>5852</v>
      </c>
      <c r="J32" s="114" t="s">
        <v>6091</v>
      </c>
      <c r="K32" s="376" t="s">
        <v>6092</v>
      </c>
      <c r="L32" s="373"/>
      <c r="M32" s="117" t="s">
        <v>5854</v>
      </c>
      <c r="N32" s="117" t="s">
        <v>5855</v>
      </c>
      <c r="O32" s="117" t="s">
        <v>3862</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5856</v>
      </c>
      <c r="AD32" s="117" t="s">
        <v>3864</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8"/>
      <c r="AL32" s="117" t="s">
        <v>5858</v>
      </c>
      <c r="AM32" s="117" t="s">
        <v>5859</v>
      </c>
      <c r="AN32" s="117" t="s">
        <v>6094</v>
      </c>
      <c r="AO32" s="139" t="s">
        <v>6095</v>
      </c>
      <c r="AP32" s="182"/>
      <c r="AQ32" s="176" t="s">
        <v>5861</v>
      </c>
      <c r="AR32" s="176" t="s">
        <v>5862</v>
      </c>
      <c r="AS32" s="176" t="s">
        <v>3869</v>
      </c>
    </row>
    <row r="33">
      <c r="A33" s="372" t="s">
        <v>6096</v>
      </c>
      <c r="B33" s="373"/>
      <c r="C33" s="114" t="s">
        <v>5848</v>
      </c>
      <c r="D33" s="114" t="s">
        <v>3859</v>
      </c>
      <c r="E33" s="127"/>
      <c r="F33" s="372" t="s">
        <v>6097</v>
      </c>
      <c r="G33" s="373"/>
      <c r="H33" s="114" t="s">
        <v>5851</v>
      </c>
      <c r="I33" s="114" t="s">
        <v>6091</v>
      </c>
      <c r="J33" s="127"/>
      <c r="K33" s="374" t="s">
        <v>6098</v>
      </c>
      <c r="L33" s="373"/>
      <c r="M33" s="117" t="s">
        <v>5854</v>
      </c>
      <c r="N33" s="117" t="s">
        <v>6099</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6100</v>
      </c>
      <c r="AA33" s="368"/>
      <c r="AB33" s="121" t="str">
        <f>IFERROR(__xludf.DUMMYFUNCTION("GOOGLETRANSLATE(C33,""zh-tw"",""KO"")"),"흰쌀")</f>
        <v>흰쌀</v>
      </c>
      <c r="AC33" s="309" t="s">
        <v>3864</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8"/>
      <c r="AL33" s="117" t="s">
        <v>5858</v>
      </c>
      <c r="AM33" s="117" t="s">
        <v>6094</v>
      </c>
      <c r="AN33" s="121"/>
      <c r="AO33" s="139" t="s">
        <v>6098</v>
      </c>
      <c r="AP33" s="182"/>
      <c r="AQ33" s="176" t="s">
        <v>5861</v>
      </c>
      <c r="AR33" s="176" t="s">
        <v>3869</v>
      </c>
      <c r="AS33" s="141"/>
    </row>
    <row r="34">
      <c r="A34" s="372" t="s">
        <v>6102</v>
      </c>
      <c r="B34" s="373"/>
      <c r="C34" s="114" t="s">
        <v>5848</v>
      </c>
      <c r="D34" s="114" t="s">
        <v>3859</v>
      </c>
      <c r="E34" s="114" t="s">
        <v>4058</v>
      </c>
      <c r="F34" s="372" t="s">
        <v>6103</v>
      </c>
      <c r="G34" s="373"/>
      <c r="H34" s="114" t="s">
        <v>5851</v>
      </c>
      <c r="I34" s="114" t="s">
        <v>6091</v>
      </c>
      <c r="J34" s="114" t="s">
        <v>6104</v>
      </c>
      <c r="K34" s="374" t="s">
        <v>6105</v>
      </c>
      <c r="L34" s="373"/>
      <c r="M34" s="117" t="s">
        <v>5854</v>
      </c>
      <c r="N34" s="117" t="s">
        <v>6099</v>
      </c>
      <c r="O34" s="117" t="s">
        <v>4060</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8"/>
      <c r="AB34" s="121" t="str">
        <f>IFERROR(__xludf.DUMMYFUNCTION("GOOGLETRANSLATE(C34,""zh-tw"",""KO"")"),"흰쌀")</f>
        <v>흰쌀</v>
      </c>
      <c r="AC34" s="309" t="s">
        <v>3864</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8"/>
      <c r="AL34" s="117" t="s">
        <v>5858</v>
      </c>
      <c r="AM34" s="117" t="s">
        <v>6094</v>
      </c>
      <c r="AN34" s="117" t="s">
        <v>6108</v>
      </c>
      <c r="AO34" s="139" t="s">
        <v>6109</v>
      </c>
      <c r="AP34" s="182"/>
      <c r="AQ34" s="176" t="s">
        <v>5861</v>
      </c>
      <c r="AR34" s="176" t="s">
        <v>3869</v>
      </c>
      <c r="AS34" s="176" t="s">
        <v>4064</v>
      </c>
    </row>
    <row r="35">
      <c r="A35" s="372" t="s">
        <v>6110</v>
      </c>
      <c r="B35" s="373"/>
      <c r="C35" s="114" t="s">
        <v>5848</v>
      </c>
      <c r="D35" s="114" t="s">
        <v>6111</v>
      </c>
      <c r="E35" s="127"/>
      <c r="F35" s="372" t="s">
        <v>6112</v>
      </c>
      <c r="G35" s="373"/>
      <c r="H35" s="114" t="s">
        <v>5851</v>
      </c>
      <c r="I35" s="114" t="s">
        <v>6113</v>
      </c>
      <c r="J35" s="127"/>
      <c r="K35" s="374" t="s">
        <v>6114</v>
      </c>
      <c r="L35" s="373"/>
      <c r="M35" s="117" t="s">
        <v>5854</v>
      </c>
      <c r="N35" s="117" t="s">
        <v>6083</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6115</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6116</v>
      </c>
      <c r="AK35" s="368"/>
      <c r="AL35" s="117" t="s">
        <v>5858</v>
      </c>
      <c r="AM35" s="117" t="s">
        <v>6117</v>
      </c>
      <c r="AN35" s="121"/>
      <c r="AO35" s="139" t="s">
        <v>6118</v>
      </c>
      <c r="AP35" s="182"/>
      <c r="AQ35" s="176" t="s">
        <v>5861</v>
      </c>
      <c r="AR35" s="176" t="s">
        <v>6088</v>
      </c>
      <c r="AS35" s="141"/>
    </row>
    <row r="36">
      <c r="A36" s="372" t="s">
        <v>6119</v>
      </c>
      <c r="B36" s="373"/>
      <c r="C36" s="114" t="s">
        <v>6120</v>
      </c>
      <c r="D36" s="127"/>
      <c r="E36" s="127"/>
      <c r="F36" s="372" t="s">
        <v>6121</v>
      </c>
      <c r="G36" s="373"/>
      <c r="H36" s="114" t="s">
        <v>6122</v>
      </c>
      <c r="I36" s="127"/>
      <c r="J36" s="127"/>
      <c r="K36" s="376" t="s">
        <v>6123</v>
      </c>
      <c r="L36" s="373"/>
      <c r="M36" s="117" t="s">
        <v>6124</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6125</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6126</v>
      </c>
      <c r="AK36" s="368"/>
      <c r="AL36" s="117" t="s">
        <v>6127</v>
      </c>
      <c r="AM36" s="121"/>
      <c r="AN36" s="121"/>
      <c r="AO36" s="139" t="s">
        <v>6128</v>
      </c>
      <c r="AP36" s="182"/>
      <c r="AQ36" s="176" t="s">
        <v>6129</v>
      </c>
      <c r="AR36" s="141"/>
      <c r="AS36" s="141"/>
    </row>
    <row r="37">
      <c r="A37" s="377" t="s">
        <v>6130</v>
      </c>
      <c r="B37" s="373"/>
      <c r="C37" s="114" t="s">
        <v>6037</v>
      </c>
      <c r="D37" s="114" t="s">
        <v>6037</v>
      </c>
      <c r="E37" s="127"/>
      <c r="F37" s="372" t="s">
        <v>6131</v>
      </c>
      <c r="G37" s="373"/>
      <c r="H37" s="114" t="s">
        <v>6132</v>
      </c>
      <c r="I37" s="114" t="s">
        <v>6132</v>
      </c>
      <c r="J37" s="127"/>
      <c r="K37" s="374" t="s">
        <v>6133</v>
      </c>
      <c r="L37" s="373"/>
      <c r="M37" s="117" t="s">
        <v>6134</v>
      </c>
      <c r="N37" s="117" t="s">
        <v>6134</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6135</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6136</v>
      </c>
      <c r="AK37" s="368"/>
      <c r="AL37" s="117" t="s">
        <v>6043</v>
      </c>
      <c r="AM37" s="117" t="s">
        <v>6043</v>
      </c>
      <c r="AN37" s="121"/>
      <c r="AO37" s="94" t="s">
        <v>6137</v>
      </c>
      <c r="AP37" s="182"/>
      <c r="AQ37" s="176" t="s">
        <v>6138</v>
      </c>
      <c r="AR37" s="176" t="s">
        <v>6138</v>
      </c>
      <c r="AS37" s="141"/>
    </row>
    <row r="38">
      <c r="A38" s="372" t="s">
        <v>6139</v>
      </c>
      <c r="B38" s="359" t="s">
        <v>236</v>
      </c>
      <c r="C38" s="114" t="s">
        <v>6140</v>
      </c>
      <c r="D38" s="114" t="s">
        <v>6140</v>
      </c>
      <c r="E38" s="114" t="s">
        <v>5865</v>
      </c>
      <c r="F38" s="372" t="s">
        <v>6141</v>
      </c>
      <c r="G38" s="359" t="s">
        <v>236</v>
      </c>
      <c r="H38" s="114" t="s">
        <v>6142</v>
      </c>
      <c r="I38" s="114" t="s">
        <v>6142</v>
      </c>
      <c r="J38" s="114" t="s">
        <v>5868</v>
      </c>
      <c r="K38" s="376" t="s">
        <v>6143</v>
      </c>
      <c r="L38" s="359" t="s">
        <v>236</v>
      </c>
      <c r="M38" s="117" t="s">
        <v>6144</v>
      </c>
      <c r="N38" s="117" t="s">
        <v>6144</v>
      </c>
      <c r="O38" s="117" t="s">
        <v>5871</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0" t="s">
        <v>236</v>
      </c>
      <c r="AB38" s="117" t="s">
        <v>6146</v>
      </c>
      <c r="AC38" s="117" t="s">
        <v>6146</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8" t="s">
        <v>236</v>
      </c>
      <c r="AL38" s="117" t="s">
        <v>6148</v>
      </c>
      <c r="AM38" s="117" t="s">
        <v>6148</v>
      </c>
      <c r="AN38" s="117" t="s">
        <v>5874</v>
      </c>
      <c r="AO38" s="139" t="s">
        <v>6149</v>
      </c>
      <c r="AP38" s="378" t="s">
        <v>236</v>
      </c>
      <c r="AQ38" s="176" t="s">
        <v>6150</v>
      </c>
      <c r="AR38" s="176" t="s">
        <v>6150</v>
      </c>
      <c r="AS38" s="176" t="s">
        <v>5877</v>
      </c>
    </row>
    <row r="39">
      <c r="A39" s="377" t="s">
        <v>6151</v>
      </c>
      <c r="B39" s="359" t="s">
        <v>236</v>
      </c>
      <c r="C39" s="114" t="s">
        <v>6140</v>
      </c>
      <c r="D39" s="127"/>
      <c r="E39" s="127"/>
      <c r="F39" s="372" t="s">
        <v>6152</v>
      </c>
      <c r="G39" s="359" t="s">
        <v>236</v>
      </c>
      <c r="H39" s="114" t="s">
        <v>6142</v>
      </c>
      <c r="I39" s="127"/>
      <c r="J39" s="127"/>
      <c r="K39" s="374" t="s">
        <v>6153</v>
      </c>
      <c r="L39" s="359" t="s">
        <v>236</v>
      </c>
      <c r="M39" s="117" t="s">
        <v>6144</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6146</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6154</v>
      </c>
      <c r="AK39" s="368" t="s">
        <v>236</v>
      </c>
      <c r="AL39" s="117" t="s">
        <v>6148</v>
      </c>
      <c r="AM39" s="121"/>
      <c r="AN39" s="121"/>
      <c r="AO39" s="94" t="s">
        <v>6155</v>
      </c>
      <c r="AP39" s="378" t="s">
        <v>236</v>
      </c>
      <c r="AQ39" s="176" t="s">
        <v>6150</v>
      </c>
      <c r="AR39" s="141"/>
      <c r="AS39" s="141"/>
    </row>
    <row r="40">
      <c r="A40" s="372" t="s">
        <v>6156</v>
      </c>
      <c r="B40" s="359" t="s">
        <v>236</v>
      </c>
      <c r="C40" s="114" t="s">
        <v>5848</v>
      </c>
      <c r="D40" s="114" t="s">
        <v>6140</v>
      </c>
      <c r="E40" s="127"/>
      <c r="F40" s="372" t="s">
        <v>6157</v>
      </c>
      <c r="G40" s="359" t="s">
        <v>236</v>
      </c>
      <c r="H40" s="114" t="s">
        <v>5851</v>
      </c>
      <c r="I40" s="114" t="s">
        <v>6142</v>
      </c>
      <c r="J40" s="127"/>
      <c r="K40" s="374" t="s">
        <v>6158</v>
      </c>
      <c r="L40" s="359" t="s">
        <v>236</v>
      </c>
      <c r="M40" s="117" t="s">
        <v>5963</v>
      </c>
      <c r="N40" s="117" t="s">
        <v>6144</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0" t="s">
        <v>236</v>
      </c>
      <c r="AB40" s="121" t="str">
        <f>IFERROR(__xludf.DUMMYFUNCTION("GOOGLETRANSLATE(C40,""zh-tw"",""KO"")"),"흰쌀")</f>
        <v>흰쌀</v>
      </c>
      <c r="AC40" s="117" t="s">
        <v>6146</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8" t="s">
        <v>236</v>
      </c>
      <c r="AL40" s="117" t="s">
        <v>5858</v>
      </c>
      <c r="AM40" s="117" t="s">
        <v>6148</v>
      </c>
      <c r="AN40" s="121"/>
      <c r="AO40" s="139" t="s">
        <v>6158</v>
      </c>
      <c r="AP40" s="378" t="s">
        <v>236</v>
      </c>
      <c r="AQ40" s="176" t="s">
        <v>5861</v>
      </c>
      <c r="AR40" s="176" t="s">
        <v>6150</v>
      </c>
      <c r="AS40" s="141"/>
    </row>
    <row r="41">
      <c r="A41" s="372" t="s">
        <v>6161</v>
      </c>
      <c r="B41" s="373"/>
      <c r="C41" s="114" t="s">
        <v>6162</v>
      </c>
      <c r="D41" s="114" t="s">
        <v>6162</v>
      </c>
      <c r="E41" s="114" t="s">
        <v>6162</v>
      </c>
      <c r="F41" s="372" t="s">
        <v>6163</v>
      </c>
      <c r="G41" s="373"/>
      <c r="H41" s="114" t="s">
        <v>6113</v>
      </c>
      <c r="I41" s="114" t="s">
        <v>6113</v>
      </c>
      <c r="J41" s="114" t="s">
        <v>6113</v>
      </c>
      <c r="K41" s="374" t="s">
        <v>6164</v>
      </c>
      <c r="L41" s="373"/>
      <c r="M41" s="117" t="s">
        <v>6165</v>
      </c>
      <c r="N41" s="117" t="s">
        <v>6165</v>
      </c>
      <c r="O41" s="117" t="s">
        <v>6165</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8"/>
      <c r="AB41" s="117" t="s">
        <v>6115</v>
      </c>
      <c r="AC41" s="117" t="s">
        <v>6115</v>
      </c>
      <c r="AD41" s="117" t="s">
        <v>6115</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8"/>
      <c r="AL41" s="117" t="s">
        <v>6117</v>
      </c>
      <c r="AM41" s="117" t="s">
        <v>6117</v>
      </c>
      <c r="AN41" s="117" t="s">
        <v>6117</v>
      </c>
      <c r="AO41" s="139" t="s">
        <v>6168</v>
      </c>
      <c r="AP41" s="182"/>
      <c r="AQ41" s="176" t="s">
        <v>6169</v>
      </c>
      <c r="AR41" s="176" t="s">
        <v>6169</v>
      </c>
      <c r="AS41" s="176" t="s">
        <v>6169</v>
      </c>
    </row>
    <row r="42">
      <c r="A42" s="372" t="s">
        <v>6170</v>
      </c>
      <c r="B42" s="373"/>
      <c r="C42" s="114" t="s">
        <v>6171</v>
      </c>
      <c r="D42" s="114" t="s">
        <v>6171</v>
      </c>
      <c r="E42" s="114" t="s">
        <v>6171</v>
      </c>
      <c r="F42" s="372" t="s">
        <v>6172</v>
      </c>
      <c r="G42" s="373"/>
      <c r="H42" s="114" t="s">
        <v>6173</v>
      </c>
      <c r="I42" s="114" t="s">
        <v>6173</v>
      </c>
      <c r="J42" s="114" t="s">
        <v>6173</v>
      </c>
      <c r="K42" s="374" t="s">
        <v>6174</v>
      </c>
      <c r="L42" s="373"/>
      <c r="M42" s="117" t="s">
        <v>6175</v>
      </c>
      <c r="N42" s="117" t="s">
        <v>6175</v>
      </c>
      <c r="O42" s="117" t="s">
        <v>6175</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8"/>
      <c r="AL42" s="117" t="s">
        <v>6178</v>
      </c>
      <c r="AM42" s="117" t="s">
        <v>6178</v>
      </c>
      <c r="AN42" s="117" t="s">
        <v>6178</v>
      </c>
      <c r="AO42" s="139" t="s">
        <v>6179</v>
      </c>
      <c r="AP42" s="182"/>
      <c r="AQ42" s="176" t="s">
        <v>6180</v>
      </c>
      <c r="AR42" s="176" t="s">
        <v>6180</v>
      </c>
      <c r="AS42" s="176" t="s">
        <v>6180</v>
      </c>
    </row>
    <row r="43">
      <c r="A43" s="377" t="s">
        <v>6181</v>
      </c>
      <c r="B43" s="373"/>
      <c r="C43" s="114" t="s">
        <v>6182</v>
      </c>
      <c r="D43" s="127"/>
      <c r="E43" s="127"/>
      <c r="F43" s="372" t="s">
        <v>6183</v>
      </c>
      <c r="G43" s="373"/>
      <c r="H43" s="114" t="s">
        <v>6184</v>
      </c>
      <c r="I43" s="127"/>
      <c r="J43" s="127"/>
      <c r="K43" s="374" t="s">
        <v>6185</v>
      </c>
      <c r="L43" s="373"/>
      <c r="M43" s="117" t="s">
        <v>6186</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6187</v>
      </c>
      <c r="AK43" s="368"/>
      <c r="AL43" s="117" t="s">
        <v>6188</v>
      </c>
      <c r="AM43" s="121"/>
      <c r="AN43" s="121"/>
      <c r="AO43" s="94" t="s">
        <v>6189</v>
      </c>
      <c r="AP43" s="182"/>
      <c r="AQ43" s="176" t="s">
        <v>6190</v>
      </c>
      <c r="AR43" s="176" t="s">
        <v>5877</v>
      </c>
      <c r="AS43" s="141"/>
    </row>
    <row r="44">
      <c r="A44" s="372" t="s">
        <v>6191</v>
      </c>
      <c r="B44" s="373"/>
      <c r="C44" s="114" t="s">
        <v>6025</v>
      </c>
      <c r="D44" s="114" t="s">
        <v>5865</v>
      </c>
      <c r="E44" s="127"/>
      <c r="F44" s="372" t="s">
        <v>6192</v>
      </c>
      <c r="G44" s="373"/>
      <c r="H44" s="114" t="s">
        <v>6027</v>
      </c>
      <c r="I44" s="114" t="s">
        <v>5868</v>
      </c>
      <c r="J44" s="127"/>
      <c r="K44" s="374" t="s">
        <v>6193</v>
      </c>
      <c r="L44" s="373"/>
      <c r="M44" s="117" t="s">
        <v>6029</v>
      </c>
      <c r="N44" s="117" t="s">
        <v>5871</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6194</v>
      </c>
      <c r="AA44" s="368"/>
      <c r="AB44" s="117" t="s">
        <v>6031</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8"/>
      <c r="AL44" s="117" t="s">
        <v>6033</v>
      </c>
      <c r="AM44" s="117" t="s">
        <v>5874</v>
      </c>
      <c r="AN44" s="121"/>
      <c r="AO44" s="139" t="s">
        <v>6193</v>
      </c>
      <c r="AP44" s="182"/>
      <c r="AQ44" s="176" t="s">
        <v>6035</v>
      </c>
      <c r="AR44" s="141"/>
      <c r="AS44" s="141"/>
    </row>
    <row r="45">
      <c r="A45" s="372" t="s">
        <v>6196</v>
      </c>
      <c r="B45" s="373"/>
      <c r="C45" s="114" t="s">
        <v>5912</v>
      </c>
      <c r="D45" s="127"/>
      <c r="E45" s="127"/>
      <c r="F45" s="372" t="s">
        <v>5944</v>
      </c>
      <c r="G45" s="373"/>
      <c r="H45" s="114" t="s">
        <v>5914</v>
      </c>
      <c r="I45" s="127"/>
      <c r="J45" s="127"/>
      <c r="K45" s="374" t="s">
        <v>6197</v>
      </c>
      <c r="L45" s="373"/>
      <c r="M45" s="117" t="s">
        <v>5917</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6198</v>
      </c>
      <c r="AA45" s="368"/>
      <c r="AB45" s="117" t="s">
        <v>5919</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6199</v>
      </c>
      <c r="AK45" s="368"/>
      <c r="AL45" s="117" t="s">
        <v>5921</v>
      </c>
      <c r="AM45" s="121"/>
      <c r="AN45" s="121"/>
      <c r="AO45" s="139" t="s">
        <v>6200</v>
      </c>
      <c r="AP45" s="182"/>
      <c r="AQ45" s="176" t="s">
        <v>5922</v>
      </c>
      <c r="AR45" s="141"/>
      <c r="AS45" s="141"/>
    </row>
    <row r="46">
      <c r="A46" s="372" t="s">
        <v>6201</v>
      </c>
      <c r="B46" s="359" t="s">
        <v>757</v>
      </c>
      <c r="C46" s="114" t="s">
        <v>4049</v>
      </c>
      <c r="D46" s="114" t="s">
        <v>4066</v>
      </c>
      <c r="E46" s="127"/>
      <c r="F46" s="372" t="s">
        <v>6202</v>
      </c>
      <c r="G46" s="359" t="s">
        <v>757</v>
      </c>
      <c r="H46" s="114" t="s">
        <v>6017</v>
      </c>
      <c r="I46" s="114" t="s">
        <v>6203</v>
      </c>
      <c r="J46" s="127"/>
      <c r="K46" s="374" t="s">
        <v>6204</v>
      </c>
      <c r="L46" s="359" t="s">
        <v>757</v>
      </c>
      <c r="M46" s="117" t="s">
        <v>4051</v>
      </c>
      <c r="N46" s="117" t="s">
        <v>4068</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0" t="s">
        <v>757</v>
      </c>
      <c r="AB46" s="121" t="str">
        <f>IFERROR(__xludf.DUMMYFUNCTION("GOOGLETRANSLATE(C46,""zh-tw"",""KO"")"),"감자")</f>
        <v>감자</v>
      </c>
      <c r="AC46" s="309" t="s">
        <v>6206</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8" t="s">
        <v>757</v>
      </c>
      <c r="AL46" s="117" t="s">
        <v>4054</v>
      </c>
      <c r="AM46" s="117" t="s">
        <v>6208</v>
      </c>
      <c r="AN46" s="121"/>
      <c r="AO46" s="139" t="s">
        <v>6209</v>
      </c>
      <c r="AP46" s="378" t="s">
        <v>757</v>
      </c>
      <c r="AQ46" s="176" t="s">
        <v>4056</v>
      </c>
      <c r="AR46" s="176" t="s">
        <v>4072</v>
      </c>
      <c r="AS46" s="141"/>
    </row>
    <row r="47">
      <c r="A47" s="372" t="s">
        <v>6210</v>
      </c>
      <c r="B47" s="359" t="s">
        <v>757</v>
      </c>
      <c r="C47" s="114" t="s">
        <v>4066</v>
      </c>
      <c r="D47" s="127"/>
      <c r="E47" s="127"/>
      <c r="F47" s="372" t="s">
        <v>6211</v>
      </c>
      <c r="G47" s="359" t="s">
        <v>757</v>
      </c>
      <c r="H47" s="114" t="s">
        <v>6203</v>
      </c>
      <c r="I47" s="127"/>
      <c r="J47" s="127"/>
      <c r="K47" s="374" t="s">
        <v>6212</v>
      </c>
      <c r="L47" s="359" t="s">
        <v>757</v>
      </c>
      <c r="M47" s="117" t="s">
        <v>4068</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6213</v>
      </c>
      <c r="AA47" s="380" t="s">
        <v>757</v>
      </c>
      <c r="AB47" s="309" t="s">
        <v>6206</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6214</v>
      </c>
      <c r="AK47" s="368" t="s">
        <v>757</v>
      </c>
      <c r="AL47" s="117" t="s">
        <v>6208</v>
      </c>
      <c r="AM47" s="121"/>
      <c r="AN47" s="121"/>
      <c r="AO47" s="139" t="s">
        <v>6215</v>
      </c>
      <c r="AP47" s="378" t="s">
        <v>757</v>
      </c>
      <c r="AQ47" s="176" t="s">
        <v>4072</v>
      </c>
      <c r="AR47" s="141"/>
      <c r="AS47" s="141"/>
    </row>
    <row r="48">
      <c r="A48" s="372" t="s">
        <v>6216</v>
      </c>
      <c r="B48" s="373"/>
      <c r="C48" s="114" t="s">
        <v>5837</v>
      </c>
      <c r="D48" s="114" t="s">
        <v>5968</v>
      </c>
      <c r="E48" s="127"/>
      <c r="F48" s="372" t="s">
        <v>6217</v>
      </c>
      <c r="G48" s="373"/>
      <c r="H48" s="114" t="s">
        <v>5839</v>
      </c>
      <c r="I48" s="114" t="s">
        <v>5970</v>
      </c>
      <c r="J48" s="127"/>
      <c r="K48" s="374" t="s">
        <v>6218</v>
      </c>
      <c r="L48" s="373"/>
      <c r="M48" s="117" t="s">
        <v>5841</v>
      </c>
      <c r="N48" s="117" t="s">
        <v>5972</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6219</v>
      </c>
      <c r="AA48" s="368"/>
      <c r="AB48" s="309" t="s">
        <v>5842</v>
      </c>
      <c r="AC48" s="117" t="s">
        <v>5973</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8"/>
      <c r="AL48" s="117" t="s">
        <v>5844</v>
      </c>
      <c r="AM48" s="117" t="s">
        <v>5975</v>
      </c>
      <c r="AN48" s="121"/>
      <c r="AO48" s="139" t="s">
        <v>6221</v>
      </c>
      <c r="AP48" s="182"/>
      <c r="AQ48" s="176" t="s">
        <v>5846</v>
      </c>
      <c r="AR48" s="176" t="s">
        <v>5977</v>
      </c>
      <c r="AS48" s="141"/>
    </row>
    <row r="49">
      <c r="A49" s="372" t="s">
        <v>6222</v>
      </c>
      <c r="B49" s="373"/>
      <c r="C49" s="114" t="s">
        <v>5837</v>
      </c>
      <c r="D49" s="114" t="s">
        <v>5968</v>
      </c>
      <c r="E49" s="127"/>
      <c r="F49" s="372" t="s">
        <v>6223</v>
      </c>
      <c r="G49" s="373"/>
      <c r="H49" s="114" t="s">
        <v>5839</v>
      </c>
      <c r="I49" s="114" t="s">
        <v>5970</v>
      </c>
      <c r="J49" s="127"/>
      <c r="K49" s="374" t="s">
        <v>6224</v>
      </c>
      <c r="L49" s="373"/>
      <c r="M49" s="117" t="s">
        <v>5841</v>
      </c>
      <c r="N49" s="117" t="s">
        <v>5972</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6225</v>
      </c>
      <c r="AA49" s="368"/>
      <c r="AB49" s="309" t="s">
        <v>5842</v>
      </c>
      <c r="AC49" s="309" t="s">
        <v>5973</v>
      </c>
      <c r="AD49" s="121"/>
      <c r="AE49" s="372" t="str">
        <f>IFERROR(__xludf.DUMMYFUNCTION("GOOGLETRANSLATE(A49,""zh-tw"",""ru"")"),"Водяной монстр, строганный лед")</f>
        <v>Водяной монстр, строганный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8"/>
      <c r="AL49" s="117" t="s">
        <v>5844</v>
      </c>
      <c r="AM49" s="117" t="s">
        <v>5975</v>
      </c>
      <c r="AN49" s="121"/>
      <c r="AO49" s="139" t="s">
        <v>6227</v>
      </c>
      <c r="AP49" s="182"/>
      <c r="AQ49" s="176" t="s">
        <v>5846</v>
      </c>
      <c r="AR49" s="176" t="s">
        <v>5977</v>
      </c>
      <c r="AS49" s="141"/>
    </row>
    <row r="50">
      <c r="A50" s="372" t="s">
        <v>6228</v>
      </c>
      <c r="B50" s="169" t="s">
        <v>6229</v>
      </c>
      <c r="C50" s="114" t="s">
        <v>5837</v>
      </c>
      <c r="D50" s="114" t="s">
        <v>5968</v>
      </c>
      <c r="E50" s="114" t="s">
        <v>6230</v>
      </c>
      <c r="F50" s="372" t="s">
        <v>6231</v>
      </c>
      <c r="G50" s="169" t="s">
        <v>6232</v>
      </c>
      <c r="H50" s="114" t="s">
        <v>5839</v>
      </c>
      <c r="I50" s="114" t="s">
        <v>5970</v>
      </c>
      <c r="J50" s="114" t="s">
        <v>6233</v>
      </c>
      <c r="K50" s="374" t="s">
        <v>6234</v>
      </c>
      <c r="L50" s="169" t="s">
        <v>6235</v>
      </c>
      <c r="M50" s="117" t="s">
        <v>5841</v>
      </c>
      <c r="N50" s="117" t="s">
        <v>5972</v>
      </c>
      <c r="O50" s="117" t="s">
        <v>6236</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0" t="s">
        <v>6238</v>
      </c>
      <c r="AB50" s="117" t="s">
        <v>5842</v>
      </c>
      <c r="AC50" s="309" t="s">
        <v>5973</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8" t="s">
        <v>757</v>
      </c>
      <c r="AL50" s="117" t="s">
        <v>5844</v>
      </c>
      <c r="AM50" s="117" t="s">
        <v>5975</v>
      </c>
      <c r="AN50" s="121" t="str">
        <f>IFERROR(__xludf.DUMMYFUNCTION("GOOGLETRANSLATE(E50,""zh-tw"",""de"")"),"Tomate/Paprika")</f>
        <v>Tomate/Paprika</v>
      </c>
      <c r="AO50" s="139" t="s">
        <v>6240</v>
      </c>
      <c r="AP50" s="381" t="s">
        <v>6241</v>
      </c>
      <c r="AQ50" s="176" t="s">
        <v>5846</v>
      </c>
      <c r="AR50" s="176" t="s">
        <v>5977</v>
      </c>
      <c r="AS50" s="176" t="s">
        <v>6242</v>
      </c>
    </row>
    <row r="51">
      <c r="A51" s="372" t="s">
        <v>6243</v>
      </c>
      <c r="B51" s="373"/>
      <c r="C51" s="114" t="s">
        <v>5865</v>
      </c>
      <c r="D51" s="127"/>
      <c r="E51" s="127"/>
      <c r="F51" s="372" t="s">
        <v>6244</v>
      </c>
      <c r="G51" s="373"/>
      <c r="H51" s="114" t="s">
        <v>5868</v>
      </c>
      <c r="I51" s="127"/>
      <c r="J51" s="127"/>
      <c r="K51" s="374" t="s">
        <v>6245</v>
      </c>
      <c r="L51" s="373"/>
      <c r="M51" s="117" t="s">
        <v>5871</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6246</v>
      </c>
      <c r="AK51" s="368"/>
      <c r="AL51" s="117" t="s">
        <v>5874</v>
      </c>
      <c r="AM51" s="121"/>
      <c r="AN51" s="121"/>
      <c r="AO51" s="139" t="s">
        <v>6247</v>
      </c>
      <c r="AP51" s="182"/>
      <c r="AQ51" s="176" t="s">
        <v>5877</v>
      </c>
      <c r="AR51" s="141"/>
      <c r="AS51" s="141"/>
    </row>
    <row r="52">
      <c r="A52" s="372" t="s">
        <v>6248</v>
      </c>
      <c r="B52" s="373"/>
      <c r="C52" s="114" t="s">
        <v>4039</v>
      </c>
      <c r="D52" s="114" t="s">
        <v>5865</v>
      </c>
      <c r="E52" s="127"/>
      <c r="F52" s="372" t="s">
        <v>6249</v>
      </c>
      <c r="G52" s="373"/>
      <c r="H52" s="114" t="s">
        <v>6250</v>
      </c>
      <c r="I52" s="114" t="s">
        <v>5868</v>
      </c>
      <c r="J52" s="127"/>
      <c r="K52" s="374" t="s">
        <v>6251</v>
      </c>
      <c r="L52" s="373"/>
      <c r="M52" s="117" t="s">
        <v>4041</v>
      </c>
      <c r="N52" s="117" t="s">
        <v>5871</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8"/>
      <c r="AL52" s="117" t="s">
        <v>6253</v>
      </c>
      <c r="AM52" s="117" t="s">
        <v>5874</v>
      </c>
      <c r="AN52" s="121"/>
      <c r="AO52" s="139" t="s">
        <v>6254</v>
      </c>
      <c r="AP52" s="182"/>
      <c r="AQ52" s="176" t="s">
        <v>4047</v>
      </c>
      <c r="AR52" s="176" t="s">
        <v>5877</v>
      </c>
      <c r="AS52" s="141"/>
    </row>
    <row r="53">
      <c r="A53" s="372" t="s">
        <v>6255</v>
      </c>
      <c r="B53" s="373"/>
      <c r="C53" s="114" t="s">
        <v>4058</v>
      </c>
      <c r="D53" s="127"/>
      <c r="E53" s="127"/>
      <c r="F53" s="372" t="s">
        <v>6256</v>
      </c>
      <c r="G53" s="373"/>
      <c r="H53" s="114" t="s">
        <v>6104</v>
      </c>
      <c r="I53" s="127"/>
      <c r="J53" s="127"/>
      <c r="K53" s="374" t="s">
        <v>6257</v>
      </c>
      <c r="L53" s="373"/>
      <c r="M53" s="117" t="s">
        <v>4060</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6258</v>
      </c>
      <c r="AK53" s="368"/>
      <c r="AL53" s="117" t="s">
        <v>6108</v>
      </c>
      <c r="AM53" s="121"/>
      <c r="AN53" s="121"/>
      <c r="AO53" s="139" t="s">
        <v>6259</v>
      </c>
      <c r="AP53" s="182"/>
      <c r="AQ53" s="176" t="s">
        <v>4056</v>
      </c>
      <c r="AR53" s="141"/>
      <c r="AS53" s="141"/>
    </row>
    <row r="54">
      <c r="A54" s="372" t="s">
        <v>4039</v>
      </c>
      <c r="B54" s="373"/>
      <c r="C54" s="114" t="s">
        <v>4039</v>
      </c>
      <c r="D54" s="127"/>
      <c r="E54" s="127"/>
      <c r="F54" s="372" t="s">
        <v>6260</v>
      </c>
      <c r="G54" s="373"/>
      <c r="H54" s="114" t="s">
        <v>6250</v>
      </c>
      <c r="I54" s="127"/>
      <c r="J54" s="127"/>
      <c r="K54" s="374" t="s">
        <v>4041</v>
      </c>
      <c r="L54" s="373"/>
      <c r="M54" s="117" t="s">
        <v>4041</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6253</v>
      </c>
      <c r="AK54" s="368"/>
      <c r="AL54" s="117" t="s">
        <v>6253</v>
      </c>
      <c r="AM54" s="121"/>
      <c r="AN54" s="121"/>
      <c r="AO54" s="139" t="s">
        <v>4047</v>
      </c>
      <c r="AP54" s="182"/>
      <c r="AQ54" s="176" t="s">
        <v>4047</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383" t="s">
        <v>6262</v>
      </c>
      <c r="AK1" s="57"/>
      <c r="AL1" s="57"/>
      <c r="AM1" s="57"/>
    </row>
    <row r="2" ht="45.0" customHeight="1">
      <c r="AK2" s="57"/>
      <c r="AL2" s="57"/>
      <c r="AM2" s="57"/>
    </row>
    <row r="3" ht="55.5" customHeight="1">
      <c r="A3" s="384" t="s">
        <v>6263</v>
      </c>
      <c r="B3" s="14" t="s">
        <v>6264</v>
      </c>
      <c r="C3" s="301" t="s">
        <v>6265</v>
      </c>
      <c r="D3" s="159" t="s">
        <v>6266</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6267</v>
      </c>
      <c r="J3" s="14" t="s">
        <v>6268</v>
      </c>
      <c r="K3" s="301" t="s">
        <v>6269</v>
      </c>
      <c r="L3" s="159" t="s">
        <v>6270</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6271</v>
      </c>
      <c r="AH3" s="302" t="s">
        <v>6272</v>
      </c>
      <c r="AI3" s="386" t="s">
        <v>6273</v>
      </c>
      <c r="AJ3" s="387" t="s">
        <v>3702</v>
      </c>
      <c r="AK3" s="159"/>
      <c r="AL3" s="159"/>
      <c r="AM3" s="159"/>
    </row>
    <row r="4" ht="26.25" customHeight="1">
      <c r="A4" s="126" t="s">
        <v>6274</v>
      </c>
      <c r="B4" s="309" t="s">
        <v>6275</v>
      </c>
      <c r="C4" s="311" t="s">
        <v>723</v>
      </c>
      <c r="D4" s="388" t="s">
        <v>6276</v>
      </c>
      <c r="E4" s="126" t="s">
        <v>6277</v>
      </c>
      <c r="F4" s="307" t="str">
        <f>IFERROR(__xludf.DUMMYFUNCTION("GOOGLETRANSLATE(B4,""zh-tw"",""ja"")"),"少し落ち着かない気分")</f>
        <v>少し落ち着かない気分</v>
      </c>
      <c r="G4" s="308" t="str">
        <f>IFERROR(__xludf.DUMMYFUNCTION("GOOGLETRANSLATE(C4,""zh-tw"",""ja"")"),"-")</f>
        <v>-</v>
      </c>
      <c r="H4" s="388" t="s">
        <v>6278</v>
      </c>
      <c r="I4" s="126" t="s">
        <v>6279</v>
      </c>
      <c r="J4" s="309" t="s">
        <v>6280</v>
      </c>
      <c r="K4" s="308" t="str">
        <f>IFERROR(__xludf.DUMMYFUNCTION("GOOGLETRANSLATE(C4,""zh-tw"",""en"")"),"-")</f>
        <v>-</v>
      </c>
      <c r="L4" s="388" t="s">
        <v>6281</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6282</v>
      </c>
      <c r="AH4" s="123" t="s">
        <v>6283</v>
      </c>
      <c r="AI4" s="312" t="s">
        <v>723</v>
      </c>
      <c r="AJ4" s="177" t="s">
        <v>6284</v>
      </c>
      <c r="AK4" s="388"/>
      <c r="AL4" s="388"/>
      <c r="AM4" s="388"/>
    </row>
    <row r="5" ht="26.25" customHeight="1">
      <c r="A5" s="126" t="s">
        <v>6274</v>
      </c>
      <c r="B5" s="309" t="s">
        <v>6285</v>
      </c>
      <c r="C5" s="311" t="s">
        <v>723</v>
      </c>
      <c r="D5" s="388" t="s">
        <v>6286</v>
      </c>
      <c r="E5" s="126" t="s">
        <v>6277</v>
      </c>
      <c r="F5" s="307" t="str">
        <f>IFERROR(__xludf.DUMMYFUNCTION("GOOGLETRANSLATE(B5,""zh-tw"",""ja"")"),"全身が何らかの刺激を求めている")</f>
        <v>全身が何らかの刺激を求めている</v>
      </c>
      <c r="G5" s="311" t="s">
        <v>723</v>
      </c>
      <c r="H5" s="388" t="s">
        <v>6287</v>
      </c>
      <c r="I5" s="126" t="s">
        <v>6279</v>
      </c>
      <c r="J5" s="309" t="s">
        <v>6288</v>
      </c>
      <c r="K5" s="311" t="s">
        <v>723</v>
      </c>
      <c r="L5" s="388" t="s">
        <v>6289</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6282</v>
      </c>
      <c r="AH5" s="123" t="s">
        <v>6290</v>
      </c>
      <c r="AI5" s="312" t="s">
        <v>723</v>
      </c>
      <c r="AJ5" s="177" t="s">
        <v>6291</v>
      </c>
      <c r="AK5" s="388"/>
      <c r="AL5" s="388"/>
      <c r="AM5" s="388"/>
    </row>
    <row r="6" ht="26.25" customHeight="1">
      <c r="A6" s="126" t="s">
        <v>6274</v>
      </c>
      <c r="B6" s="309" t="s">
        <v>6292</v>
      </c>
      <c r="C6" s="311" t="s">
        <v>723</v>
      </c>
      <c r="D6" s="388" t="s">
        <v>6293</v>
      </c>
      <c r="E6" s="126" t="s">
        <v>6277</v>
      </c>
      <c r="F6" s="307" t="str">
        <f>IFERROR(__xludf.DUMMYFUNCTION("GOOGLETRANSLATE(B6,""zh-tw"",""ja"")"),"もう自分をコントロールできない")</f>
        <v>もう自分をコントロールできない</v>
      </c>
      <c r="G6" s="311" t="s">
        <v>723</v>
      </c>
      <c r="H6" s="388" t="s">
        <v>6294</v>
      </c>
      <c r="I6" s="126" t="s">
        <v>6279</v>
      </c>
      <c r="J6" s="309" t="s">
        <v>6295</v>
      </c>
      <c r="K6" s="311" t="s">
        <v>723</v>
      </c>
      <c r="L6" s="388" t="s">
        <v>6296</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6282</v>
      </c>
      <c r="AH6" s="123" t="s">
        <v>6297</v>
      </c>
      <c r="AI6" s="312" t="s">
        <v>723</v>
      </c>
      <c r="AJ6" s="177" t="s">
        <v>6298</v>
      </c>
      <c r="AK6" s="388"/>
      <c r="AL6" s="388"/>
      <c r="AM6" s="388"/>
    </row>
    <row r="7">
      <c r="A7" s="126" t="s">
        <v>6299</v>
      </c>
      <c r="B7" s="309" t="s">
        <v>6300</v>
      </c>
      <c r="C7" s="311" t="s">
        <v>6301</v>
      </c>
      <c r="D7" s="388" t="s">
        <v>6302</v>
      </c>
      <c r="E7" s="126" t="s">
        <v>6303</v>
      </c>
      <c r="F7" s="307" t="str">
        <f>IFERROR(__xludf.DUMMYFUNCTION("GOOGLETRANSLATE(B7,""zh-tw"",""ja"")"),"うおおおおおおおお……！")</f>
        <v>うおおおおおおおお……！</v>
      </c>
      <c r="G7" s="311" t="s">
        <v>6304</v>
      </c>
      <c r="H7" s="388" t="s">
        <v>6305</v>
      </c>
      <c r="I7" s="126" t="s">
        <v>6306</v>
      </c>
      <c r="J7" s="309" t="s">
        <v>6307</v>
      </c>
      <c r="K7" s="311" t="s">
        <v>6308</v>
      </c>
      <c r="L7" s="388" t="s">
        <v>6309</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6306</v>
      </c>
      <c r="AH7" s="123" t="s">
        <v>6307</v>
      </c>
      <c r="AI7" s="312" t="s">
        <v>6310</v>
      </c>
      <c r="AJ7" s="177" t="s">
        <v>6311</v>
      </c>
      <c r="AK7" s="388"/>
      <c r="AL7" s="388"/>
      <c r="AM7" s="388"/>
    </row>
    <row r="8">
      <c r="A8" s="126" t="s">
        <v>6312</v>
      </c>
      <c r="B8" s="309" t="s">
        <v>6313</v>
      </c>
      <c r="C8" s="311" t="s">
        <v>6314</v>
      </c>
      <c r="D8" s="388" t="s">
        <v>6315</v>
      </c>
      <c r="E8" s="126" t="s">
        <v>6316</v>
      </c>
      <c r="F8" s="309" t="s">
        <v>6317</v>
      </c>
      <c r="G8" s="308" t="str">
        <f>IFERROR(__xludf.DUMMYFUNCTION("GOOGLETRANSLATE(C8,""zh-tw"",""ja"")"),"賢者モードに入り、すべての属性が上昇しました")</f>
        <v>賢者モードに入り、すべての属性が上昇しました</v>
      </c>
      <c r="H8" s="388" t="s">
        <v>6318</v>
      </c>
      <c r="I8" s="126" t="s">
        <v>6319</v>
      </c>
      <c r="J8" s="309" t="s">
        <v>6320</v>
      </c>
      <c r="K8" s="311" t="s">
        <v>6321</v>
      </c>
      <c r="L8" s="388" t="s">
        <v>6322</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6323</v>
      </c>
      <c r="AH8" s="123" t="s">
        <v>6324</v>
      </c>
      <c r="AI8" s="312" t="s">
        <v>6325</v>
      </c>
      <c r="AJ8" s="177" t="s">
        <v>6326</v>
      </c>
      <c r="AK8" s="388"/>
      <c r="AL8" s="388"/>
      <c r="AM8" s="388"/>
    </row>
    <row r="9">
      <c r="A9" s="126" t="s">
        <v>6327</v>
      </c>
      <c r="B9" s="309" t="s">
        <v>723</v>
      </c>
      <c r="C9" s="311" t="s">
        <v>6328</v>
      </c>
      <c r="D9" s="388" t="s">
        <v>6329</v>
      </c>
      <c r="E9" s="306" t="str">
        <f>IFERROR(__xludf.DUMMYFUNCTION("GOOGLETRANSLATE(A9,""zh-tw"",""ja"")"),"集中")</f>
        <v>集中</v>
      </c>
      <c r="F9" s="307" t="str">
        <f>IFERROR(__xludf.DUMMYFUNCTION("GOOGLETRANSLATE(B9,""zh-tw"",""ja"")"),"-")</f>
        <v>-</v>
      </c>
      <c r="G9" s="311" t="s">
        <v>6330</v>
      </c>
      <c r="H9" s="388" t="s">
        <v>6331</v>
      </c>
      <c r="I9" s="126" t="s">
        <v>6332</v>
      </c>
      <c r="J9" s="307" t="str">
        <f>IFERROR(__xludf.DUMMYFUNCTION("GOOGLETRANSLATE(B9,""zh-tw"",""en"")"),"-")</f>
        <v>-</v>
      </c>
      <c r="K9" s="311" t="s">
        <v>6333</v>
      </c>
      <c r="L9" s="388" t="s">
        <v>6334</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6335</v>
      </c>
      <c r="AH9" s="123" t="s">
        <v>723</v>
      </c>
      <c r="AI9" s="312" t="s">
        <v>6336</v>
      </c>
      <c r="AJ9" s="177" t="s">
        <v>6337</v>
      </c>
      <c r="AK9" s="388"/>
      <c r="AL9" s="388"/>
      <c r="AM9" s="388"/>
    </row>
    <row r="10">
      <c r="A10" s="126" t="s">
        <v>6338</v>
      </c>
      <c r="B10" s="309" t="s">
        <v>6339</v>
      </c>
      <c r="C10" s="311" t="s">
        <v>723</v>
      </c>
      <c r="D10" s="388" t="s">
        <v>6340</v>
      </c>
      <c r="E10" s="126" t="s">
        <v>6341</v>
      </c>
      <c r="F10" s="309" t="s">
        <v>6342</v>
      </c>
      <c r="G10" s="308" t="str">
        <f>IFERROR(__xludf.DUMMYFUNCTION("GOOGLETRANSLATE(C10,""zh-tw"",""ja"")"),"-")</f>
        <v>-</v>
      </c>
      <c r="H10" s="388" t="s">
        <v>6343</v>
      </c>
      <c r="I10" s="126" t="s">
        <v>6344</v>
      </c>
      <c r="J10" s="309" t="s">
        <v>6345</v>
      </c>
      <c r="K10" s="308" t="str">
        <f>IFERROR(__xludf.DUMMYFUNCTION("GOOGLETRANSLATE(C10,""zh-tw"",""en"")"),"-")</f>
        <v>-</v>
      </c>
      <c r="L10" s="388" t="s">
        <v>6346</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6344</v>
      </c>
      <c r="AH10" s="123" t="s">
        <v>6347</v>
      </c>
      <c r="AI10" s="312" t="s">
        <v>723</v>
      </c>
      <c r="AJ10" s="177" t="s">
        <v>6348</v>
      </c>
      <c r="AK10" s="388"/>
      <c r="AL10" s="388"/>
      <c r="AM10" s="388"/>
    </row>
    <row r="11">
      <c r="A11" s="126" t="s">
        <v>6349</v>
      </c>
      <c r="B11" s="309" t="s">
        <v>723</v>
      </c>
      <c r="C11" s="311" t="s">
        <v>6350</v>
      </c>
      <c r="D11" s="388" t="s">
        <v>6351</v>
      </c>
      <c r="E11" s="126" t="s">
        <v>6352</v>
      </c>
      <c r="F11" s="307" t="str">
        <f>IFERROR(__xludf.DUMMYFUNCTION("GOOGLETRANSLATE(B11,""zh-tw"",""ja"")"),"-")</f>
        <v>-</v>
      </c>
      <c r="G11" s="311" t="s">
        <v>6353</v>
      </c>
      <c r="H11" s="388" t="s">
        <v>6354</v>
      </c>
      <c r="I11" s="126" t="s">
        <v>6355</v>
      </c>
      <c r="J11" s="307" t="str">
        <f>IFERROR(__xludf.DUMMYFUNCTION("GOOGLETRANSLATE(B11,""zh-tw"",""en"")"),"-")</f>
        <v>-</v>
      </c>
      <c r="K11" s="311" t="s">
        <v>6356</v>
      </c>
      <c r="L11" s="388" t="s">
        <v>6357</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6358</v>
      </c>
      <c r="AH11" s="123" t="s">
        <v>723</v>
      </c>
      <c r="AI11" s="312" t="s">
        <v>6359</v>
      </c>
      <c r="AJ11" s="177" t="s">
        <v>6360</v>
      </c>
      <c r="AK11" s="388"/>
      <c r="AL11" s="388"/>
      <c r="AM11" s="388"/>
    </row>
    <row r="12">
      <c r="A12" s="126" t="s">
        <v>6361</v>
      </c>
      <c r="B12" s="309" t="s">
        <v>723</v>
      </c>
      <c r="C12" s="311" t="s">
        <v>6362</v>
      </c>
      <c r="D12" s="388" t="s">
        <v>6363</v>
      </c>
      <c r="E12" s="126" t="s">
        <v>6364</v>
      </c>
      <c r="F12" s="307" t="str">
        <f>IFERROR(__xludf.DUMMYFUNCTION("GOOGLETRANSLATE(B12,""zh-tw"",""ja"")"),"-")</f>
        <v>-</v>
      </c>
      <c r="G12" s="311" t="s">
        <v>6365</v>
      </c>
      <c r="H12" s="388" t="s">
        <v>6366</v>
      </c>
      <c r="I12" s="126" t="s">
        <v>6367</v>
      </c>
      <c r="J12" s="307" t="str">
        <f>IFERROR(__xludf.DUMMYFUNCTION("GOOGLETRANSLATE(B12,""zh-tw"",""en"")"),"-")</f>
        <v>-</v>
      </c>
      <c r="K12" s="311" t="s">
        <v>6368</v>
      </c>
      <c r="L12" s="388" t="s">
        <v>6369</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6370</v>
      </c>
      <c r="AH12" s="123" t="s">
        <v>723</v>
      </c>
      <c r="AI12" s="312" t="s">
        <v>6371</v>
      </c>
      <c r="AJ12" s="177" t="s">
        <v>6372</v>
      </c>
      <c r="AK12" s="388"/>
      <c r="AL12" s="388"/>
      <c r="AM12" s="388"/>
    </row>
    <row r="13">
      <c r="A13" s="126" t="s">
        <v>6373</v>
      </c>
      <c r="B13" s="309" t="s">
        <v>723</v>
      </c>
      <c r="C13" s="311" t="s">
        <v>6374</v>
      </c>
      <c r="D13" s="388" t="s">
        <v>6375</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6376</v>
      </c>
      <c r="J13" s="307" t="str">
        <f>IFERROR(__xludf.DUMMYFUNCTION("GOOGLETRANSLATE(B13,""zh-tw"",""en"")"),"-")</f>
        <v>-</v>
      </c>
      <c r="K13" s="311" t="s">
        <v>6377</v>
      </c>
      <c r="L13" s="388" t="s">
        <v>6378</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IFERROR(__xludf.DUMMYFUNCTION("GOOGLETRANSLATE(C13,""zh-tw"",""RU"")"),"Волшебное пение")</f>
        <v>Волшебное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IFERROR(__xludf.DUMMYFUNCTION("GOOGLETRANSLATE(C13,""zh-tw"",""DE"")"),"Magisches Singen")</f>
        <v>Magisches Singen</v>
      </c>
      <c r="AF13" s="389" t="str">
        <f>IFERROR(__xludf.DUMMYFUNCTION("GOOGLETRANSLATE(D13,""zh-tw"",""DE"")"),"Rechte Maustaste für Stabwaffe")</f>
        <v>Rechte Maustaste für Stabwaffe</v>
      </c>
      <c r="AG13" s="94" t="s">
        <v>6379</v>
      </c>
      <c r="AH13" s="123" t="s">
        <v>723</v>
      </c>
      <c r="AI13" s="312" t="s">
        <v>6380</v>
      </c>
      <c r="AJ13" s="177" t="s">
        <v>6381</v>
      </c>
      <c r="AK13" s="388"/>
      <c r="AL13" s="388"/>
      <c r="AM13" s="388"/>
    </row>
    <row r="14">
      <c r="A14" s="126" t="s">
        <v>6382</v>
      </c>
      <c r="B14" s="309" t="s">
        <v>6383</v>
      </c>
      <c r="C14" s="311" t="s">
        <v>6384</v>
      </c>
      <c r="D14" s="388" t="s">
        <v>6385</v>
      </c>
      <c r="E14" s="126" t="s">
        <v>6382</v>
      </c>
      <c r="F14" s="309" t="s">
        <v>6386</v>
      </c>
      <c r="G14" s="311" t="s">
        <v>6387</v>
      </c>
      <c r="H14" s="388" t="s">
        <v>6388</v>
      </c>
      <c r="I14" s="126" t="s">
        <v>6389</v>
      </c>
      <c r="J14" s="309" t="s">
        <v>6390</v>
      </c>
      <c r="K14" s="311" t="s">
        <v>6391</v>
      </c>
      <c r="L14" s="388" t="s">
        <v>6392</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6393</v>
      </c>
      <c r="AH14" s="123" t="s">
        <v>6394</v>
      </c>
      <c r="AI14" s="312" t="s">
        <v>6395</v>
      </c>
      <c r="AJ14" s="177" t="s">
        <v>6396</v>
      </c>
      <c r="AK14" s="388"/>
      <c r="AL14" s="388"/>
      <c r="AM14" s="388"/>
    </row>
    <row r="15">
      <c r="A15" s="126" t="s">
        <v>6397</v>
      </c>
      <c r="B15" s="309" t="s">
        <v>6398</v>
      </c>
      <c r="C15" s="311" t="s">
        <v>6399</v>
      </c>
      <c r="D15" s="388" t="s">
        <v>6400</v>
      </c>
      <c r="E15" s="306" t="str">
        <f>IFERROR(__xludf.DUMMYFUNCTION("GOOGLETRANSLATE(A15,""zh-tw"",""ja"")"),"出血")</f>
        <v>出血</v>
      </c>
      <c r="F15" s="309" t="s">
        <v>6401</v>
      </c>
      <c r="G15" s="308" t="str">
        <f>IFERROR(__xludf.DUMMYFUNCTION("GOOGLETRANSLATE(C15,""zh-tw"",""ja"")"),"最大スタミナに応じてダメージを受ける")</f>
        <v>最大スタミナに応じてダメージを受ける</v>
      </c>
      <c r="H15" s="388" t="s">
        <v>6402</v>
      </c>
      <c r="I15" s="306" t="str">
        <f>IFERROR(__xludf.DUMMYFUNCTION("GOOGLETRANSLATE(A15,""zh-tw"",""en"")"),"Bleeding")</f>
        <v>Bleeding</v>
      </c>
      <c r="J15" s="309" t="s">
        <v>6403</v>
      </c>
      <c r="K15" s="311" t="s">
        <v>6404</v>
      </c>
      <c r="L15" s="388" t="s">
        <v>6405</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6406</v>
      </c>
      <c r="AH15" s="123" t="s">
        <v>6407</v>
      </c>
      <c r="AI15" s="312" t="s">
        <v>6408</v>
      </c>
      <c r="AJ15" s="177" t="s">
        <v>6409</v>
      </c>
      <c r="AK15" s="388"/>
      <c r="AL15" s="388"/>
      <c r="AM15" s="388"/>
    </row>
    <row r="16">
      <c r="A16" s="126" t="s">
        <v>6410</v>
      </c>
      <c r="B16" s="309" t="s">
        <v>6411</v>
      </c>
      <c r="C16" s="311" t="s">
        <v>6412</v>
      </c>
      <c r="D16" s="388" t="s">
        <v>6413</v>
      </c>
      <c r="E16" s="126" t="s">
        <v>6414</v>
      </c>
      <c r="F16" s="307" t="str">
        <f>IFERROR(__xludf.DUMMYFUNCTION("GOOGLETRANSLATE(B16,""zh-tw"",""ja"")"),"見てください、この男は雷に打たれました！")</f>
        <v>見てください、この男は雷に打たれました！</v>
      </c>
      <c r="G16" s="311" t="s">
        <v>6415</v>
      </c>
      <c r="H16" s="388" t="s">
        <v>6416</v>
      </c>
      <c r="I16" s="126" t="s">
        <v>6417</v>
      </c>
      <c r="J16" s="309" t="s">
        <v>6418</v>
      </c>
      <c r="K16" s="311" t="s">
        <v>6419</v>
      </c>
      <c r="L16" s="388" t="s">
        <v>6420</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6421</v>
      </c>
      <c r="AH16" s="123" t="s">
        <v>6422</v>
      </c>
      <c r="AI16" s="312" t="s">
        <v>6423</v>
      </c>
      <c r="AJ16" s="177" t="s">
        <v>6424</v>
      </c>
      <c r="AK16" s="388"/>
      <c r="AL16" s="388"/>
      <c r="AM16" s="388"/>
    </row>
    <row r="17">
      <c r="A17" s="126" t="s">
        <v>6425</v>
      </c>
      <c r="B17" s="309" t="s">
        <v>6426</v>
      </c>
      <c r="C17" s="311" t="s">
        <v>6427</v>
      </c>
      <c r="D17" s="388" t="s">
        <v>6428</v>
      </c>
      <c r="E17" s="126" t="s">
        <v>6425</v>
      </c>
      <c r="F17" s="307" t="str">
        <f>IFERROR(__xludf.DUMMYFUNCTION("GOOGLETRANSLATE(B17,""zh-tw"",""ja"")"),"暑い、暑い、暑い——！")</f>
        <v>暑い、暑い、暑い——！</v>
      </c>
      <c r="G17" s="311" t="s">
        <v>6429</v>
      </c>
      <c r="H17" s="388" t="s">
        <v>6430</v>
      </c>
      <c r="I17" s="126" t="s">
        <v>6431</v>
      </c>
      <c r="J17" s="309" t="s">
        <v>6432</v>
      </c>
      <c r="K17" s="311" t="s">
        <v>6433</v>
      </c>
      <c r="L17" s="388" t="s">
        <v>6434</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6435</v>
      </c>
      <c r="AH17" s="123" t="s">
        <v>6436</v>
      </c>
      <c r="AI17" s="312" t="s">
        <v>6437</v>
      </c>
      <c r="AJ17" s="177" t="s">
        <v>6438</v>
      </c>
      <c r="AK17" s="388"/>
      <c r="AL17" s="388"/>
      <c r="AM17" s="388"/>
    </row>
    <row r="18">
      <c r="A18" s="126" t="s">
        <v>6439</v>
      </c>
      <c r="B18" s="309" t="s">
        <v>6440</v>
      </c>
      <c r="C18" s="311" t="s">
        <v>6441</v>
      </c>
      <c r="D18" s="388" t="s">
        <v>3745</v>
      </c>
      <c r="E18" s="126" t="s">
        <v>6442</v>
      </c>
      <c r="F18" s="307" t="str">
        <f>IFERROR(__xludf.DUMMYFUNCTION("GOOGLETRANSLATE(B18,""zh-tw"",""ja"")"),"アイスキャンディーに変身！")</f>
        <v>アイスキャンディーに変身！</v>
      </c>
      <c r="G18" s="311" t="s">
        <v>6443</v>
      </c>
      <c r="H18" s="388" t="s">
        <v>6444</v>
      </c>
      <c r="I18" s="126" t="s">
        <v>6445</v>
      </c>
      <c r="J18" s="309" t="s">
        <v>6446</v>
      </c>
      <c r="K18" s="311" t="s">
        <v>6447</v>
      </c>
      <c r="L18" s="388" t="s">
        <v>3749</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6448</v>
      </c>
      <c r="AH18" s="123" t="s">
        <v>6449</v>
      </c>
      <c r="AI18" s="312" t="s">
        <v>6450</v>
      </c>
      <c r="AJ18" s="177" t="s">
        <v>3755</v>
      </c>
      <c r="AK18" s="388"/>
      <c r="AL18" s="388"/>
      <c r="AM18" s="388"/>
    </row>
    <row r="19">
      <c r="A19" s="126" t="s">
        <v>6451</v>
      </c>
      <c r="B19" s="309" t="s">
        <v>6452</v>
      </c>
      <c r="C19" s="311" t="s">
        <v>6453</v>
      </c>
      <c r="D19" s="388" t="s">
        <v>6454</v>
      </c>
      <c r="E19" s="126" t="s">
        <v>6455</v>
      </c>
      <c r="F19" s="307" t="str">
        <f>IFERROR(__xludf.DUMMYFUNCTION("GOOGLETRANSLATE(B19,""zh-tw"",""ja"")"),"ふふ、逆らうとこうなるのね～♡")</f>
        <v>ふふ、逆らうとこうなるのね～♡</v>
      </c>
      <c r="G19" s="311" t="s">
        <v>6456</v>
      </c>
      <c r="H19" s="389" t="str">
        <f>IFERROR(__xludf.DUMMYFUNCTION("GOOGLETRANSLATE(D19,""zh-tw"",""ja"")"),"ミステリーショップは魚をくれない")</f>
        <v>ミステリーショップは魚をくれない</v>
      </c>
      <c r="I19" s="126" t="s">
        <v>6457</v>
      </c>
      <c r="J19" s="309" t="s">
        <v>6458</v>
      </c>
      <c r="K19" s="311" t="s">
        <v>6459</v>
      </c>
      <c r="L19" s="388" t="s">
        <v>6460</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IFERROR(__xludf.DUMMYFUNCTION("GOOGLETRANSLATE(D19,""zh-tw"",""RU"")"),"«Тайный магазин не даёт рыбу»")</f>
        <v>«Тайный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6461</v>
      </c>
      <c r="AH19" s="123" t="s">
        <v>6462</v>
      </c>
      <c r="AI19" s="312" t="s">
        <v>6463</v>
      </c>
      <c r="AJ19" s="177" t="s">
        <v>6464</v>
      </c>
      <c r="AK19" s="388"/>
      <c r="AL19" s="388"/>
      <c r="AM19" s="388"/>
    </row>
    <row r="20">
      <c r="A20" s="126" t="s">
        <v>6465</v>
      </c>
      <c r="B20" s="309" t="s">
        <v>6466</v>
      </c>
      <c r="C20" s="311" t="s">
        <v>6467</v>
      </c>
      <c r="D20" s="388" t="s">
        <v>6468</v>
      </c>
      <c r="E20" s="126" t="s">
        <v>6469</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6470</v>
      </c>
      <c r="J20" s="309" t="s">
        <v>6471</v>
      </c>
      <c r="K20" s="311" t="s">
        <v>6472</v>
      </c>
      <c r="L20" s="388" t="s">
        <v>6473</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6474</v>
      </c>
      <c r="AH20" s="123" t="s">
        <v>6475</v>
      </c>
      <c r="AI20" s="312" t="s">
        <v>6476</v>
      </c>
      <c r="AJ20" s="177" t="s">
        <v>6477</v>
      </c>
      <c r="AK20" s="388"/>
      <c r="AL20" s="388"/>
      <c r="AM20" s="388"/>
    </row>
    <row r="21">
      <c r="A21" s="126" t="s">
        <v>6478</v>
      </c>
      <c r="B21" s="309" t="s">
        <v>6479</v>
      </c>
      <c r="C21" s="311" t="s">
        <v>6480</v>
      </c>
      <c r="D21" s="388" t="s">
        <v>6481</v>
      </c>
      <c r="E21" s="126" t="s">
        <v>6482</v>
      </c>
      <c r="F21" s="309" t="s">
        <v>6483</v>
      </c>
      <c r="G21" s="311" t="s">
        <v>6484</v>
      </c>
      <c r="H21" s="389" t="str">
        <f>IFERROR(__xludf.DUMMYFUNCTION("GOOGLETRANSLATE(D21,""zh-tw"",""ja"")"),"妹にいたずらをして怒る")</f>
        <v>妹にいたずらをして怒る</v>
      </c>
      <c r="I21" s="126" t="s">
        <v>6485</v>
      </c>
      <c r="J21" s="309" t="s">
        <v>6486</v>
      </c>
      <c r="K21" s="311" t="s">
        <v>6487</v>
      </c>
      <c r="L21" s="388" t="s">
        <v>6488</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6489</v>
      </c>
      <c r="AH21" s="123" t="s">
        <v>6490</v>
      </c>
      <c r="AI21" s="312" t="s">
        <v>6489</v>
      </c>
      <c r="AJ21" s="177" t="s">
        <v>6491</v>
      </c>
      <c r="AK21" s="388"/>
      <c r="AL21" s="388"/>
      <c r="AM21" s="388"/>
    </row>
    <row r="22">
      <c r="A22" s="126" t="s">
        <v>6492</v>
      </c>
      <c r="B22" s="309" t="s">
        <v>6479</v>
      </c>
      <c r="C22" s="311" t="s">
        <v>6493</v>
      </c>
      <c r="D22" s="388" t="s">
        <v>6481</v>
      </c>
      <c r="E22" s="126" t="s">
        <v>6494</v>
      </c>
      <c r="F22" s="309" t="s">
        <v>6483</v>
      </c>
      <c r="G22" s="308" t="str">
        <f>IFERROR(__xludf.DUMMYFUNCTION("GOOGLETRANSLATE(C22,""zh-tw"",""ja"")"),"肉料理の調理")</f>
        <v>肉料理の調理</v>
      </c>
      <c r="H22" s="389" t="str">
        <f>IFERROR(__xludf.DUMMYFUNCTION("GOOGLETRANSLATE(D22,""zh-tw"",""ja"")"),"妹にいたずらをして怒る")</f>
        <v>妹にいたずらをして怒る</v>
      </c>
      <c r="I22" s="126" t="s">
        <v>6495</v>
      </c>
      <c r="J22" s="309" t="s">
        <v>6486</v>
      </c>
      <c r="K22" s="308" t="str">
        <f>IFERROR(__xludf.DUMMYFUNCTION("GOOGLETRANSLATE(C22,""zh-tw"",""en"")"),"Cooking meat dishes")</f>
        <v>Cooking meat dishes</v>
      </c>
      <c r="L22" s="388" t="s">
        <v>6488</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6496</v>
      </c>
      <c r="AH22" s="123" t="s">
        <v>6490</v>
      </c>
      <c r="AI22" s="312" t="s">
        <v>6497</v>
      </c>
      <c r="AJ22" s="177" t="s">
        <v>6491</v>
      </c>
      <c r="AK22" s="388"/>
      <c r="AL22" s="388"/>
      <c r="AM22" s="388"/>
    </row>
    <row r="23">
      <c r="A23" s="126" t="s">
        <v>6498</v>
      </c>
      <c r="B23" s="309" t="s">
        <v>6499</v>
      </c>
      <c r="C23" s="311" t="s">
        <v>6500</v>
      </c>
      <c r="D23" s="388" t="s">
        <v>245</v>
      </c>
      <c r="E23" s="126" t="s">
        <v>301</v>
      </c>
      <c r="F23" s="307" t="str">
        <f>IFERROR(__xludf.DUMMYFUNCTION("GOOGLETRANSLATE(B23,""zh-tw"",""ja"")"),".....")</f>
        <v>.....</v>
      </c>
      <c r="G23" s="311" t="s">
        <v>6501</v>
      </c>
      <c r="H23" s="388" t="s">
        <v>248</v>
      </c>
      <c r="I23" s="126" t="s">
        <v>6502</v>
      </c>
      <c r="J23" s="307" t="str">
        <f>IFERROR(__xludf.DUMMYFUNCTION("GOOGLETRANSLATE(B23,""zh-tw"",""en"")"),".....")</f>
        <v>.....</v>
      </c>
      <c r="K23" s="311" t="s">
        <v>6503</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IFERROR(__xludf.DUMMYFUNCTION("GOOGLETRANSLATE(D23,""zh-tw"",""KO"")"),"오프닝 옵션")</f>
        <v>오프닝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6504</v>
      </c>
      <c r="AH23" s="123" t="s">
        <v>6505</v>
      </c>
      <c r="AI23" s="312" t="s">
        <v>6506</v>
      </c>
      <c r="AJ23" s="177" t="s">
        <v>265</v>
      </c>
      <c r="AK23" s="388"/>
      <c r="AL23" s="388"/>
      <c r="AM23" s="388"/>
    </row>
    <row r="24">
      <c r="A24" s="126" t="s">
        <v>6507</v>
      </c>
      <c r="B24" s="309" t="s">
        <v>6508</v>
      </c>
      <c r="C24" s="311" t="s">
        <v>6509</v>
      </c>
      <c r="D24" s="388" t="s">
        <v>4313</v>
      </c>
      <c r="E24" s="126" t="s">
        <v>6510</v>
      </c>
      <c r="F24" s="309" t="s">
        <v>6511</v>
      </c>
      <c r="G24" s="308" t="str">
        <f>IFERROR(__xludf.DUMMYFUNCTION("GOOGLETRANSLATE(C24,""zh-tw"",""ja"")"),"体は常に悪臭を放っている")</f>
        <v>体は常に悪臭を放っている</v>
      </c>
      <c r="H24" s="388" t="s">
        <v>4315</v>
      </c>
      <c r="I24" s="126" t="s">
        <v>6512</v>
      </c>
      <c r="J24" s="309" t="s">
        <v>6513</v>
      </c>
      <c r="K24" s="311" t="s">
        <v>6514</v>
      </c>
      <c r="L24" s="388" t="s">
        <v>4316</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6515</v>
      </c>
      <c r="AH24" s="123" t="s">
        <v>6516</v>
      </c>
      <c r="AI24" s="312" t="s">
        <v>6517</v>
      </c>
      <c r="AJ24" s="177" t="s">
        <v>4321</v>
      </c>
      <c r="AK24" s="388"/>
      <c r="AL24" s="388"/>
      <c r="AM24" s="388"/>
    </row>
    <row r="25">
      <c r="A25" s="126" t="s">
        <v>6518</v>
      </c>
      <c r="B25" s="309" t="s">
        <v>6519</v>
      </c>
      <c r="C25" s="311" t="s">
        <v>6520</v>
      </c>
      <c r="D25" s="388" t="s">
        <v>6521</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6522</v>
      </c>
      <c r="J25" s="309" t="s">
        <v>6523</v>
      </c>
      <c r="K25" s="311" t="s">
        <v>6524</v>
      </c>
      <c r="L25" s="388" t="s">
        <v>6525</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6526</v>
      </c>
      <c r="AH25" s="123" t="s">
        <v>6527</v>
      </c>
      <c r="AI25" s="312" t="s">
        <v>6528</v>
      </c>
      <c r="AJ25" s="177" t="s">
        <v>6529</v>
      </c>
      <c r="AK25" s="388"/>
      <c r="AL25" s="388"/>
      <c r="AM25" s="388"/>
    </row>
    <row r="26">
      <c r="A26" s="126" t="s">
        <v>6530</v>
      </c>
      <c r="B26" s="309" t="s">
        <v>6531</v>
      </c>
      <c r="C26" s="311" t="s">
        <v>6532</v>
      </c>
      <c r="D26" s="388" t="s">
        <v>6533</v>
      </c>
      <c r="E26" s="126" t="s">
        <v>6534</v>
      </c>
      <c r="F26" s="309" t="s">
        <v>6535</v>
      </c>
      <c r="G26" s="308" t="str">
        <f>IFERROR(__xludf.DUMMYFUNCTION("GOOGLETRANSLATE(C26,""zh-tw"",""ja"")"),"攻撃力+50%")</f>
        <v>攻撃力+50%</v>
      </c>
      <c r="H26" s="389" t="str">
        <f>IFERROR(__xludf.DUMMYFUNCTION("GOOGLETRANSLATE(D26,""zh-tw"",""ja"")"),"食べ物")</f>
        <v>食べ物</v>
      </c>
      <c r="I26" s="126" t="s">
        <v>6536</v>
      </c>
      <c r="J26" s="309" t="s">
        <v>6537</v>
      </c>
      <c r="K26" s="311" t="s">
        <v>6538</v>
      </c>
      <c r="L26" s="388" t="s">
        <v>6539</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6540</v>
      </c>
      <c r="AH26" s="123" t="s">
        <v>6541</v>
      </c>
      <c r="AI26" s="312" t="s">
        <v>6542</v>
      </c>
      <c r="AJ26" s="177" t="s">
        <v>6543</v>
      </c>
      <c r="AK26" s="388"/>
      <c r="AL26" s="388"/>
      <c r="AM26" s="388"/>
    </row>
    <row r="27">
      <c r="A27" s="126" t="s">
        <v>6544</v>
      </c>
      <c r="B27" s="309" t="s">
        <v>6545</v>
      </c>
      <c r="C27" s="311" t="s">
        <v>6546</v>
      </c>
      <c r="D27" s="388" t="s">
        <v>6533</v>
      </c>
      <c r="E27" s="126" t="s">
        <v>6547</v>
      </c>
      <c r="F27" s="309" t="s">
        <v>6548</v>
      </c>
      <c r="G27" s="308" t="str">
        <f>IFERROR(__xludf.DUMMYFUNCTION("GOOGLETRANSLATE(C27,""zh-tw"",""ja"")"),"魔法力+50%")</f>
        <v>魔法力+50%</v>
      </c>
      <c r="H27" s="389" t="str">
        <f>IFERROR(__xludf.DUMMYFUNCTION("GOOGLETRANSLATE(D27,""zh-tw"",""ja"")"),"食べ物")</f>
        <v>食べ物</v>
      </c>
      <c r="I27" s="126" t="s">
        <v>6549</v>
      </c>
      <c r="J27" s="309" t="s">
        <v>6550</v>
      </c>
      <c r="K27" s="311" t="s">
        <v>6551</v>
      </c>
      <c r="L27" s="388" t="s">
        <v>6539</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되었습니다.")</f>
        <v>나는 점차 모든 것을 이해하게 되었습니다.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6552</v>
      </c>
      <c r="AH27" s="123" t="s">
        <v>6553</v>
      </c>
      <c r="AI27" s="312" t="s">
        <v>6554</v>
      </c>
      <c r="AJ27" s="177" t="s">
        <v>6543</v>
      </c>
      <c r="AK27" s="388"/>
      <c r="AL27" s="388"/>
      <c r="AM27" s="388"/>
    </row>
    <row r="28">
      <c r="A28" s="126" t="s">
        <v>6555</v>
      </c>
      <c r="B28" s="309" t="s">
        <v>6556</v>
      </c>
      <c r="C28" s="311" t="s">
        <v>6557</v>
      </c>
      <c r="D28" s="388" t="s">
        <v>6533</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6558</v>
      </c>
      <c r="J28" s="309" t="s">
        <v>6559</v>
      </c>
      <c r="K28" s="311" t="s">
        <v>6560</v>
      </c>
      <c r="L28" s="388" t="s">
        <v>6539</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6561</v>
      </c>
      <c r="AH28" s="123" t="s">
        <v>6562</v>
      </c>
      <c r="AI28" s="312" t="s">
        <v>6563</v>
      </c>
      <c r="AJ28" s="177" t="s">
        <v>6543</v>
      </c>
      <c r="AK28" s="388"/>
      <c r="AL28" s="388"/>
      <c r="AM28" s="388"/>
    </row>
    <row r="29">
      <c r="A29" s="126" t="s">
        <v>6564</v>
      </c>
      <c r="B29" s="309" t="s">
        <v>6565</v>
      </c>
      <c r="C29" s="311" t="s">
        <v>6566</v>
      </c>
      <c r="D29" s="388" t="s">
        <v>6567</v>
      </c>
      <c r="E29" s="306" t="str">
        <f>IFERROR(__xludf.DUMMYFUNCTION("GOOGLETRANSLATE(A29,""zh-tw"",""ja"")"),"巨神兵")</f>
        <v>巨神兵</v>
      </c>
      <c r="F29" s="309" t="s">
        <v>6568</v>
      </c>
      <c r="G29" s="311" t="s">
        <v>6569</v>
      </c>
      <c r="H29" s="389" t="str">
        <f>IFERROR(__xludf.DUMMYFUNCTION("GOOGLETRANSLATE(D29,""zh-tw"",""ja"")"),"タロット")</f>
        <v>タロット</v>
      </c>
      <c r="I29" s="126" t="s">
        <v>6570</v>
      </c>
      <c r="J29" s="309" t="s">
        <v>6571</v>
      </c>
      <c r="K29" s="311" t="s">
        <v>6572</v>
      </c>
      <c r="L29" s="388" t="s">
        <v>6573</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IFERROR(__xludf.DUMMYFUNCTION("GOOGLETRANSLATE(C29,""zh-tw"",""es-MX"")"),"Durante la duración del estado, el arma se vuelve más grande, aumentando el alcance del ataque y el daño.")</f>
        <v>Durante la duración del estado, el arma se vuelve más grande,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군인들과 천상의 장군들")</f>
        <v>신성한 군인들과 천상의 장군들</v>
      </c>
      <c r="W29" s="310" t="str">
        <f>IFERROR(__xludf.DUMMYFUNCTION("GOOGLETRANSLATE(C29,""zh-tw"",""KO"")"),"상태가 지속되는 동안 무기가 더 커져 공격 범위와 데미지가 증가합니다.")</f>
        <v>상태가 지속되는 동안 무기가 더 커져 공격 범위와 데미지가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IFERROR(__xludf.DUMMYFUNCTION("GOOGLETRANSLATE(C29,""zh-tw"",""RU"")"),"Во время действия этого состояния оружие становится больше, увеличивая дальность атаки и урон.")</f>
        <v>Во время действия этого состояния оружие становится больше,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IFERROR(__xludf.DUMMYFUNCTION("GOOGLETRANSLATE(C29,""zh-tw"",""DE"")"),"Während der Dauer des Zustands wird die Waffe größer, wodurch die Angriffsreichweite und der Schaden erhöht werden")</f>
        <v>Während der Dauer des Zustands wird die Waffe größer, wodurch die Angriffsreichweite und der Schaden erhöht werden</v>
      </c>
      <c r="AF29" s="389" t="str">
        <f>IFERROR(__xludf.DUMMYFUNCTION("GOOGLETRANSLATE(D29,""zh-tw"",""DE"")"),"Tarot")</f>
        <v>Tarot</v>
      </c>
      <c r="AG29" s="94" t="s">
        <v>6574</v>
      </c>
      <c r="AH29" s="123" t="s">
        <v>6575</v>
      </c>
      <c r="AI29" s="312" t="s">
        <v>6576</v>
      </c>
      <c r="AJ29" s="177" t="s">
        <v>6577</v>
      </c>
      <c r="AK29" s="388"/>
      <c r="AL29" s="388"/>
      <c r="AM29" s="388"/>
    </row>
    <row r="30">
      <c r="A30" s="126" t="s">
        <v>6578</v>
      </c>
      <c r="B30" s="309" t="s">
        <v>6579</v>
      </c>
      <c r="C30" s="311" t="s">
        <v>6580</v>
      </c>
      <c r="D30" s="388" t="s">
        <v>6567</v>
      </c>
      <c r="E30" s="126" t="s">
        <v>6581</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6582</v>
      </c>
      <c r="J30" s="309" t="s">
        <v>6583</v>
      </c>
      <c r="K30" s="308" t="str">
        <f>IFERROR(__xludf.DUMMYFUNCTION("GOOGLETRANSLATE(C30,""zh-tw"",""en"")"),"With the blessing of fate, it is easier to encounter happy things!")</f>
        <v>With the blessing of fate, it is easier to encounter happy things!</v>
      </c>
      <c r="L30" s="388" t="s">
        <v>6584</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축복으로 행복한 일이 쉽게 찾아올 거예요!")</f>
        <v>운명의 축복으로 행복한 일이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6585</v>
      </c>
      <c r="AH30" s="123" t="s">
        <v>6586</v>
      </c>
      <c r="AI30" s="312" t="s">
        <v>6587</v>
      </c>
      <c r="AJ30" s="177" t="s">
        <v>6588</v>
      </c>
      <c r="AK30" s="388"/>
      <c r="AL30" s="388"/>
      <c r="AM30" s="388"/>
    </row>
    <row r="31">
      <c r="A31" s="126" t="s">
        <v>6589</v>
      </c>
      <c r="B31" s="309" t="s">
        <v>6590</v>
      </c>
      <c r="C31" s="311" t="s">
        <v>6591</v>
      </c>
      <c r="D31" s="388" t="s">
        <v>6567</v>
      </c>
      <c r="E31" s="126" t="s">
        <v>6592</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6593</v>
      </c>
      <c r="J31" s="309" t="s">
        <v>6594</v>
      </c>
      <c r="K31" s="308" t="str">
        <f>IFERROR(__xludf.DUMMYFUNCTION("GOOGLETRANSLATE(C31,""zh-tw"",""en"")"),"With the blessing of fate, it is easier to encounter sad things!")</f>
        <v>With the blessing of fate, it is easier to encounter sad things!</v>
      </c>
      <c r="L31" s="388" t="s">
        <v>6584</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6595</v>
      </c>
      <c r="AH31" s="123" t="s">
        <v>6596</v>
      </c>
      <c r="AI31" s="312" t="s">
        <v>6597</v>
      </c>
      <c r="AJ31" s="177" t="s">
        <v>6588</v>
      </c>
      <c r="AK31" s="388"/>
      <c r="AL31" s="388"/>
      <c r="AM31" s="388"/>
    </row>
    <row r="32">
      <c r="A32" s="126" t="s">
        <v>6598</v>
      </c>
      <c r="B32" s="309" t="s">
        <v>6599</v>
      </c>
      <c r="C32" s="311" t="s">
        <v>6600</v>
      </c>
      <c r="D32" s="388" t="s">
        <v>5489</v>
      </c>
      <c r="E32" s="126" t="s">
        <v>6601</v>
      </c>
      <c r="F32" s="309" t="s">
        <v>6602</v>
      </c>
      <c r="G32" s="311" t="s">
        <v>6603</v>
      </c>
      <c r="H32" s="388" t="s">
        <v>5491</v>
      </c>
      <c r="I32" s="126" t="s">
        <v>6604</v>
      </c>
      <c r="J32" s="309" t="s">
        <v>6605</v>
      </c>
      <c r="K32" s="311" t="s">
        <v>6606</v>
      </c>
      <c r="L32" s="388" t="s">
        <v>5493</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6607</v>
      </c>
      <c r="AH32" s="123" t="s">
        <v>6608</v>
      </c>
      <c r="AI32" s="312" t="s">
        <v>6609</v>
      </c>
      <c r="AJ32" s="177" t="s">
        <v>5498</v>
      </c>
      <c r="AK32" s="388"/>
      <c r="AL32" s="388"/>
      <c r="AM32" s="388"/>
    </row>
    <row r="33">
      <c r="A33" s="126" t="s">
        <v>6610</v>
      </c>
      <c r="B33" s="309" t="s">
        <v>6611</v>
      </c>
      <c r="C33" s="311" t="s">
        <v>6612</v>
      </c>
      <c r="D33" s="388" t="s">
        <v>6613</v>
      </c>
      <c r="E33" s="126" t="s">
        <v>6614</v>
      </c>
      <c r="F33" s="309" t="s">
        <v>6615</v>
      </c>
      <c r="G33" s="308" t="str">
        <f>IFERROR(__xludf.DUMMYFUNCTION("GOOGLETRANSLATE(C33,""zh-tw"",""ja"")"),"武器の性能を十分に発揮するには体力とスタミナが足りません!")</f>
        <v>武器の性能を十分に発揮するには体力とスタミナが足りません!</v>
      </c>
      <c r="H33" s="388" t="s">
        <v>6616</v>
      </c>
      <c r="I33" s="126" t="s">
        <v>6617</v>
      </c>
      <c r="J33" s="309" t="s">
        <v>6618</v>
      </c>
      <c r="K33" s="311" t="s">
        <v>6619</v>
      </c>
      <c r="L33" s="388" t="s">
        <v>6620</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6621</v>
      </c>
      <c r="AH33" s="123" t="s">
        <v>6622</v>
      </c>
      <c r="AI33" s="312" t="s">
        <v>6623</v>
      </c>
      <c r="AJ33" s="177" t="s">
        <v>6624</v>
      </c>
      <c r="AK33" s="388"/>
      <c r="AL33" s="388"/>
      <c r="AM33" s="388"/>
    </row>
    <row r="34">
      <c r="A34" s="126" t="s">
        <v>6625</v>
      </c>
      <c r="B34" s="309" t="s">
        <v>6626</v>
      </c>
      <c r="C34" s="311" t="s">
        <v>6627</v>
      </c>
      <c r="D34" s="388" t="s">
        <v>4879</v>
      </c>
      <c r="E34" s="126" t="s">
        <v>6628</v>
      </c>
      <c r="F34" s="307" t="str">
        <f>IFERROR(__xludf.DUMMYFUNCTION("GOOGLETRANSLATE(B34,""zh-tw"",""ja"")"),"あなたに祝福を")</f>
        <v>あなたに祝福を</v>
      </c>
      <c r="G34" s="311" t="s">
        <v>6629</v>
      </c>
      <c r="H34" s="388" t="s">
        <v>4881</v>
      </c>
      <c r="I34" s="126" t="s">
        <v>6630</v>
      </c>
      <c r="J34" s="309" t="s">
        <v>6631</v>
      </c>
      <c r="K34" s="311" t="s">
        <v>6632</v>
      </c>
      <c r="L34" s="388" t="s">
        <v>4882</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6633</v>
      </c>
      <c r="AH34" s="123" t="s">
        <v>6634</v>
      </c>
      <c r="AI34" s="312" t="s">
        <v>6635</v>
      </c>
      <c r="AJ34" s="177" t="s">
        <v>6636</v>
      </c>
      <c r="AK34" s="388"/>
      <c r="AL34" s="388"/>
      <c r="AM34" s="388"/>
    </row>
    <row r="35">
      <c r="A35" s="126" t="s">
        <v>6637</v>
      </c>
      <c r="B35" s="309" t="s">
        <v>723</v>
      </c>
      <c r="C35" s="311" t="s">
        <v>723</v>
      </c>
      <c r="D35" s="388" t="s">
        <v>6638</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6639</v>
      </c>
      <c r="J35" s="307" t="str">
        <f>IFERROR(__xludf.DUMMYFUNCTION("GOOGLETRANSLATE(B35,""zh-tw"",""en"")"),"-")</f>
        <v>-</v>
      </c>
      <c r="K35" s="308" t="str">
        <f>IFERROR(__xludf.DUMMYFUNCTION("GOOGLETRANSLATE(C35,""zh-tw"",""en"")"),"-")</f>
        <v>-</v>
      </c>
      <c r="L35" s="388" t="s">
        <v>6640</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6641</v>
      </c>
      <c r="AH35" s="123" t="s">
        <v>723</v>
      </c>
      <c r="AI35" s="312" t="s">
        <v>723</v>
      </c>
      <c r="AJ35" s="177" t="s">
        <v>6642</v>
      </c>
      <c r="AK35" s="388"/>
      <c r="AL35" s="388"/>
      <c r="AM35" s="388"/>
    </row>
    <row r="36">
      <c r="A36" s="126" t="s">
        <v>6643</v>
      </c>
      <c r="B36" s="309" t="s">
        <v>6644</v>
      </c>
      <c r="C36" s="311" t="s">
        <v>6645</v>
      </c>
      <c r="D36" s="388" t="s">
        <v>4450</v>
      </c>
      <c r="E36" s="126" t="s">
        <v>4452</v>
      </c>
      <c r="F36" s="309" t="s">
        <v>6646</v>
      </c>
      <c r="G36" s="308" t="str">
        <f>IFERROR(__xludf.DUMMYFUNCTION("GOOGLETRANSLATE(C36,""zh-tw"",""ja"")"),"全属性が上昇、一時的に無敵")</f>
        <v>全属性が上昇、一時的に無敵</v>
      </c>
      <c r="H36" s="388" t="s">
        <v>4452</v>
      </c>
      <c r="I36" s="126" t="s">
        <v>4454</v>
      </c>
      <c r="J36" s="309" t="s">
        <v>6647</v>
      </c>
      <c r="K36" s="311" t="s">
        <v>6648</v>
      </c>
      <c r="L36" s="388" t="s">
        <v>4454</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6649</v>
      </c>
      <c r="AH36" s="123" t="s">
        <v>6650</v>
      </c>
      <c r="AI36" s="312" t="s">
        <v>6651</v>
      </c>
      <c r="AJ36" s="177" t="s">
        <v>6649</v>
      </c>
      <c r="AK36" s="388"/>
      <c r="AL36" s="388"/>
      <c r="AM36" s="388"/>
    </row>
    <row r="37">
      <c r="A37" s="126" t="s">
        <v>2537</v>
      </c>
      <c r="B37" s="309" t="s">
        <v>6652</v>
      </c>
      <c r="C37" s="311" t="s">
        <v>6653</v>
      </c>
      <c r="D37" s="388" t="s">
        <v>6654</v>
      </c>
      <c r="E37" s="126" t="s">
        <v>2540</v>
      </c>
      <c r="F37" s="309" t="s">
        <v>6655</v>
      </c>
      <c r="G37" s="308" t="str">
        <f>IFERROR(__xludf.DUMMYFUNCTION("GOOGLETRANSLATE(C37,""zh-tw"",""ja"")"),"体力を回復できない")</f>
        <v>体力を回復できない</v>
      </c>
      <c r="H37" s="388" t="s">
        <v>4086</v>
      </c>
      <c r="I37" s="126" t="s">
        <v>4088</v>
      </c>
      <c r="J37" s="309" t="s">
        <v>6656</v>
      </c>
      <c r="K37" s="311" t="s">
        <v>6657</v>
      </c>
      <c r="L37" s="388" t="s">
        <v>4088</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4094</v>
      </c>
      <c r="AH37" s="123" t="s">
        <v>6658</v>
      </c>
      <c r="AI37" s="312" t="s">
        <v>6659</v>
      </c>
      <c r="AJ37" s="177" t="s">
        <v>4094</v>
      </c>
      <c r="AK37" s="388"/>
      <c r="AL37" s="388"/>
      <c r="AM37" s="388"/>
    </row>
    <row r="38">
      <c r="A38" s="126" t="s">
        <v>6660</v>
      </c>
      <c r="B38" s="309" t="s">
        <v>723</v>
      </c>
      <c r="C38" s="311" t="s">
        <v>6661</v>
      </c>
      <c r="D38" s="388" t="s">
        <v>6662</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6663</v>
      </c>
      <c r="J38" s="307" t="str">
        <f>IFERROR(__xludf.DUMMYFUNCTION("GOOGLETRANSLATE(B38,""zh-tw"",""en"")"),"-")</f>
        <v>-</v>
      </c>
      <c r="K38" s="311" t="s">
        <v>6664</v>
      </c>
      <c r="L38" s="388" t="s">
        <v>6665</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6666</v>
      </c>
      <c r="AH38" s="123" t="s">
        <v>723</v>
      </c>
      <c r="AI38" s="312" t="s">
        <v>6667</v>
      </c>
      <c r="AJ38" s="177" t="s">
        <v>6668</v>
      </c>
      <c r="AK38" s="388"/>
      <c r="AL38" s="388"/>
      <c r="AM38" s="388"/>
    </row>
    <row r="39">
      <c r="A39" s="126" t="s">
        <v>6669</v>
      </c>
      <c r="B39" s="309" t="s">
        <v>6670</v>
      </c>
      <c r="C39" s="311" t="s">
        <v>6671</v>
      </c>
      <c r="D39" s="388" t="s">
        <v>4274</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6672</v>
      </c>
      <c r="J39" s="309" t="s">
        <v>6673</v>
      </c>
      <c r="K39" s="311" t="s">
        <v>6674</v>
      </c>
      <c r="L39" s="388" t="s">
        <v>3851</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6675</v>
      </c>
      <c r="AH39" s="123" t="s">
        <v>6676</v>
      </c>
      <c r="AI39" s="312" t="s">
        <v>6677</v>
      </c>
      <c r="AJ39" s="177" t="s">
        <v>3858</v>
      </c>
      <c r="AK39" s="388"/>
      <c r="AL39" s="388"/>
      <c r="AM39" s="388"/>
    </row>
    <row r="40">
      <c r="A40" s="126" t="s">
        <v>6678</v>
      </c>
      <c r="B40" s="309" t="s">
        <v>6679</v>
      </c>
      <c r="C40" s="311" t="s">
        <v>6680</v>
      </c>
      <c r="D40" s="388" t="s">
        <v>4652</v>
      </c>
      <c r="E40" s="126" t="s">
        <v>6681</v>
      </c>
      <c r="F40" s="309" t="s">
        <v>6682</v>
      </c>
      <c r="G40" s="308" t="str">
        <f>IFERROR(__xludf.DUMMYFUNCTION("GOOGLETRANSLATE(C40,""zh-tw"",""ja"")"),"体力は自動的に回復します")</f>
        <v>体力は自動的に回復します</v>
      </c>
      <c r="H40" s="388" t="s">
        <v>6683</v>
      </c>
      <c r="I40" s="126" t="s">
        <v>6684</v>
      </c>
      <c r="J40" s="309" t="s">
        <v>6685</v>
      </c>
      <c r="K40" s="311" t="s">
        <v>6686</v>
      </c>
      <c r="L40" s="388" t="s">
        <v>6687</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6688</v>
      </c>
      <c r="AH40" s="123" t="s">
        <v>6689</v>
      </c>
      <c r="AI40" s="312" t="s">
        <v>6690</v>
      </c>
      <c r="AJ40" s="177" t="s">
        <v>6691</v>
      </c>
      <c r="AK40" s="388"/>
      <c r="AL40" s="388"/>
      <c r="AM40" s="388"/>
    </row>
    <row r="41">
      <c r="A41" s="126" t="s">
        <v>6692</v>
      </c>
      <c r="B41" s="309" t="s">
        <v>6693</v>
      </c>
      <c r="C41" s="311" t="s">
        <v>6694</v>
      </c>
      <c r="D41" s="388" t="s">
        <v>6695</v>
      </c>
      <c r="E41" s="126" t="s">
        <v>6696</v>
      </c>
      <c r="F41" s="309" t="s">
        <v>6697</v>
      </c>
      <c r="G41" s="311" t="s">
        <v>6698</v>
      </c>
      <c r="H41" s="388" t="s">
        <v>6699</v>
      </c>
      <c r="I41" s="126" t="s">
        <v>6700</v>
      </c>
      <c r="J41" s="309" t="s">
        <v>6701</v>
      </c>
      <c r="K41" s="311" t="s">
        <v>6702</v>
      </c>
      <c r="L41" s="388" t="s">
        <v>6703</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6704</v>
      </c>
      <c r="AH41" s="123" t="s">
        <v>6705</v>
      </c>
      <c r="AI41" s="312" t="s">
        <v>6706</v>
      </c>
      <c r="AJ41" s="177" t="s">
        <v>6707</v>
      </c>
      <c r="AK41" s="388"/>
      <c r="AL41" s="388"/>
      <c r="AM41" s="388"/>
    </row>
    <row r="42">
      <c r="A42" s="126" t="s">
        <v>6708</v>
      </c>
      <c r="B42" s="309" t="s">
        <v>6709</v>
      </c>
      <c r="C42" s="311" t="s">
        <v>6710</v>
      </c>
      <c r="D42" s="388" t="s">
        <v>6711</v>
      </c>
      <c r="E42" s="126" t="s">
        <v>6712</v>
      </c>
      <c r="F42" s="309" t="s">
        <v>6713</v>
      </c>
      <c r="G42" s="311" t="s">
        <v>6714</v>
      </c>
      <c r="H42" s="388" t="s">
        <v>6715</v>
      </c>
      <c r="I42" s="126" t="s">
        <v>6716</v>
      </c>
      <c r="J42" s="309" t="s">
        <v>6717</v>
      </c>
      <c r="K42" s="311" t="s">
        <v>6718</v>
      </c>
      <c r="L42" s="388" t="s">
        <v>6719</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6720</v>
      </c>
      <c r="AH42" s="123" t="s">
        <v>6721</v>
      </c>
      <c r="AI42" s="312" t="s">
        <v>6722</v>
      </c>
      <c r="AJ42" s="177" t="s">
        <v>6723</v>
      </c>
      <c r="AK42" s="388"/>
      <c r="AL42" s="388"/>
      <c r="AM42" s="388"/>
    </row>
    <row r="43">
      <c r="A43" s="126" t="s">
        <v>6724</v>
      </c>
      <c r="B43" s="309" t="s">
        <v>6725</v>
      </c>
      <c r="C43" s="311" t="s">
        <v>6726</v>
      </c>
      <c r="D43" s="388" t="s">
        <v>6727</v>
      </c>
      <c r="E43" s="126" t="s">
        <v>6728</v>
      </c>
      <c r="F43" s="309" t="s">
        <v>6729</v>
      </c>
      <c r="G43" s="311" t="s">
        <v>6730</v>
      </c>
      <c r="H43" s="388" t="s">
        <v>6731</v>
      </c>
      <c r="I43" s="126" t="s">
        <v>6732</v>
      </c>
      <c r="J43" s="309" t="s">
        <v>6733</v>
      </c>
      <c r="K43" s="311" t="s">
        <v>6734</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1733</v>
      </c>
      <c r="AH43" s="123" t="s">
        <v>6735</v>
      </c>
      <c r="AI43" s="312" t="s">
        <v>6736</v>
      </c>
      <c r="AJ43" s="390"/>
      <c r="AK43" s="388"/>
      <c r="AL43" s="388"/>
      <c r="AM43" s="388"/>
    </row>
    <row r="44">
      <c r="A44" s="126" t="s">
        <v>6737</v>
      </c>
      <c r="B44" s="309" t="s">
        <v>6738</v>
      </c>
      <c r="C44" s="311" t="s">
        <v>6739</v>
      </c>
      <c r="D44" s="388" t="s">
        <v>6740</v>
      </c>
      <c r="E44" s="126" t="s">
        <v>6741</v>
      </c>
      <c r="F44" s="309" t="s">
        <v>6742</v>
      </c>
      <c r="G44" s="311" t="s">
        <v>6743</v>
      </c>
      <c r="H44" s="388" t="s">
        <v>6744</v>
      </c>
      <c r="I44" s="126" t="s">
        <v>6745</v>
      </c>
      <c r="J44" s="309" t="s">
        <v>6746</v>
      </c>
      <c r="K44" s="311" t="s">
        <v>6747</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6748</v>
      </c>
      <c r="AH44" s="123" t="s">
        <v>6749</v>
      </c>
      <c r="AI44" s="312" t="s">
        <v>6750</v>
      </c>
      <c r="AJ44" s="390"/>
      <c r="AK44" s="388"/>
      <c r="AL44" s="388"/>
      <c r="AM44" s="388"/>
    </row>
    <row r="45">
      <c r="A45" s="126" t="s">
        <v>6751</v>
      </c>
      <c r="B45" s="309" t="s">
        <v>6752</v>
      </c>
      <c r="C45" s="311" t="s">
        <v>723</v>
      </c>
      <c r="D45" s="388" t="s">
        <v>5199</v>
      </c>
      <c r="E45" s="126" t="s">
        <v>6753</v>
      </c>
      <c r="F45" s="309" t="s">
        <v>6754</v>
      </c>
      <c r="G45" s="311" t="s">
        <v>723</v>
      </c>
      <c r="H45" s="388" t="s">
        <v>6755</v>
      </c>
      <c r="I45" s="126" t="s">
        <v>5203</v>
      </c>
      <c r="J45" s="309" t="s">
        <v>6756</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6757</v>
      </c>
      <c r="AH45" s="123" t="s">
        <v>6758</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6759</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AI翻訳の問題により、URLを埋め込むことができません。動画URLは、繁体字中国語のリンクを直接クリックしてくださ"&amp;"い。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動画を作成す"&amp;"る際は字幕を付けてください。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I can upload it to YouTube for you.
(I'll include the author's information, but I'm not res"&amp;"ponsible for any subsequent issues or video revenue rights.)
For any inquiries, please contact the guide author: RORO (see the announcement page for contact details).
Due to AI translation issues, the URL cannot be embedded. Please click the Traditional"&amp;" Chinese link directly for the video URL.
Submission Rules:
1. If you only have a single video, please include the title.
2. If you have multiple videos, please prioritize the channel you post them on to avoid overly long lists.
3. Any videos, informa"&amp;"tion, comments, or content related to piracy is prohibited.
4. Regarding secondary creations, background music, AI creations, and other related content, please pay attention to copyright and platform regulations.
5. Please comply with platform regulatio"&amp;"ns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I can upload it to YouTube for you.
(I'll include the author's information,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6760</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6761</v>
      </c>
      <c r="B3" s="30" t="s">
        <v>6761</v>
      </c>
      <c r="C3" s="404" t="s">
        <v>6761</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6762</v>
      </c>
      <c r="B5" s="30" t="str">
        <f>IFERROR(__xludf.DUMMYFUNCTION("GOOGLETRANSLATE(A5,""zh-tw"",""ja"")"),"公式YouTube")</f>
        <v>公式YouTube</v>
      </c>
      <c r="C5" s="404" t="str">
        <f>IFERROR(__xludf.DUMMYFUNCTION("GOOGLETRANSLATE(A5,""zh-tw"",""en"")"),"Official YouTube")</f>
        <v>Official YouTube</v>
      </c>
      <c r="D5" s="158" t="s">
        <v>6763</v>
      </c>
      <c r="E5" s="402"/>
      <c r="F5" s="402"/>
      <c r="G5" s="402"/>
      <c r="H5" s="402"/>
      <c r="I5" s="402"/>
      <c r="J5" s="402"/>
      <c r="K5" s="402"/>
      <c r="L5" s="402"/>
      <c r="M5" s="402"/>
      <c r="N5" s="402"/>
      <c r="O5" s="402"/>
      <c r="P5" s="402"/>
      <c r="Q5" s="402"/>
      <c r="R5" s="402"/>
      <c r="S5" s="402"/>
      <c r="T5" s="402"/>
      <c r="U5" s="402"/>
      <c r="V5" s="402"/>
      <c r="W5" s="402"/>
      <c r="X5" s="402"/>
      <c r="Y5" s="402"/>
      <c r="Z5" s="402"/>
    </row>
    <row r="6">
      <c r="A6" s="403" t="s">
        <v>6764</v>
      </c>
      <c r="B6" s="30" t="str">
        <f>IFERROR(__xludf.DUMMYFUNCTION("GOOGLETRANSLATE(A6,""zh-tw"",""ja"")"),"公式請求書")</f>
        <v>公式請求書</v>
      </c>
      <c r="C6" s="404" t="str">
        <f>IFERROR(__xludf.DUMMYFUNCTION("GOOGLETRANSLATE(A6,""zh-tw"",""en"")"),"Official Billbill")</f>
        <v>Official Billbill</v>
      </c>
      <c r="D6" s="158" t="s">
        <v>6763</v>
      </c>
      <c r="E6" s="402"/>
      <c r="F6" s="402"/>
      <c r="G6" s="402"/>
      <c r="H6" s="402"/>
      <c r="I6" s="402"/>
      <c r="J6" s="402"/>
      <c r="K6" s="402"/>
      <c r="L6" s="402"/>
      <c r="M6" s="402"/>
      <c r="N6" s="402"/>
      <c r="O6" s="402"/>
      <c r="P6" s="402"/>
      <c r="Q6" s="402"/>
      <c r="R6" s="402"/>
      <c r="S6" s="402"/>
      <c r="T6" s="402"/>
      <c r="U6" s="402"/>
      <c r="V6" s="402"/>
      <c r="W6" s="402"/>
      <c r="X6" s="402"/>
      <c r="Y6" s="402"/>
      <c r="Z6" s="402"/>
    </row>
    <row r="7">
      <c r="A7" s="403" t="s">
        <v>6765</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6766</v>
      </c>
      <c r="E7" s="402"/>
      <c r="F7" s="402"/>
      <c r="G7" s="402"/>
      <c r="H7" s="402"/>
      <c r="I7" s="402"/>
      <c r="J7" s="402"/>
      <c r="K7" s="402"/>
      <c r="L7" s="402"/>
      <c r="M7" s="402"/>
      <c r="N7" s="402"/>
      <c r="O7" s="402"/>
      <c r="P7" s="402"/>
      <c r="Q7" s="402"/>
      <c r="R7" s="402"/>
      <c r="S7" s="402"/>
      <c r="T7" s="402"/>
      <c r="U7" s="402"/>
      <c r="V7" s="402"/>
      <c r="W7" s="402"/>
      <c r="X7" s="402"/>
      <c r="Y7" s="402"/>
      <c r="Z7" s="402"/>
    </row>
    <row r="8">
      <c r="A8" s="403" t="s">
        <v>6767</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6766</v>
      </c>
      <c r="E8" s="402"/>
      <c r="F8" s="402"/>
      <c r="G8" s="402"/>
      <c r="H8" s="402"/>
      <c r="I8" s="402"/>
      <c r="J8" s="402"/>
      <c r="K8" s="402"/>
      <c r="L8" s="402"/>
      <c r="M8" s="402"/>
      <c r="N8" s="402"/>
      <c r="O8" s="402"/>
      <c r="P8" s="402"/>
      <c r="Q8" s="402"/>
      <c r="R8" s="402"/>
      <c r="S8" s="402"/>
      <c r="T8" s="402"/>
      <c r="U8" s="402"/>
      <c r="V8" s="402"/>
      <c r="W8" s="402"/>
      <c r="X8" s="402"/>
      <c r="Y8" s="402"/>
      <c r="Z8" s="402"/>
    </row>
    <row r="9">
      <c r="A9" s="403" t="s">
        <v>6768</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6769</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6770</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6771</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6772</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6773</v>
      </c>
      <c r="G1" s="418"/>
      <c r="H1" s="418"/>
      <c r="I1" s="418"/>
      <c r="J1" s="418"/>
      <c r="K1" s="418"/>
      <c r="L1" s="418"/>
      <c r="M1" s="418"/>
      <c r="N1" s="418"/>
      <c r="O1" s="418"/>
      <c r="P1" s="418"/>
      <c r="Q1" s="418"/>
      <c r="R1" s="418"/>
    </row>
    <row r="2">
      <c r="A2" s="419" t="s">
        <v>6774</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6775</v>
      </c>
      <c r="F2" s="422" t="s">
        <v>6776</v>
      </c>
      <c r="G2" s="151"/>
      <c r="H2" s="151"/>
      <c r="I2" s="151"/>
      <c r="J2" s="151"/>
      <c r="K2" s="151"/>
      <c r="L2" s="151"/>
      <c r="M2" s="151"/>
      <c r="N2" s="151"/>
      <c r="O2" s="151"/>
      <c r="P2" s="151"/>
      <c r="Q2" s="151"/>
      <c r="R2" s="151"/>
    </row>
    <row r="3">
      <c r="A3" s="419"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6778</v>
      </c>
      <c r="F3" s="422" t="s">
        <v>6779</v>
      </c>
      <c r="G3" s="151"/>
      <c r="H3" s="151"/>
      <c r="I3" s="151"/>
      <c r="J3" s="151"/>
      <c r="K3" s="151"/>
      <c r="L3" s="151"/>
      <c r="M3" s="151"/>
      <c r="N3" s="151"/>
      <c r="O3" s="151"/>
      <c r="P3" s="151"/>
      <c r="Q3" s="151"/>
      <c r="R3" s="151"/>
    </row>
    <row r="4">
      <c r="A4" s="419"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6781</v>
      </c>
      <c r="F4" s="422" t="s">
        <v>6782</v>
      </c>
      <c r="G4" s="151"/>
      <c r="H4" s="151"/>
      <c r="I4" s="151"/>
      <c r="J4" s="151"/>
      <c r="K4" s="151"/>
      <c r="L4" s="151"/>
      <c r="M4" s="151"/>
      <c r="N4" s="151"/>
      <c r="O4" s="151"/>
      <c r="P4" s="151"/>
      <c r="Q4" s="151"/>
      <c r="R4" s="151"/>
    </row>
    <row r="5">
      <c r="A5" s="419"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6784</v>
      </c>
      <c r="F5" s="422" t="s">
        <v>6785</v>
      </c>
      <c r="G5" s="151"/>
      <c r="H5" s="151"/>
      <c r="I5" s="151"/>
      <c r="J5" s="151"/>
      <c r="K5" s="151"/>
      <c r="L5" s="151"/>
      <c r="M5" s="151"/>
      <c r="N5" s="151"/>
      <c r="O5" s="151"/>
      <c r="P5" s="151"/>
      <c r="Q5" s="151"/>
      <c r="R5" s="151"/>
    </row>
    <row r="6">
      <c r="A6" s="423" t="s">
        <v>6786</v>
      </c>
      <c r="B6" s="424" t="s">
        <v>6787</v>
      </c>
      <c r="C6" s="425" t="s">
        <v>6788</v>
      </c>
      <c r="D6" s="426" t="s">
        <v>6789</v>
      </c>
      <c r="E6" s="427" t="s">
        <v>6790</v>
      </c>
      <c r="F6" s="428" t="s">
        <v>6791</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6792</v>
      </c>
      <c r="B1" s="413" t="s">
        <v>6793</v>
      </c>
      <c r="C1" s="293" t="s">
        <v>6794</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6795</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6796</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6797</v>
      </c>
      <c r="J1" s="416" t="s">
        <v>6798</v>
      </c>
      <c r="K1" s="417" t="s">
        <v>6799</v>
      </c>
      <c r="L1" s="417" t="s">
        <v>6800</v>
      </c>
      <c r="M1" s="418"/>
      <c r="N1" s="418"/>
      <c r="O1" s="418"/>
      <c r="P1" s="418"/>
      <c r="Q1" s="418"/>
      <c r="R1" s="418"/>
      <c r="S1" s="418"/>
      <c r="T1" s="418"/>
      <c r="U1" s="418"/>
      <c r="V1" s="418"/>
      <c r="W1" s="418"/>
    </row>
    <row r="2">
      <c r="A2" s="419" t="s">
        <v>6801</v>
      </c>
      <c r="B2" s="419" t="s">
        <v>6802</v>
      </c>
      <c r="C2" s="125" t="s">
        <v>6803</v>
      </c>
      <c r="D2" s="125" t="str">
        <f>IFERROR(__xludf.DUMMYFUNCTION("GOOGLETRANSLATE(B2,""zh-tw"",""ja"")"),"1 - Google で NVIDIA APP を検索し、NVIDIA アプリを起動します。")</f>
        <v>1 - Google で NVIDIA APP を検索し、NVIDIA アプリを起動します。</v>
      </c>
      <c r="E2" s="433" t="s">
        <v>6804</v>
      </c>
      <c r="F2" s="205" t="str">
        <f>IFERROR(__xludf.DUMMYFUNCTION("GOOGLETRANSLATE(B2,""zh-tw"",""en"")"),"1 - Search for NVIDIA APP on Google and launch the NVIDIA app.")</f>
        <v>1 - Search for NVIDIA APP on Google and launch the NVIDIA app.</v>
      </c>
      <c r="G2" s="434" t="s">
        <v>6805</v>
      </c>
      <c r="H2" s="420" t="str">
        <f>IFERROR(__xludf.DUMMYFUNCTION("GOOGLETRANSLATE(B2,""zh-tw"",""zh"")"),"1 - 在google上搜寻 NVIDIA APP安装，并启动 NVIDIA 应用程式。")</f>
        <v>1 - 在google上搜寻 NVIDIA APP安装，并启动 NVIDIA 应用程式。</v>
      </c>
      <c r="I2" s="421" t="s">
        <v>6806</v>
      </c>
      <c r="J2" s="421" t="s">
        <v>6807</v>
      </c>
      <c r="K2" s="422" t="s">
        <v>6808</v>
      </c>
      <c r="L2" s="422" t="s">
        <v>6809</v>
      </c>
      <c r="M2" s="151"/>
      <c r="N2" s="151"/>
      <c r="O2" s="151"/>
      <c r="P2" s="151"/>
      <c r="Q2" s="151"/>
      <c r="R2" s="151"/>
      <c r="S2" s="151"/>
      <c r="T2" s="151"/>
      <c r="U2" s="151"/>
      <c r="V2" s="151"/>
      <c r="W2" s="151"/>
    </row>
    <row r="3">
      <c r="A3" s="419" t="s">
        <v>6810</v>
      </c>
      <c r="B3" s="419"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6813</v>
      </c>
      <c r="F3" s="205" t="str">
        <f>IFERROR(__xludf.DUMMYFUNCTION("GOOGLETRANSLATE(B3,""zh-tw"",""en"")"),"2 - Restart the NVIDIA application after updating to the latest version.")</f>
        <v>2 - Restart the NVIDIA application after updating to the latest version.</v>
      </c>
      <c r="G3" s="434" t="s">
        <v>6814</v>
      </c>
      <c r="H3" s="420" t="str">
        <f>IFERROR(__xludf.DUMMYFUNCTION("GOOGLETRANSLATE(B3,""zh-tw"",""zh"")"),"2 - 在更新至最新版本后重新启动 NVIDIA 应用程式。")</f>
        <v>2 - 在更新至最新版本后重新启动 NVIDIA 应用程式。</v>
      </c>
      <c r="I3" s="421" t="s">
        <v>6815</v>
      </c>
      <c r="J3" s="421" t="s">
        <v>6816</v>
      </c>
      <c r="K3" s="422" t="s">
        <v>6817</v>
      </c>
      <c r="L3" s="422" t="s">
        <v>6818</v>
      </c>
      <c r="M3" s="151"/>
      <c r="N3" s="151"/>
      <c r="O3" s="151"/>
      <c r="P3" s="151"/>
      <c r="Q3" s="151"/>
      <c r="R3" s="151"/>
      <c r="S3" s="151"/>
      <c r="T3" s="151"/>
      <c r="U3" s="151"/>
      <c r="V3" s="151"/>
      <c r="W3" s="151"/>
    </row>
    <row r="4">
      <c r="A4" s="419" t="s">
        <v>6819</v>
      </c>
      <c r="B4" s="419"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3" t="s">
        <v>6822</v>
      </c>
      <c r="F4" s="205" t="str">
        <f>IFERROR(__xludf.DUMMYFUNCTION("GOOGLETRANSLATE(B4,""zh-tw"",""en"")"),"3 - In the NVIDIA application, go to the Graphics settings area.")</f>
        <v>3 - In the NVIDIA application, go to the Graphics settings area.</v>
      </c>
      <c r="G4" s="434" t="s">
        <v>6823</v>
      </c>
      <c r="H4" s="420" t="str">
        <f>IFERROR(__xludf.DUMMYFUNCTION("GOOGLETRANSLATE(B4,""zh-tw"",""zh"")"),"3 - 在NVIDIA应用程式中，进入图形设置区域。")</f>
        <v>3 - 在NVIDIA应用程式中，进入图形设置区域。</v>
      </c>
      <c r="I4" s="421" t="s">
        <v>6824</v>
      </c>
      <c r="J4" s="421" t="s">
        <v>6825</v>
      </c>
      <c r="K4" s="422" t="s">
        <v>6826</v>
      </c>
      <c r="L4" s="422" t="s">
        <v>6827</v>
      </c>
      <c r="M4" s="151"/>
      <c r="N4" s="151"/>
      <c r="O4" s="151"/>
      <c r="P4" s="151"/>
      <c r="Q4" s="151"/>
      <c r="R4" s="151"/>
      <c r="S4" s="151"/>
      <c r="T4" s="151"/>
      <c r="U4" s="151"/>
      <c r="V4" s="151"/>
      <c r="W4" s="151"/>
    </row>
    <row r="5">
      <c r="A5" s="419" t="s">
        <v>6828</v>
      </c>
      <c r="B5" s="419"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6831</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6832</v>
      </c>
      <c r="H5" s="420" t="str">
        <f>IFERROR(__xludf.DUMMYFUNCTION("GOOGLETRANSLATE(B5,""zh-tw"",""zh"")"),"4 - 在「程式设定」中点击三个点，选择「新增程式」，然后寻找游戏的执行档。")</f>
        <v>4 - 在「程式设定」中点击三个点，选择「新增程式」，然后寻找游戏的执行档。</v>
      </c>
      <c r="I5" s="421" t="s">
        <v>6833</v>
      </c>
      <c r="J5" s="421" t="s">
        <v>6834</v>
      </c>
      <c r="K5" s="422" t="s">
        <v>6835</v>
      </c>
      <c r="L5" s="422" t="s">
        <v>6836</v>
      </c>
      <c r="M5" s="151"/>
      <c r="N5" s="151"/>
      <c r="O5" s="151"/>
      <c r="P5" s="151"/>
      <c r="Q5" s="151"/>
      <c r="R5" s="151"/>
      <c r="S5" s="151"/>
      <c r="T5" s="151"/>
      <c r="U5" s="151"/>
      <c r="V5" s="151"/>
      <c r="W5" s="151"/>
    </row>
    <row r="6">
      <c r="A6" s="419" t="s">
        <v>6837</v>
      </c>
      <c r="B6" s="419"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6840</v>
      </c>
      <c r="F6" s="205" t="str">
        <f>IFERROR(__xludf.DUMMYFUNCTION("GOOGLETRANSLATE(B6,""zh-tw"",""en"")"),"5 - Set ""Low Latency Mode"" to ""Ultra High"" and the power management mode to ""Optimal Power"".")</f>
        <v>5 - Set "Low Latency Mode" to "Ultra High" and the power management mode to "Optimal Power".</v>
      </c>
      <c r="G6" s="434" t="s">
        <v>6841</v>
      </c>
      <c r="H6" s="420" t="str">
        <f>IFERROR(__xludf.DUMMYFUNCTION("GOOGLETRANSLATE(B6,""zh-tw"",""zh"")"),"5 - 将「低延迟模式」设为「超高」，电源管理模式设为「最佳电源」。")</f>
        <v>5 - 将「低延迟模式」设为「超高」，电源管理模式设为「最佳电源」。</v>
      </c>
      <c r="I6" s="421" t="s">
        <v>6842</v>
      </c>
      <c r="J6" s="421" t="s">
        <v>6843</v>
      </c>
      <c r="K6" s="422" t="s">
        <v>6844</v>
      </c>
      <c r="L6" s="422" t="s">
        <v>6845</v>
      </c>
      <c r="M6" s="151"/>
      <c r="N6" s="151"/>
      <c r="O6" s="151"/>
      <c r="P6" s="151"/>
      <c r="Q6" s="151"/>
      <c r="R6" s="151"/>
      <c r="S6" s="151"/>
      <c r="T6" s="151"/>
      <c r="U6" s="151"/>
      <c r="V6" s="151"/>
      <c r="W6" s="151"/>
    </row>
    <row r="7">
      <c r="A7" s="419" t="s">
        <v>6846</v>
      </c>
      <c r="B7" s="419" t="s">
        <v>6847</v>
      </c>
      <c r="C7" s="125" t="s">
        <v>6848</v>
      </c>
      <c r="D7" s="125" t="str">
        <f>IFERROR(__xludf.DUMMYFUNCTION("GOOGLETRANSLATE(B7,""zh-tw"",""ja"")"),"6-「垂直同期」を「高速」に設定します。")</f>
        <v>6-「垂直同期」を「高速」に設定します。</v>
      </c>
      <c r="E7" s="433" t="s">
        <v>6849</v>
      </c>
      <c r="F7" s="205" t="str">
        <f>IFERROR(__xludf.DUMMYFUNCTION("GOOGLETRANSLATE(B7,""zh-tw"",""en"")"),"6- Set ""Vertical Sync"" to ""Fast"".")</f>
        <v>6- Set "Vertical Sync" to "Fast".</v>
      </c>
      <c r="G7" s="434" t="s">
        <v>6850</v>
      </c>
      <c r="H7" s="420" t="str">
        <f>IFERROR(__xludf.DUMMYFUNCTION("GOOGLETRANSLATE(B7,""zh-tw"",""zh"")"),"6- 将「垂直同步」设为「快速」。")</f>
        <v>6- 将「垂直同步」设为「快速」。</v>
      </c>
      <c r="I7" s="421" t="s">
        <v>6851</v>
      </c>
      <c r="J7" s="421" t="s">
        <v>6852</v>
      </c>
      <c r="K7" s="422" t="s">
        <v>6853</v>
      </c>
      <c r="L7" s="422" t="s">
        <v>6854</v>
      </c>
      <c r="M7" s="151"/>
      <c r="N7" s="151"/>
      <c r="O7" s="151"/>
      <c r="P7" s="151"/>
      <c r="Q7" s="151"/>
      <c r="R7" s="151"/>
      <c r="S7" s="151"/>
      <c r="T7" s="151"/>
      <c r="U7" s="151"/>
      <c r="V7" s="151"/>
      <c r="W7" s="151"/>
    </row>
    <row r="8">
      <c r="A8" s="419" t="s">
        <v>6855</v>
      </c>
      <c r="B8" s="419"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6858</v>
      </c>
      <c r="F8" s="205" t="str">
        <f>IFERROR(__xludf.DUMMYFUNCTION("GOOGLETRANSLATE(B8,""zh-tw"",""en"")"),"7 - If your computer cannot handle these options, please follow the best option.")</f>
        <v>7 - If your computer cannot handle these options, please follow the best option.</v>
      </c>
      <c r="G8" s="434" t="s">
        <v>6859</v>
      </c>
      <c r="H8" s="420" t="str">
        <f>IFERROR(__xludf.DUMMYFUNCTION("GOOGLETRANSLATE(B8,""zh-tw"",""zh"")"),"7 - 如果你的电脑无法负荷这些选项，请依照最佳的选项即可。")</f>
        <v>7 - 如果你的电脑无法负荷这些选项，请依照最佳的选项即可。</v>
      </c>
      <c r="I8" s="421" t="s">
        <v>6860</v>
      </c>
      <c r="J8" s="421" t="s">
        <v>6861</v>
      </c>
      <c r="K8" s="422" t="s">
        <v>6862</v>
      </c>
      <c r="L8" s="422" t="s">
        <v>6863</v>
      </c>
      <c r="M8" s="151"/>
      <c r="N8" s="151"/>
      <c r="O8" s="151"/>
      <c r="P8" s="151"/>
      <c r="Q8" s="151"/>
      <c r="R8" s="151"/>
      <c r="S8" s="151"/>
      <c r="T8" s="151"/>
      <c r="U8" s="151"/>
      <c r="V8" s="151"/>
      <c r="W8" s="151"/>
    </row>
    <row r="9">
      <c r="A9" s="419" t="s">
        <v>6864</v>
      </c>
      <c r="B9" s="419"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6867</v>
      </c>
      <c r="F9" s="205" t="str">
        <f>IFERROR(__xludf.DUMMYFUNCTION("GOOGLETRANSLATE(B9,""zh-tw"",""en"")"),"8- Now, launch the game and you should experience good and stable performance.")</f>
        <v>8- Now, launch the game and you should experience good and stable performance.</v>
      </c>
      <c r="G9" s="434" t="s">
        <v>6868</v>
      </c>
      <c r="H9" s="420" t="str">
        <f>IFERROR(__xludf.DUMMYFUNCTION("GOOGLETRANSLATE(B9,""zh-tw"",""zh"")"),"8- 现在，将游戏启动，你能体验到良好的稳定性能。")</f>
        <v>8- 现在，将游戏启动，你能体验到良好的稳定性能。</v>
      </c>
      <c r="I9" s="421" t="s">
        <v>6869</v>
      </c>
      <c r="J9" s="421" t="s">
        <v>6870</v>
      </c>
      <c r="K9" s="422" t="s">
        <v>6871</v>
      </c>
      <c r="L9" s="422" t="s">
        <v>6872</v>
      </c>
      <c r="M9" s="151"/>
      <c r="N9" s="151"/>
      <c r="O9" s="151"/>
      <c r="P9" s="151"/>
      <c r="Q9" s="151"/>
      <c r="R9" s="151"/>
      <c r="S9" s="151"/>
      <c r="T9" s="151"/>
      <c r="U9" s="151"/>
      <c r="V9" s="151"/>
      <c r="W9" s="151"/>
    </row>
    <row r="10">
      <c r="A10" s="419"/>
      <c r="B10" s="435" t="s">
        <v>6873</v>
      </c>
      <c r="C10" s="436"/>
      <c r="D10" s="437" t="s">
        <v>6874</v>
      </c>
      <c r="E10" s="438"/>
      <c r="F10" s="439" t="s">
        <v>6788</v>
      </c>
      <c r="G10" s="420"/>
      <c r="H10" s="440" t="s">
        <v>6875</v>
      </c>
      <c r="I10" s="441"/>
      <c r="J10" s="442" t="s">
        <v>6790</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