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<sst xmlns="http://schemas.openxmlformats.org/spreadsheetml/2006/main" count="8506" uniqueCount="7107">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</sst>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0" s="45"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Esto solo se puede curar una vez; consulta los eventos del juego de rol.")</f>
        <v>¿Qué te gustaría beber? Esto le permite a tu hermana beber el «Elixir de Médula Roja» para curarse.
P. D.: Esto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energía en aproximadamente 7 días, y existe una probabilidad de que se active si el usuario no espía.
Puede agotarse antes si el hermano mayor se baña solo.
O bien, existe una probabilidad de que se active al ro"&amp;"bar ropa interior.")</f>
        <v>La habilidad de bañarse consumirá toda la energía en aproximadamente 7 días, y existe una probabilidad de que se active si el usuario no espía.
Puede agotarse antes si el hermano mayor se baña solo.
O bien, existe una probabilidad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사용자가 엿보지 않으면 발동될 확률이 있습니다.
형이 혼자 목욕을 하면 더 일찍 사용할 수 있습니다.
아니면 속옷을 훔칠 때 발동될 확률이 있습니다.")</f>
        <v>목욕 능력은 약 7일 후에 모든 능력을 소모하며, 사용자가 엿보지 않으면 발동될 확률이 있습니다.
형이 혼자 목욕을 하면 더 일찍 사용할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나눈 대화에서...")</f>
        <v>누디스트 교육을 받은 후 여동생과 나눈 대화에서...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про жаркую погоду.")</f>
        <v>Купите электрический вентилятор. История про жаркую погоду.</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민감하고 부드럽고 쫄깃한 워터번"" 상품을 받으려면 구매하세요.")</f>
        <v>"매우 민감하고 부드럽고 쫄깃한 워터번"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IFERROR(__xludf.DUMMYFUNCTION("GOOGLETRANSLATE(D48,""zh-tw"",""es-MX"")"),"Adquisición de estatus
*La historia se desarrolla de forma diferente dependiendo de si la bebida se consume antes o después de curar a la hermana.")</f>
        <v>Adquisición de estatus
*La historia se desarrolla de forma diferente dependiendo de si la bebida se consume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(El mapa se denomina simplemente ""Iglesia""; actualmente, los PNJ no tienen funciones y se actualizarán más adelante).")</f>
        <v>Nueva ubicación: La Iglesia en ruinas (con hoguera)
(El mapa se denomina simplemente "Iglesia"; actualmente, los PNJ no tienen funciones y se actualizarán más adelante).</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(이 지도는 ""교회""로만 표기되어 있습니다. 현재 NPC는 아무런 기능을 하지 않으며, 추후 업데이트될 예정입니다.)")</f>
        <v>새로운 장소 - 몰락한 교회 (모닥불 있음)
(이 지도는 "교회"로만 표기되어 있습니다. 현재 NPC는 아무런 기능을 하지 않으며, 추후 업데이트될 예정입니다.)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IFERROR(__xludf.DUMMYFUNCTION("GOOGLETRANSLATE(D69,""zh-tw"",""es-MX"")"),"Llegando a la zona del JEFE.
P. D.: Por ejemplo: las plumas del ave monstruosa se pueden usar para levitar.")</f>
        <v>Llegando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도착했습니다.
추신: 예를 들어: 괴물 새의 깃털은 공중 부양에 사용할 수 있습니다.")</f>
        <v>BOSS 구역에 도착했습니다.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kleine Monster kann mit geringer Wahrscheinlichkeit beim Braten von Fisch erscheinen.")</f>
        <v>Dieses kleine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IFERROR(__xludf.DUMMYFUNCTION("GOOGLETRANSLATE(A14,""zh-tw"",""ja"")"),"夜襲は兄の性欲が一定値を超えた場合にのみ発動します。")</f>
        <v>夜襲は兄の性欲が一定値を超えた場合にのみ発動します。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el deseo sexual del hermano mayor supere cierto valor.")</f>
        <v>La incursión nocturna solo se activará cuando el deseo sexual del hermano mayor supere cierto valor.</v>
      </c>
      <c r="F14" s="213"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3"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3"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á"&amp;"rea de superposición de los cebos también se acumula. Si la probabilidad de activación supera el 100%, aparecerán nuevas condiciones para obtener objetos, como el Señor del Río u objetos especiales.
10. Si el área acuática es demasiado pequeña, ciertos t"&amp;"ipos de monstruos (como jefes) no aparecerán. Si la zona de pesca es demasiado pequeña, el jefe huirá inmediatamente.
En resumen: Días lluviosos + mucha suerte + varias máquinas de gashapon con gran cantidad de gotas de agua + río grande + suficiente ter"&amp;"reno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abatidos por la fuerza.")</f>
        <v>Algunos monstruos glotones, como Asaba y los Orcos, se dejan tentar fácilmente por armas con temática de comida. Es más probable que sean abatidos por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Слизня / Душа Бомбардира")</f>
        <v>Джек Бомба / Слизь Слизня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팬텀/장난꾸러기 잭")</f>
        <v>지옥에서 온/밤안개 팬텀/장난꾸러기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IFERROR(__xludf.DUMMYFUNCTION("GOOGLETRANSLATE(B13,""zh-tw"",""ja"")"),"物理攻撃力：32
魔法攻撃力：16
火属性")</f>
        <v>物理攻撃力：32
魔法攻撃力：16
火属性</v>
      </c>
      <c r="E13" s="334" t="s">
        <v>4514</v>
      </c>
      <c r="F13" s="317" t="s">
        <v>4515</v>
      </c>
      <c r="G13" s="334" t="str">
        <f>IFERROR(__xludf.DUMMYFUNCTION("GOOGLETRANSLATE(A13,""zh-tw"",""zh"")"),"阳炎")</f>
        <v>阳炎</v>
      </c>
      <c r="H13" s="317" t="str">
        <f>IFERROR(__xludf.DUMMYFUNCTION("GOOGLETRANSLATE(B13,""zh-tw"",""zh"")"),"物攻：32
魔攻：16
炎属性")</f>
        <v>物攻：32
魔攻：16
炎属性</v>
      </c>
      <c r="I13" s="335" t="str">
        <f>IFERROR(__xludf.DUMMYFUNCTION("GOOGLETRANSLATE(A13,""zh-tw"",""es-MX"")"),"kagerou")</f>
        <v>kagerou</v>
      </c>
      <c r="J13" s="162" t="str">
        <f>IFERROR(__xludf.DUMMYFUNCTION("GOOGLETRANSLATE(B13,""zh-tw"",""es-MX"")"),"Ataque físico: 32
Ataque mágico: 16
Atributo de fuego")</f>
        <v>Ataque físico: 32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32
Магическая атака: 16
Атрибут огня")</f>
        <v>Физическая атака: 32
Магическая атака: 16
Атрибут огня</v>
      </c>
      <c r="O13" s="334" t="s">
        <v>4518</v>
      </c>
      <c r="P13" s="317" t="s">
        <v>4519</v>
      </c>
      <c r="Q13" s="337" t="s">
        <v>4520</v>
      </c>
      <c r="R13" s="338"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IFERROR(__xludf.DUMMYFUNCTION("GOOGLETRANSLATE(B15,""zh-tw"",""ja"")"),"物理攻撃力：32
魔法攻撃力：12
電撃属性")</f>
        <v>物理攻撃力：32
魔法攻撃力：12
電撃属性</v>
      </c>
      <c r="E15" s="334" t="s">
        <v>4534</v>
      </c>
      <c r="F15" s="317" t="s">
        <v>4535</v>
      </c>
      <c r="G15" s="334" t="str">
        <f>IFERROR(__xludf.DUMMYFUNCTION("GOOGLETRANSLATE(A15,""zh-tw"",""zh"")"),"会漏电的不良品")</f>
        <v>会漏电的不良品</v>
      </c>
      <c r="H15" s="317" t="str">
        <f>IFERROR(__xludf.DUMMYFUNCTION("GOOGLETRANSLATE(B15,""zh-tw"",""zh"")"),"物攻：32
魔攻：12
电属性")</f>
        <v>物攻：32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32
Ataque mágico: 12
Atributo eléctrico")</f>
        <v>Ataque físico: 32
Ataque mágico: 12
Atributo eléctrico</v>
      </c>
      <c r="K15" s="333" t="s">
        <v>4536</v>
      </c>
      <c r="L15" s="162" t="str">
        <f>IFERROR(__xludf.DUMMYFUNCTION("GOOGLETRANSLATE(B15,""zh-tw"",""KO"")"),"물리 공격력: 32
마법 공격력: 12
전기 속성")</f>
        <v>물리 공격력: 32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4" t="s">
        <v>4537</v>
      </c>
      <c r="P15" s="317" t="s">
        <v>4538</v>
      </c>
      <c r="Q15" s="337" t="s">
        <v>4539</v>
      </c>
      <c r="R15" s="338"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IFERROR(__xludf.DUMMYFUNCTION("GOOGLETRANSLATE(B17,""zh-tw"",""ja"")"),"物理攻撃力：42 分割攻撃")</f>
        <v>物理攻撃力：42 分割攻撃</v>
      </c>
      <c r="E17" s="333" t="s">
        <v>4554</v>
      </c>
      <c r="F17" s="161" t="s">
        <v>4555</v>
      </c>
      <c r="G17" s="334" t="str">
        <f>IFERROR(__xludf.DUMMYFUNCTION("GOOGLETRANSLATE(A17,""zh-tw"",""zh"")"),"柳叶刀")</f>
        <v>柳叶刀</v>
      </c>
      <c r="H17" s="317" t="str">
        <f>IFERROR(__xludf.DUMMYFUNCTION("GOOGLETRANSLATE(B17,""zh-tw"",""zh"")"),"物攻：42
分裂攻击")</f>
        <v>物攻：42
分裂攻击</v>
      </c>
      <c r="I17" s="335" t="str">
        <f>IFERROR(__xludf.DUMMYFUNCTION("GOOGLETRANSLATE(A17,""zh-tw"",""es-MX"")"),"Lanceta")</f>
        <v>Lanceta</v>
      </c>
      <c r="J17" s="162" t="str">
        <f>IFERROR(__xludf.DUMMYFUNCTION("GOOGLETRANSLATE(B17,""zh-tw"",""es-MX"")"),"Ataque físico: 42 Ataque dividido")</f>
        <v>Ataque físico: 42 Ataque dividido</v>
      </c>
      <c r="K17" s="335" t="str">
        <f>IFERROR(__xludf.DUMMYFUNCTION("GOOGLETRANSLATE(A17,""zh-tw"",""KO"")"),"랜싯")</f>
        <v>랜싯</v>
      </c>
      <c r="L17" s="162" t="str">
        <f>IFERROR(__xludf.DUMMYFUNCTION("GOOGLETRANSLATE(B17,""zh-tw"",""KO"")"),"물리 공격: 42 분할 공격")</f>
        <v>물리 공격: 42 분할 공격</v>
      </c>
      <c r="M17" s="336" t="str">
        <f>IFERROR(__xludf.DUMMYFUNCTION("GOOGLETRANSLATE(A17,""zh-tw"",""ru"")"),"Ланцет")</f>
        <v>Ланцет</v>
      </c>
      <c r="N17" s="315" t="str">
        <f>IFERROR(__xludf.DUMMYFUNCTION("GOOGLETRANSLATE(B17,""zh-tw"",""ru"")"),"Физическая атака: 42-я раздельная атака")</f>
        <v>Физическая атака: 42-я раздельная атака</v>
      </c>
      <c r="O17" s="334" t="s">
        <v>4556</v>
      </c>
      <c r="P17" s="317" t="s">
        <v>4557</v>
      </c>
      <c r="Q17" s="337" t="s">
        <v>4558</v>
      </c>
      <c r="R17" s="338"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322" t="s">
        <v>4630</v>
      </c>
      <c r="C25" s="339" t="s">
        <v>4631</v>
      </c>
      <c r="D25" s="322" t="s">
        <v>4632</v>
      </c>
      <c r="E25" s="339" t="s">
        <v>4633</v>
      </c>
      <c r="F25" s="322" t="s">
        <v>4634</v>
      </c>
      <c r="G25" s="334" t="str">
        <f>IFERROR(__xludf.DUMMYFUNCTION("GOOGLETRANSLATE(A25,""zh-tw"",""zh"")"),"血狩")</f>
        <v>血狩</v>
      </c>
      <c r="H25" s="317"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322" t="s">
        <v>4636</v>
      </c>
      <c r="Q25" s="337" t="s">
        <v>4637</v>
      </c>
      <c r="R25" s="338"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防御力無視、不可視の刃
*レアガチャアイテム")</f>
        <v>物理攻撃力：32
魔法攻撃力：36
防御力無視、不可視の刃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IFERROR(__xludf.DUMMYFUNCTION("GOOGLETRANSLATE(B28,""zh-tw"",""ja"")"),"物理攻撃力: 20")</f>
        <v>物理攻撃力: 20</v>
      </c>
      <c r="E28" s="334" t="s">
        <v>4661</v>
      </c>
      <c r="F28" s="317" t="s">
        <v>4662</v>
      </c>
      <c r="G28" s="334" t="str">
        <f>IFERROR(__xludf.DUMMYFUNCTION("GOOGLETRANSLATE(A28,""zh-tw"",""zh"")"),"木弓")</f>
        <v>木弓</v>
      </c>
      <c r="H28" s="317" t="str">
        <f>IFERROR(__xludf.DUMMYFUNCTION("GOOGLETRANSLATE(B28,""zh-tw"",""zh"")"),"物攻：20")</f>
        <v>物攻：20</v>
      </c>
      <c r="I28" s="335" t="str">
        <f>IFERROR(__xludf.DUMMYFUNCTION("GOOGLETRANSLATE(A28,""zh-tw"",""es-MX"")"),"arco de madera")</f>
        <v>arco de madera</v>
      </c>
      <c r="J28" s="162" t="str">
        <f>IFERROR(__xludf.DUMMYFUNCTION("GOOGLETRANSLATE(B28,""zh-tw"",""es-MX"")"),"Ataque físico: 20")</f>
        <v>Ataque físico: 20</v>
      </c>
      <c r="K28" s="335" t="str">
        <f>IFERROR(__xludf.DUMMYFUNCTION("GOOGLETRANSLATE(A28,""zh-tw"",""KO"")"),"나무 활")</f>
        <v>나무 활</v>
      </c>
      <c r="L28" s="162" t="str">
        <f>IFERROR(__xludf.DUMMYFUNCTION("GOOGLETRANSLATE(B28,""zh-tw"",""KO"")"),"물리 공격력: 20")</f>
        <v>물리 공격력: 20</v>
      </c>
      <c r="M28" s="336" t="str">
        <f>IFERROR(__xludf.DUMMYFUNCTION("GOOGLETRANSLATE(A28,""zh-tw"",""ru"")"),"деревянный лук")</f>
        <v>деревянный лук</v>
      </c>
      <c r="N28" s="315" t="str">
        <f>IFERROR(__xludf.DUMMYFUNCTION("GOOGLETRANSLATE(B28,""zh-tw"",""ru"")"),"Физическая атака: 20")</f>
        <v>Физическая атака: 20</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魔法攻撃力：86
火属性")</f>
        <v>物理攻撃力：1
魔法攻撃力：86
火属性</v>
      </c>
      <c r="E34" s="334" t="s">
        <v>4295</v>
      </c>
      <c r="F34" s="317" t="s">
        <v>4711</v>
      </c>
      <c r="G34" s="334" t="str">
        <f>IFERROR(__xludf.DUMMYFUNCTION("GOOGLETRANSLATE(A34,""zh-tw"",""zh"")"),"熔岩杖")</f>
        <v>熔岩杖</v>
      </c>
      <c r="H34" s="317" t="str">
        <f>IFERROR(__xludf.DUMMYFUNCTION("GOOGLETRANSLATE(B34,""zh-tw"",""zh"")"),"物攻：1
魔攻：86
炎属性")</f>
        <v>物攻：1
魔攻：86
炎属性</v>
      </c>
      <c r="I34" s="335" t="str">
        <f>IFERROR(__xludf.DUMMYFUNCTION("GOOGLETRANSLATE(A34,""zh-tw"",""es-MX"")"),"Bastón de lava")</f>
        <v>Bastón de lava</v>
      </c>
      <c r="J34" s="162" t="str">
        <f>IFERROR(__xludf.DUMMYFUNCTION("GOOGLETRANSLATE(B34,""zh-tw"",""es-MX"")"),"Ataque físico: 1
Ataque mágico: 86
Atributo de fuego")</f>
        <v>Ataque físico: 1
Ataque mágico: 86
Atributo de fuego</v>
      </c>
      <c r="K34" s="335" t="str">
        <f>IFERROR(__xludf.DUMMYFUNCTION("GOOGLETRANSLATE(A34,""zh-tw"",""KO"")"),"라바 스태프")</f>
        <v>라바 스태프</v>
      </c>
      <c r="L34" s="162" t="str">
        <f>IFERROR(__xludf.DUMMYFUNCTION("GOOGLETRANSLATE(B34,""zh-tw"",""KO"")"),"물리 공격력: 1
마법 공격력: 86
화속성")</f>
        <v>물리 공격력: 1
마법 공격력: 86
화속성</v>
      </c>
      <c r="M34" s="336" t="str">
        <f>IFERROR(__xludf.DUMMYFUNCTION("GOOGLETRANSLATE(A34,""zh-tw"",""ru"")"),"Лавовый посох")</f>
        <v>Лавовый посох</v>
      </c>
      <c r="N34" s="315" t="str">
        <f>IFERROR(__xludf.DUMMYFUNCTION("GOOGLETRANSLATE(B34,""zh-tw"",""ru"")"),"Физическая атака: 1
Магическая атака: 86
Атрибут огня")</f>
        <v>Физическая атака: 1
Магическая атака: 86
Атрибут огня</v>
      </c>
      <c r="O34" s="334" t="s">
        <v>4298</v>
      </c>
      <c r="P34" s="317" t="s">
        <v>4712</v>
      </c>
      <c r="Q34" s="337" t="s">
        <v>4713</v>
      </c>
      <c r="R34" s="338"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2"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8"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8"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8"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IFERROR(__xludf.DUMMYFUNCTION("GOOGLETRANSLATE(B7,""zh-tw"",""ja"")"),"物理防御：出血防御1")</f>
        <v>物理防御：出血防御1</v>
      </c>
      <c r="E7" s="333" t="s">
        <v>4878</v>
      </c>
      <c r="F7" s="161" t="s">
        <v>4879</v>
      </c>
      <c r="G7" s="335" t="str">
        <f>IFERROR(__xludf.DUMMYFUNCTION("GOOGLETRANSLATE(A7,""zh-tw"",""zh"")"),"厕纸")</f>
        <v>厕纸</v>
      </c>
      <c r="H7" s="162" t="str">
        <f>IFERROR(__xludf.DUMMYFUNCTION("GOOGLETRANSLATE(B7,""zh-tw"",""zh"")"),"物防：1
出血防御")</f>
        <v>物防：1
出血防御</v>
      </c>
      <c r="I7" s="335" t="str">
        <f>IFERROR(__xludf.DUMMYFUNCTION("GOOGLETRANSLATE(A7,""zh-tw"",""es-MX"")"),"papel higiénico")</f>
        <v>papel higiénico</v>
      </c>
      <c r="J7" s="162" t="str">
        <f>IFERROR(__xludf.DUMMYFUNCTION("GOOGLETRANSLATE(B7,""zh-tw"",""es-MX"")"),"Defensa física: 1 Defensa contra sangrado")</f>
        <v>Defensa física: 1 Defensa contra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Защита от кровотечения")</f>
        <v>Физическая защита: 1 Защита от кровотечения</v>
      </c>
      <c r="O7" s="334" t="s">
        <v>4881</v>
      </c>
      <c r="P7" s="317" t="s">
        <v>4882</v>
      </c>
      <c r="Q7" s="337" t="s">
        <v>4883</v>
      </c>
      <c r="R7" s="338"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IFERROR(__xludf.DUMMYFUNCTION("GOOGLETRANSLATE(B9,""zh-tw"",""ja"")"),"物理攻撃：5。攻撃速度と移動速度が向上します。")</f>
        <v>物理攻撃：5。攻撃速度と移動速度が向上します。</v>
      </c>
      <c r="E9" s="333" t="s">
        <v>4901</v>
      </c>
      <c r="F9" s="161" t="s">
        <v>4902</v>
      </c>
      <c r="G9" s="335" t="str">
        <f>IFERROR(__xludf.DUMMYFUNCTION("GOOGLETRANSLATE(A9,""zh-tw"",""zh"")"),"借来的猫爪")</f>
        <v>借来的猫爪</v>
      </c>
      <c r="H9" s="162" t="str">
        <f>IFERROR(__xludf.DUMMYFUNCTION("GOOGLETRANSLATE(B9,""zh-tw"",""zh"")"),"物攻：5
攻速、移速上升")</f>
        <v>物攻：5
攻速、移速上升</v>
      </c>
      <c r="I9" s="333" t="s">
        <v>4903</v>
      </c>
      <c r="J9" s="162" t="str">
        <f>IFERROR(__xludf.DUMMYFUNCTION("GOOGLETRANSLATE(B9,""zh-tw"",""es-MX"")"),"Ataque físico: 5. Aumenta la velocidad de ataque y la velocidad de movimiento.")</f>
        <v>Ataque físico: 5. Aumenta la velocidad de ataque y la velocidad de movimiento.</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IFERROR(__xludf.DUMMYFUNCTION("GOOGLETRANSLATE(B14,""zh-tw"",""ja"")"),"自動旋回攻撃")</f>
        <v>自動旋回攻撃</v>
      </c>
      <c r="E14" s="333" t="s">
        <v>4952</v>
      </c>
      <c r="F14" s="161" t="s">
        <v>4953</v>
      </c>
      <c r="G14" s="335" t="str">
        <f>IFERROR(__xludf.DUMMYFUNCTION("GOOGLETRANSLATE(A14,""zh-tw"",""zh"")"),"愤怒的拳头")</f>
        <v>愤怒的拳头</v>
      </c>
      <c r="H14" s="162" t="str">
        <f>IFERROR(__xludf.DUMMYFUNCTION("GOOGLETRANSLATE(B14,""zh-tw"",""zh"")"),"自动环绕攻击")</f>
        <v>自动环绕攻击</v>
      </c>
      <c r="I14" s="335" t="str">
        <f>IFERROR(__xludf.DUMMYFUNCTION("GOOGLETRANSLATE(A14,""zh-tw"",""es-MX"")"),"Puño furioso")</f>
        <v>Puño furioso</v>
      </c>
      <c r="J14" s="162" t="str">
        <f>IFERROR(__xludf.DUMMYFUNCTION("GOOGLETRANSLATE(B14,""zh-tw"",""es-MX"")"),"ataque automático en círculo")</f>
        <v>ataque automático en círculo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IFERROR(__xludf.DUMMYFUNCTION("GOOGLETRANSLATE(B14,""zh-tw"",""ru"")"),"Автоматическая круговая атака")</f>
        <v>Автоматическая круговая атака</v>
      </c>
      <c r="O14" s="334" t="s">
        <v>4955</v>
      </c>
      <c r="P14" s="317" t="s">
        <v>4956</v>
      </c>
      <c r="Q14" s="337" t="s">
        <v>4957</v>
      </c>
      <c r="R14" s="338" t="s">
        <v>4958</v>
      </c>
      <c r="S14" s="17"/>
      <c r="T14" s="17"/>
      <c r="U14" s="17"/>
      <c r="V14" s="17"/>
      <c r="W14" s="17"/>
      <c r="X14" s="17"/>
      <c r="Y14" s="17"/>
      <c r="Z14" s="17"/>
    </row>
    <row r="15">
      <c r="A15" s="334" t="s">
        <v>4959</v>
      </c>
      <c r="B15" s="317" t="s">
        <v>4960</v>
      </c>
      <c r="C15" s="346" t="s">
        <v>4961</v>
      </c>
      <c r="D15" s="185" t="s">
        <v>4962</v>
      </c>
      <c r="E15" s="333" t="s">
        <v>4963</v>
      </c>
      <c r="F15" s="161" t="s">
        <v>4964</v>
      </c>
      <c r="G15" s="335" t="str">
        <f>IFERROR(__xludf.DUMMYFUNCTION("GOOGLETRANSLATE(A15,""zh-tw"",""zh"")"),"毒蛇之拥")</f>
        <v>毒蛇之拥</v>
      </c>
      <c r="H15" s="162" t="str">
        <f>IFERROR(__xludf.DUMMYFUNCTION("GOOGLETRANSLATE(B15,""zh-tw"",""zh"")"),"物攻：1
魔攻：1
自动环绕攻击")</f>
        <v>物攻：1
魔攻：1
自动环绕攻击</v>
      </c>
      <c r="I15" s="335" t="str">
        <f>IFERROR(__xludf.DUMMYFUNCTION("GOOGLETRANSLATE(A15,""zh-tw"",""es-MX"")"),"El abrazo de la serpiente")</f>
        <v>El abrazo de la serpiente</v>
      </c>
      <c r="J15" s="162" t="str">
        <f>IFERROR(__xludf.DUMMYFUNCTION("GOOGLETRANSLATE(B15,""zh-tw"",""es-MX"")"),"Ataque físico: 1
Ataque mágico: 1
Ataque circular automático")</f>
        <v>Ataque físico: 1
Ataque mágico: 1
Ataque circular automático</v>
      </c>
      <c r="K15" s="333" t="s">
        <v>4965</v>
      </c>
      <c r="L15" s="161" t="s">
        <v>4966</v>
      </c>
      <c r="M15" s="336" t="str">
        <f>IFERROR(__xludf.DUMMYFUNCTION("GOOGLETRANSLATE(A15,""zh-tw"",""ru"")"),"Объятия Змеи")</f>
        <v>Объятия Змеи</v>
      </c>
      <c r="N15" s="315" t="str">
        <f>IFERROR(__xludf.DUMMYFUNCTION("GOOGLETRANSLATE(B15,""zh-tw"",""ru"")"),"Физическая атака: 1
Магическая атака: 1
Атака с автокругом")</f>
        <v>Физическая атака: 1
Магическая атака: 1
Атака с автокругом</v>
      </c>
      <c r="O15" s="334" t="s">
        <v>4967</v>
      </c>
      <c r="P15" s="317" t="s">
        <v>4968</v>
      </c>
      <c r="Q15" s="337" t="s">
        <v>4969</v>
      </c>
      <c r="R15" s="338" t="s">
        <v>4970</v>
      </c>
      <c r="S15" s="17"/>
      <c r="T15" s="17"/>
      <c r="U15" s="17"/>
      <c r="V15" s="17"/>
      <c r="W15" s="17"/>
      <c r="X15" s="17"/>
      <c r="Y15" s="17"/>
      <c r="Z15" s="17"/>
    </row>
    <row r="16">
      <c r="A16" s="334" t="s">
        <v>4065</v>
      </c>
      <c r="B16" s="317" t="s">
        <v>4971</v>
      </c>
      <c r="C16" s="348" t="str">
        <f>IFERROR(__xludf.DUMMYFUNCTION("GOOGLETRANSLATE(A16,""zh-tw"",""ja"")"),"火の鳥の羽")</f>
        <v>火の鳥の羽</v>
      </c>
      <c r="D16" s="347" t="str">
        <f>IFERROR(__xludf.DUMMYFUNCTION("GOOGLETRANSLATE(B16,""zh-tw"",""ja"")"),"一度復活する")</f>
        <v>一度復活する</v>
      </c>
      <c r="E16" s="333" t="s">
        <v>4070</v>
      </c>
      <c r="F16" s="161" t="s">
        <v>4972</v>
      </c>
      <c r="G16" s="335" t="str">
        <f>IFERROR(__xludf.DUMMYFUNCTION("GOOGLETRANSLATE(A16,""zh-tw"",""zh"")"),"火鸟的羽毛")</f>
        <v>火鸟的羽毛</v>
      </c>
      <c r="H16" s="162" t="str">
        <f>IFERROR(__xludf.DUMMYFUNCTION("GOOGLETRANSLATE(B16,""zh-tw"",""zh"")"),"复活一次")</f>
        <v>复活一次</v>
      </c>
      <c r="I16" s="335" t="str">
        <f>IFERROR(__xludf.DUMMYFUNCTION("GOOGLETRANSLATE(A16,""zh-tw"",""es-MX"")"),"plumas de ave fénix")</f>
        <v>plumas de ave fénix</v>
      </c>
      <c r="J16" s="162" t="str">
        <f>IFERROR(__xludf.DUMMYFUNCTION("GOOGLETRANSLATE(B16,""zh-tw"",""es-MX"")"),"Resucita una vez")</f>
        <v>Resucita una vez</v>
      </c>
      <c r="K16" s="334" t="s">
        <v>4073</v>
      </c>
      <c r="L16" s="161" t="s">
        <v>4973</v>
      </c>
      <c r="M16" s="336" t="str">
        <f>IFERROR(__xludf.DUMMYFUNCTION("GOOGLETRANSLATE(A16,""zh-tw"",""ru"")"),"Перья жар-птицы")</f>
        <v>Перья жар-птицы</v>
      </c>
      <c r="N16" s="315" t="str">
        <f>IFERROR(__xludf.DUMMYFUNCTION("GOOGLETRANSLATE(B16,""zh-tw"",""ru"")"),"Воскресить однажды")</f>
        <v>Воскресить однажды</v>
      </c>
      <c r="O16" s="334" t="s">
        <v>4076</v>
      </c>
      <c r="P16" s="317" t="s">
        <v>4974</v>
      </c>
      <c r="Q16" s="337" t="s">
        <v>4079</v>
      </c>
      <c r="R16" s="338" t="s">
        <v>4975</v>
      </c>
      <c r="S16" s="17"/>
      <c r="T16" s="17"/>
      <c r="U16" s="17"/>
      <c r="V16" s="17"/>
      <c r="W16" s="17"/>
      <c r="X16" s="17"/>
      <c r="Y16" s="17"/>
      <c r="Z16" s="17"/>
    </row>
    <row r="17">
      <c r="A17" s="334" t="s">
        <v>4976</v>
      </c>
      <c r="B17" s="317" t="s">
        <v>4977</v>
      </c>
      <c r="C17" s="346" t="s">
        <v>4978</v>
      </c>
      <c r="D17" s="347" t="str">
        <f>IFERROR(__xludf.DUMMYFUNCTION("GOOGLETRANSLATE(B17,""zh-tw"",""ja"")"),"物理防御力: 2
魔法耐性: 15
落下ダメージ軽減")</f>
        <v>物理防御力: 2
魔法耐性: 15
落下ダメージ軽減</v>
      </c>
      <c r="E17" s="333" t="s">
        <v>4979</v>
      </c>
      <c r="F17" s="161" t="s">
        <v>4980</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4981</v>
      </c>
      <c r="L17" s="161" t="s">
        <v>4982</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4983</v>
      </c>
      <c r="P17" s="317" t="s">
        <v>4984</v>
      </c>
      <c r="Q17" s="337" t="s">
        <v>4985</v>
      </c>
      <c r="R17" s="338" t="s">
        <v>4986</v>
      </c>
      <c r="S17" s="17"/>
      <c r="T17" s="17"/>
      <c r="U17" s="17"/>
      <c r="V17" s="17"/>
      <c r="W17" s="17"/>
      <c r="X17" s="17"/>
      <c r="Y17" s="17"/>
      <c r="Z17" s="17"/>
    </row>
    <row r="18">
      <c r="A18" s="333" t="s">
        <v>4987</v>
      </c>
      <c r="B18" s="161" t="s">
        <v>4988</v>
      </c>
      <c r="C18" s="346" t="s">
        <v>4989</v>
      </c>
      <c r="D18" s="347"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5" t="str">
        <f>IFERROR(__xludf.DUMMYFUNCTION("GOOGLETRANSLATE(A18,""zh-tw"",""en"")"),"Martial Arts Wristguards")</f>
        <v>Martial Arts Wristguards</v>
      </c>
      <c r="F18" s="162" t="str">
        <f>IFERROR(__xludf.DUMMYFUNCTION("GOOGLETRANSLATE(B18,""zh-tw"",""en"")"),"Physical Attack: 3. Reduces weapon durability consumption, increases attack speed and punch damage.")</f>
        <v>Physical Attack: 3. Reduces weapon durability consumption, increases attack speed and punch damage.</v>
      </c>
      <c r="G18" s="335" t="str">
        <f>IFERROR(__xludf.DUMMYFUNCTION("GOOGLETRANSLATE(A18,""zh-tw"",""zh"")"),"武术家护腕")</f>
        <v>武术家护腕</v>
      </c>
      <c r="H18" s="162" t="str">
        <f>IFERROR(__xludf.DUMMYFUNCTION("GOOGLETRANSLATE(B18,""zh-tw"",""zh"")"),"物攻：3
减少武器耐久消耗、提升攻速和拳击的伤害")</f>
        <v>物攻：3
减少武器耐久消耗、提升攻速和拳击的伤害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5" t="str">
        <f>IFERROR(__xludf.DUMMYFUNCTION("GOOGLETRANSLATE(A18,""zh-tw"",""KO"")"),"무술 손목 보호대")</f>
        <v>무술 손목 보호대</v>
      </c>
      <c r="L18" s="162" t="str">
        <f>IFERROR(__xludf.DUMMYFUNCTION("GOOGLETRANSLATE(B18,""zh-tw"",""KO"")"),"물리 공격력: 3. 무기 내구도 소모 감소, 공격 속도 증가, 펀치 데미지 증가.")</f>
        <v>물리 공격력: 3. 무기 내구도 소모 감소, 공격 속도 증가, 펀치 데미지 증가.</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4" t="s">
        <v>4990</v>
      </c>
      <c r="P18" s="317" t="s">
        <v>4991</v>
      </c>
      <c r="Q18" s="337" t="s">
        <v>4992</v>
      </c>
      <c r="R18" s="338" t="s">
        <v>4993</v>
      </c>
      <c r="S18" s="17"/>
      <c r="T18" s="17"/>
      <c r="U18" s="17"/>
      <c r="V18" s="17"/>
      <c r="W18" s="17"/>
      <c r="X18" s="17"/>
      <c r="Y18" s="17"/>
      <c r="Z18" s="17"/>
    </row>
    <row r="19">
      <c r="A19" s="334" t="s">
        <v>4994</v>
      </c>
      <c r="B19" s="317" t="s">
        <v>4995</v>
      </c>
      <c r="C19" s="346" t="s">
        <v>4996</v>
      </c>
      <c r="D19" s="347" t="str">
        <f>IFERROR(__xludf.DUMMYFUNCTION("GOOGLETRANSLATE(B19,""zh-tw"",""ja"")"),"移動速度：5 フラッシュステップ効果強化")</f>
        <v>移動速度：5 フラッシュステップ効果強化</v>
      </c>
      <c r="E19" s="333" t="s">
        <v>4997</v>
      </c>
      <c r="F19" s="161" t="s">
        <v>4998</v>
      </c>
      <c r="G19" s="335" t="str">
        <f>IFERROR(__xludf.DUMMYFUNCTION("GOOGLETRANSLATE(A19,""zh-tw"",""zh"")"),"武术家之鞋")</f>
        <v>武术家之鞋</v>
      </c>
      <c r="H19" s="162" t="str">
        <f>IFERROR(__xludf.DUMMYFUNCTION("GOOGLETRANSLATE(B19,""zh-tw"",""zh"")"),"移速:5
闪步效果强化")</f>
        <v>移速:5
闪步效果强化</v>
      </c>
      <c r="I19" s="335" t="str">
        <f>IFERROR(__xludf.DUMMYFUNCTION("GOOGLETRANSLATE(A19,""zh-tw"",""es-MX"")"),"Zapatos de artista marcial")</f>
        <v>Zapatos de artista marcial</v>
      </c>
      <c r="J19" s="162" t="str">
        <f>IFERROR(__xludf.DUMMYFUNCTION("GOOGLETRANSLATE(B19,""zh-tw"",""es-MX"")"),"Velocidad de movimiento: 5. Efecto de paso relámpago mejorado.")</f>
        <v>Velocidad de movimiento: 5. Efecto de paso relámpago mejorado.</v>
      </c>
      <c r="K19" s="335" t="str">
        <f>IFERROR(__xludf.DUMMYFUNCTION("GOOGLETRANSLATE(A19,""zh-tw"",""KO"")"),"무술가의 신발")</f>
        <v>무술가의 신발</v>
      </c>
      <c r="L19" s="162" t="str">
        <f>IFERROR(__xludf.DUMMYFUNCTION("GOOGLETRANSLATE(B19,""zh-tw"",""KO"")"),"이동 속도: 5 플래시 스텝 효과 강화")</f>
        <v>이동 속도: 5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IFERROR(__xludf.DUMMYFUNCTION("GOOGLETRANSLATE(B19,""zh-tw"",""ru"")"),"Скорость передвижения: 5 шагов, улучшен эффект вспышки")</f>
        <v>Скорость передвижения: 5 шагов, улучшен эффект вспышки</v>
      </c>
      <c r="O19" s="334" t="s">
        <v>4999</v>
      </c>
      <c r="P19" s="317" t="s">
        <v>5000</v>
      </c>
      <c r="Q19" s="337" t="s">
        <v>5001</v>
      </c>
      <c r="R19" s="338" t="s">
        <v>5002</v>
      </c>
      <c r="S19" s="17"/>
      <c r="T19" s="17"/>
      <c r="U19" s="17"/>
      <c r="V19" s="17"/>
      <c r="W19" s="17"/>
      <c r="X19" s="17"/>
      <c r="Y19" s="17"/>
      <c r="Z19" s="17"/>
    </row>
    <row r="20">
      <c r="A20" s="334" t="s">
        <v>5003</v>
      </c>
      <c r="B20" s="317" t="s">
        <v>5004</v>
      </c>
      <c r="C20" s="346" t="s">
        <v>5005</v>
      </c>
      <c r="D20" s="347" t="str">
        <f>IFERROR(__xludf.DUMMYFUNCTION("GOOGLETRANSLATE(B20,""zh-tw"",""ja"")"),"物理防御：1 運：60")</f>
        <v>物理防御：1 運：60</v>
      </c>
      <c r="E20" s="333" t="s">
        <v>5006</v>
      </c>
      <c r="F20" s="161" t="s">
        <v>5007</v>
      </c>
      <c r="G20" s="335" t="str">
        <f>IFERROR(__xludf.DUMMYFUNCTION("GOOGLETRANSLATE(A20,""zh-tw"",""zh"")"),"萌萌兔耳")</f>
        <v>萌萌兔耳</v>
      </c>
      <c r="H20" s="162" t="str">
        <f>IFERROR(__xludf.DUMMYFUNCTION("GOOGLETRANSLATE(B20,""zh-tw"",""zh"")"),"物防：1
幸运：60")</f>
        <v>物防：1
幸运：60</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f>
        <v>물리 방어력: 1 행운: 60</v>
      </c>
      <c r="M20" s="336" t="str">
        <f>IFERROR(__xludf.DUMMYFUNCTION("GOOGLETRANSLATE(A20,""zh-tw"",""ru"")"),"Милые ушки зайчика")</f>
        <v>Милые ушки зайчика</v>
      </c>
      <c r="N20" s="315" t="str">
        <f>IFERROR(__xludf.DUMMYFUNCTION("GOOGLETRANSLATE(B20,""zh-tw"",""ru"")"),"Физическая защита: 1 Удача: 60")</f>
        <v>Физическая защита: 1 Удача: 60</v>
      </c>
      <c r="O20" s="334" t="s">
        <v>5008</v>
      </c>
      <c r="P20" s="317" t="s">
        <v>5009</v>
      </c>
      <c r="Q20" s="337" t="s">
        <v>5010</v>
      </c>
      <c r="R20" s="338" t="s">
        <v>5011</v>
      </c>
      <c r="S20" s="17"/>
      <c r="T20" s="17"/>
      <c r="U20" s="17"/>
      <c r="V20" s="17"/>
      <c r="W20" s="17"/>
      <c r="X20" s="17"/>
      <c r="Y20" s="17"/>
      <c r="Z20" s="17"/>
    </row>
    <row r="21">
      <c r="A21" s="334" t="s">
        <v>5012</v>
      </c>
      <c r="B21" s="317" t="s">
        <v>5013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5014</v>
      </c>
      <c r="F21" s="161" t="s">
        <v>5015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5016</v>
      </c>
      <c r="L21" s="161" t="s">
        <v>5017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5018</v>
      </c>
      <c r="P21" s="317" t="s">
        <v>5019</v>
      </c>
      <c r="Q21" s="337" t="s">
        <v>5020</v>
      </c>
      <c r="R21" s="338" t="s">
        <v>5021</v>
      </c>
      <c r="S21" s="17"/>
      <c r="T21" s="17"/>
      <c r="U21" s="17"/>
      <c r="V21" s="17"/>
      <c r="W21" s="17"/>
      <c r="X21" s="17"/>
      <c r="Y21" s="17"/>
      <c r="Z21" s="17"/>
    </row>
    <row r="22">
      <c r="A22" s="334" t="s">
        <v>5022</v>
      </c>
      <c r="B22" s="317" t="s">
        <v>5023</v>
      </c>
      <c r="C22" s="346" t="s">
        <v>5024</v>
      </c>
      <c r="D22" s="347" t="str">
        <f>IFERROR(__xludf.DUMMYFUNCTION("GOOGLETRANSLATE(B22,""zh-tw"",""ja"")"),"魔法攻撃力：20
魔法耐性：10
スピードキャスト、魔法貫通")</f>
        <v>魔法攻撃力：20
魔法耐性：10
スピードキャスト、魔法貫通</v>
      </c>
      <c r="E22" s="333" t="s">
        <v>5025</v>
      </c>
      <c r="F22" s="161" t="s">
        <v>5026</v>
      </c>
      <c r="G22" s="335" t="str">
        <f>IFERROR(__xludf.DUMMYFUNCTION("GOOGLETRANSLATE(A22,""zh-tw"",""zh"")"),"魔力晶簇")</f>
        <v>魔力晶簇</v>
      </c>
      <c r="H22" s="162" t="str">
        <f>IFERROR(__xludf.DUMMYFUNCTION("GOOGLETRANSLATE(B22,""zh-tw"",""zh"")"),"魔攻：20
魔抗：10
加快吟唱、魔法穿透")</f>
        <v>魔攻：20
魔抗：10
加快吟唱、魔法穿透</v>
      </c>
      <c r="I22" s="335" t="str">
        <f>IFERROR(__xludf.DUMMYFUNCTION("GOOGLETRANSLATE(A22,""zh-tw"",""es-MX"")"),"Racimo de cristales mágicos")</f>
        <v>Racimo de cristales mágicos</v>
      </c>
      <c r="J22" s="162" t="str">
        <f>IFERROR(__xludf.DUMMYFUNCTION("GOOGLETRANSLATE(B22,""zh-tw"",""es-MX"")"),"Ataque mágico: 20
Resistencia mágica: 10
Velocidad de lanzamiento, Penetración mágica")</f>
        <v>Ataque mágico: 20
Resistencia mágica: 10
Velocidad de lanzamiento, Penetración mágica</v>
      </c>
      <c r="K22" s="333" t="s">
        <v>5027</v>
      </c>
      <c r="L22" s="161" t="s">
        <v>5028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4" t="s">
        <v>5029</v>
      </c>
      <c r="P22" s="317" t="s">
        <v>5030</v>
      </c>
      <c r="Q22" s="337" t="s">
        <v>5031</v>
      </c>
      <c r="R22" s="338" t="s">
        <v>5032</v>
      </c>
      <c r="S22" s="17"/>
      <c r="T22" s="17"/>
      <c r="U22" s="17"/>
      <c r="V22" s="17"/>
      <c r="W22" s="17"/>
      <c r="X22" s="17"/>
      <c r="Y22" s="17"/>
      <c r="Z22" s="17"/>
    </row>
    <row r="23">
      <c r="A23" s="334" t="s">
        <v>5033</v>
      </c>
      <c r="B23" s="317" t="s">
        <v>5034</v>
      </c>
      <c r="C23" s="346" t="s">
        <v>5035</v>
      </c>
      <c r="D23" s="347" t="str">
        <f>IFERROR(__xludf.DUMMYFUNCTION("GOOGLETRANSLATE(B23,""zh-tw"",""ja"")"),"魔法攻撃力: 35
魔法耐性: 20
スピードキャスト、魔法貫通")</f>
        <v>魔法攻撃力: 35
魔法耐性: 20
スピードキャスト、魔法貫通</v>
      </c>
      <c r="E23" s="333" t="s">
        <v>5036</v>
      </c>
      <c r="F23" s="161" t="s">
        <v>5037</v>
      </c>
      <c r="G23" s="335" t="str">
        <f>IFERROR(__xludf.DUMMYFUNCTION("GOOGLETRANSLATE(A23,""zh-tw"",""zh"")"),"深邃魔力晶簇")</f>
        <v>深邃魔力晶簇</v>
      </c>
      <c r="H23" s="162" t="str">
        <f>IFERROR(__xludf.DUMMYFUNCTION("GOOGLETRANSLATE(B23,""zh-tw"",""zh"")"),"魔攻：35
魔抗：20
加快吟唱、魔法穿透")</f>
        <v>魔攻：35
魔抗：20
加快吟唱、魔法穿透</v>
      </c>
      <c r="I23" s="335" t="str">
        <f>IFERROR(__xludf.DUMMYFUNCTION("GOOGLETRANSLATE(A23,""zh-tw"",""es-MX"")"),"Racimo de cristales de magia profunda")</f>
        <v>Racimo de cristales de magia profunda</v>
      </c>
      <c r="J23" s="162" t="str">
        <f>IFERROR(__xludf.DUMMYFUNCTION("GOOGLETRANSLATE(B23,""zh-tw"",""es-MX"")"),"Ataque mágico: 35
Resistencia mágica: 20
Velocidad de lanzamiento, Penetración mágica")</f>
        <v>Ataque mágico: 35
Resistencia mágica: 20
Velocidad de lanzamiento, Penetración mágica</v>
      </c>
      <c r="K23" s="334" t="s">
        <v>5038</v>
      </c>
      <c r="L23" s="161" t="s">
        <v>5039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4" t="s">
        <v>5040</v>
      </c>
      <c r="P23" s="317" t="s">
        <v>5041</v>
      </c>
      <c r="Q23" s="337" t="s">
        <v>5042</v>
      </c>
      <c r="R23" s="338" t="s">
        <v>5043</v>
      </c>
      <c r="S23" s="17"/>
      <c r="T23" s="17"/>
      <c r="U23" s="17"/>
      <c r="V23" s="17"/>
      <c r="W23" s="17"/>
      <c r="X23" s="17"/>
      <c r="Y23" s="17"/>
      <c r="Z23" s="17"/>
    </row>
    <row r="24">
      <c r="A24" s="334" t="s">
        <v>5044</v>
      </c>
      <c r="B24" s="317" t="s">
        <v>5045</v>
      </c>
      <c r="C24" s="346" t="s">
        <v>5046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5047</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2"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5057</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5058</v>
      </c>
      <c r="P25" s="317" t="s">
        <v>5059</v>
      </c>
      <c r="Q25" s="337" t="s">
        <v>5060</v>
      </c>
      <c r="R25" s="338" t="s">
        <v>5061</v>
      </c>
      <c r="S25" s="17"/>
      <c r="T25" s="17"/>
      <c r="U25" s="17"/>
      <c r="V25" s="17"/>
      <c r="W25" s="17"/>
      <c r="X25" s="17"/>
      <c r="Y25" s="17"/>
      <c r="Z25" s="17"/>
    </row>
    <row r="26">
      <c r="A26" s="333" t="s">
        <v>5062</v>
      </c>
      <c r="B26" s="161" t="s">
        <v>5063</v>
      </c>
      <c r="C26" s="346" t="s">
        <v>5064</v>
      </c>
      <c r="D26" s="185" t="s">
        <v>5065</v>
      </c>
      <c r="E26" s="333" t="s">
        <v>5066</v>
      </c>
      <c r="F26" s="161" t="s">
        <v>5067</v>
      </c>
      <c r="G26" s="335" t="str">
        <f>IFERROR(__xludf.DUMMYFUNCTION("GOOGLETRANSLATE(A26,""zh-tw"",""zh"")"),"调皮的杰克")</f>
        <v>调皮的杰克</v>
      </c>
      <c r="H26" s="162" t="str">
        <f>IFERROR(__xludf.DUMMYFUNCTION("GOOGLETRANSLATE(B26,""zh-tw"",""zh"")"),"魔攻：8
魔防：8
增强残血伤害")</f>
        <v>魔攻：8
魔防：8
增强残血伤害</v>
      </c>
      <c r="I26" s="335" t="str">
        <f>IFERROR(__xludf.DUMMYFUNCTION("GOOGLETRANSLATE(A26,""zh-tw"",""es-MX"")"),"Jack el travieso")</f>
        <v>Jack el travieso</v>
      </c>
      <c r="J26" s="162" t="str">
        <f>IFERROR(__xludf.DUMMYFUNCTION("GOOGLETRANSLATE(B26,""zh-tw"",""es-MX"")"),"Ataque mágico: 8
Defensa mágica: 8
Aumenta el daño infligido a enemigos con poca salud.")</f>
        <v>Ataque mágico: 8
Defensa mágica: 8
Aumenta el daño infligido a enemigos con poca salud.</v>
      </c>
      <c r="K26" s="335" t="str">
        <f>IFERROR(__xludf.DUMMYFUNCTION("GOOGLETRANSLATE(A26,""zh-tw"",""KO"")"),"장난꾸러기 잭")</f>
        <v>장난꾸러기 잭</v>
      </c>
      <c r="L26" s="161" t="s">
        <v>5068</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4" t="s">
        <v>5069</v>
      </c>
      <c r="P26" s="317" t="s">
        <v>5070</v>
      </c>
      <c r="Q26" s="337" t="s">
        <v>5071</v>
      </c>
      <c r="R26" s="164" t="s">
        <v>5072</v>
      </c>
      <c r="S26" s="17"/>
      <c r="T26" s="17"/>
      <c r="U26" s="17"/>
      <c r="V26" s="17"/>
      <c r="W26" s="17"/>
      <c r="X26" s="17"/>
      <c r="Y26" s="17"/>
      <c r="Z26" s="17"/>
    </row>
    <row r="27">
      <c r="A27" s="333" t="s">
        <v>5073</v>
      </c>
      <c r="B27" s="161" t="s">
        <v>5074</v>
      </c>
      <c r="C27" s="346" t="s">
        <v>5075</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5076</v>
      </c>
      <c r="F27" s="161" t="s">
        <v>5077</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5078</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5079</v>
      </c>
      <c r="L27" s="161" t="s">
        <v>5080</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5081</v>
      </c>
      <c r="P27" s="317" t="s">
        <v>5082</v>
      </c>
      <c r="Q27" s="337" t="s">
        <v>5083</v>
      </c>
      <c r="R27" s="338" t="s">
        <v>5084</v>
      </c>
      <c r="S27" s="17"/>
      <c r="T27" s="17"/>
      <c r="U27" s="17"/>
      <c r="V27" s="17"/>
      <c r="W27" s="17"/>
      <c r="X27" s="17"/>
      <c r="Y27" s="17"/>
      <c r="Z27" s="17"/>
    </row>
    <row r="28">
      <c r="A28" s="333" t="s">
        <v>5085</v>
      </c>
      <c r="B28" s="161" t="s">
        <v>5086</v>
      </c>
      <c r="C28" s="346" t="s">
        <v>5087</v>
      </c>
      <c r="D28" s="347" t="str">
        <f>IFERROR(__xludf.DUMMYFUNCTION("GOOGLETRANSLATE(B28,""zh-tw"",""ja"")"),"追加爆発効果、爆発軽減")</f>
        <v>追加爆発効果、爆発軽減</v>
      </c>
      <c r="E28" s="333" t="s">
        <v>5088</v>
      </c>
      <c r="F28" s="161" t="s">
        <v>5089</v>
      </c>
      <c r="G28" s="335" t="str">
        <f>IFERROR(__xludf.DUMMYFUNCTION("GOOGLETRANSLATE(A28,""zh-tw"",""zh"")"),"炸弹魔之魂")</f>
        <v>炸弹魔之魂</v>
      </c>
      <c r="H28" s="162" t="str">
        <f>IFERROR(__xludf.DUMMYFUNCTION("GOOGLETRANSLATE(B28,""zh-tw"",""zh"")"),"附带爆炸效果、爆炸减免")</f>
        <v>附带爆炸效果、爆炸减免</v>
      </c>
      <c r="I28" s="335" t="str">
        <f>IFERROR(__xludf.DUMMYFUNCTION("GOOGLETRANSLATE(A28,""zh-tw"",""es-MX"")"),"Alma del bombardero")</f>
        <v>Alma del bombardero</v>
      </c>
      <c r="J28" s="162" t="str">
        <f>IFERROR(__xludf.DUMMYFUNCTION("GOOGLETRANSLATE(B28,""zh-tw"",""es-MX"")"),"Efecto de explosión adicional, reducción de explosión")</f>
        <v>Efecto de explosión adicional, reducción de explosión</v>
      </c>
      <c r="K28" s="334" t="s">
        <v>5090</v>
      </c>
      <c r="L28" s="161" t="s">
        <v>5091</v>
      </c>
      <c r="M28" s="336" t="str">
        <f>IFERROR(__xludf.DUMMYFUNCTION("GOOGLETRANSLATE(A28,""zh-tw"",""ru"")"),"Душа бомбардировщика")</f>
        <v>Душа бомбардировщика</v>
      </c>
      <c r="N28" s="315" t="str">
        <f>IFERROR(__xludf.DUMMYFUNCTION("GOOGLETRANSLATE(B28,""zh-tw"",""ru"")"),"Дополнительный эффект взрыва, снижение взрыва")</f>
        <v>Дополнительный эффект взрыва, снижение взрыва</v>
      </c>
      <c r="O28" s="334" t="s">
        <v>5092</v>
      </c>
      <c r="P28" s="317" t="s">
        <v>5093</v>
      </c>
      <c r="Q28" s="337" t="s">
        <v>5094</v>
      </c>
      <c r="R28" s="338" t="s">
        <v>5095</v>
      </c>
      <c r="S28" s="17"/>
      <c r="T28" s="17"/>
      <c r="U28" s="17"/>
      <c r="V28" s="17"/>
      <c r="W28" s="17"/>
      <c r="X28" s="17"/>
      <c r="Y28" s="17"/>
      <c r="Z28" s="17"/>
    </row>
    <row r="29">
      <c r="A29" s="333" t="s">
        <v>5096</v>
      </c>
      <c r="B29" s="161" t="s">
        <v>5097</v>
      </c>
      <c r="C29" s="346" t="s">
        <v>5098</v>
      </c>
      <c r="D29" s="347" t="str">
        <f>IFERROR(__xludf.DUMMYFUNCTION("GOOGLETRANSLATE(B29,""zh-tw"",""ja"")"),"物理攻撃力：4 爆弾効果を強化")</f>
        <v>物理攻撃力：4 爆弾効果を強化</v>
      </c>
      <c r="E29" s="333" t="s">
        <v>5099</v>
      </c>
      <c r="F29" s="161" t="s">
        <v>5100</v>
      </c>
      <c r="G29" s="335" t="str">
        <f>IFERROR(__xludf.DUMMYFUNCTION("GOOGLETRANSLATE(A29,""zh-tw"",""zh"")"),"纵火狂的防烫手套")</f>
        <v>纵火狂的防烫手套</v>
      </c>
      <c r="H29" s="162" t="str">
        <f>IFERROR(__xludf.DUMMYFUNCTION("GOOGLETRANSLATE(B29,""zh-tw"",""zh"")"),"物攻:4
增强炸弹效果")</f>
        <v>物攻:4
增强炸弹效果</v>
      </c>
      <c r="I29" s="335" t="str">
        <f>IFERROR(__xludf.DUMMYFUNCTION("GOOGLETRANSLATE(A29,""zh-tw"",""es-MX"")"),"Los guantes resistentes al calor del pirómano")</f>
        <v>Los guantes resistentes al calor del pirómano</v>
      </c>
      <c r="J29" s="162" t="str">
        <f>IFERROR(__xludf.DUMMYFUNCTION("GOOGLETRANSLATE(B29,""zh-tw"",""es-MX"")"),"Ataque físico: 4. Potencia el efecto de la bomba.")</f>
        <v>Ataque físico: 4. Potencia el efecto de la bomba.</v>
      </c>
      <c r="K29" s="333" t="s">
        <v>5101</v>
      </c>
      <c r="L29" s="161" t="s">
        <v>5102</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Увеличивает эффект бомбы")</f>
        <v>Физическая атака: 4 Увеличивает эффект бомбы</v>
      </c>
      <c r="O29" s="334" t="s">
        <v>5103</v>
      </c>
      <c r="P29" s="317" t="s">
        <v>5104</v>
      </c>
      <c r="Q29" s="337" t="s">
        <v>5105</v>
      </c>
      <c r="R29" s="338" t="s">
        <v>5106</v>
      </c>
      <c r="S29" s="17"/>
      <c r="T29" s="17"/>
      <c r="U29" s="17"/>
      <c r="V29" s="17"/>
      <c r="W29" s="17"/>
      <c r="X29" s="17"/>
      <c r="Y29" s="17"/>
      <c r="Z29" s="17"/>
    </row>
    <row r="30">
      <c r="A30" s="334" t="s">
        <v>5107</v>
      </c>
      <c r="B30" s="317" t="s">
        <v>5108</v>
      </c>
      <c r="C30" s="346" t="s">
        <v>5109</v>
      </c>
      <c r="D30" s="347" t="str">
        <f>IFERROR(__xludf.DUMMYFUNCTION("GOOGLETRANSLATE(B30,""zh-tw"",""ja"")"),"魔法攻撃力: 10
物理防御力: 1
魔法耐性: 20
武器が追加の魔法ダメージを与えます。")</f>
        <v>魔法攻撃力: 10
物理防御力: 1
魔法耐性: 20
武器が追加の魔法ダメージを与えます。</v>
      </c>
      <c r="E30" s="333" t="s">
        <v>5110</v>
      </c>
      <c r="F30" s="161" t="s">
        <v>5111</v>
      </c>
      <c r="G30" s="335" t="str">
        <f>IFERROR(__xludf.DUMMYFUNCTION("GOOGLETRANSLATE(A30,""zh-tw"",""zh"")"),"魔力汲取手套")</f>
        <v>魔力汲取手套</v>
      </c>
      <c r="H30" s="162" t="str">
        <f>IFERROR(__xludf.DUMMYFUNCTION("GOOGLETRANSLATE(B30,""zh-tw"",""zh"")"),"魔攻：10
物防：1
魔抗：20
武器附带魔法伤害")</f>
        <v>魔攻：10
物防：1
魔抗：20
武器附带魔法伤害</v>
      </c>
      <c r="I30" s="335" t="str">
        <f>IFERROR(__xludf.DUMMYFUNCTION("GOOGLETRANSLATE(A30,""zh-tw"",""es-MX"")"),"Guantes de absorción mágica")</f>
        <v>Guantes de absorción mágica</v>
      </c>
      <c r="J30" s="162" t="str">
        <f>IFERROR(__xludf.DUMMYFUNCTION("GOOGLETRANSLATE(B30,""zh-tw"",""es-MX"")"),"Ataque mágico: 10
Defensa física: 1
Resistencia mágica: 20
El arma inflige daño mágico adicional.")</f>
        <v>Ataque mágico: 10
Defensa física: 1
Resistencia mágica: 20
El arma inflige daño mágico adicional.</v>
      </c>
      <c r="K30" s="334" t="s">
        <v>5112</v>
      </c>
      <c r="L30" s="161" t="s">
        <v>5113</v>
      </c>
      <c r="M30" s="336" t="str">
        <f>IFERROR(__xludf.DUMMYFUNCTION("GOOGLETRANSLATE(A30,""zh-tw"",""ru"")"),"Перчатки магического поглощения")</f>
        <v>Перчатки магического поглощения</v>
      </c>
      <c r="N30" s="315"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4" t="s">
        <v>5114</v>
      </c>
      <c r="P30" s="317" t="s">
        <v>5115</v>
      </c>
      <c r="Q30" s="337" t="s">
        <v>5116</v>
      </c>
      <c r="R30" s="338" t="s">
        <v>5117</v>
      </c>
      <c r="S30" s="17"/>
      <c r="T30" s="17"/>
      <c r="U30" s="17"/>
      <c r="V30" s="17"/>
      <c r="W30" s="17"/>
      <c r="X30" s="17"/>
      <c r="Y30" s="17"/>
      <c r="Z30" s="17"/>
    </row>
    <row r="31">
      <c r="A31" s="334" t="s">
        <v>5118</v>
      </c>
      <c r="B31" s="317" t="s">
        <v>5119</v>
      </c>
      <c r="C31" s="346" t="s">
        <v>5120</v>
      </c>
      <c r="D31" s="347" t="str">
        <f>IFERROR(__xludf.DUMMYFUNCTION("GOOGLETRANSLATE(B31,""zh-tw"",""ja"")"),"物理攻撃: 2 物理防御: 6 ダメージを与えるアーマー")</f>
        <v>物理攻撃: 2 物理防御: 6 ダメージを与えるアーマー</v>
      </c>
      <c r="E31" s="333" t="s">
        <v>5121</v>
      </c>
      <c r="F31" s="161" t="s">
        <v>5122</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5123</v>
      </c>
      <c r="L31" s="161" t="s">
        <v>5124</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5125</v>
      </c>
      <c r="P31" s="317" t="s">
        <v>5126</v>
      </c>
      <c r="Q31" s="337" t="s">
        <v>5127</v>
      </c>
      <c r="R31" s="338" t="s">
        <v>5128</v>
      </c>
      <c r="S31" s="17"/>
      <c r="T31" s="17"/>
      <c r="U31" s="17"/>
      <c r="V31" s="17"/>
      <c r="W31" s="17"/>
      <c r="X31" s="17"/>
      <c r="Y31" s="17"/>
      <c r="Z31" s="17"/>
    </row>
    <row r="32">
      <c r="A32" s="334" t="s">
        <v>5129</v>
      </c>
      <c r="B32" s="317" t="s">
        <v>5130</v>
      </c>
      <c r="C32" s="346" t="s">
        <v>5131</v>
      </c>
      <c r="D32" s="347" t="str">
        <f>IFERROR(__xludf.DUMMYFUNCTION("GOOGLETRANSLATE(B32,""zh-tw"",""ja"")"),"物理攻撃力：4
物理防御力：2
ダメージを与えるアーマー")</f>
        <v>物理攻撃力：4
物理防御力：2
ダメージを与えるアーマー</v>
      </c>
      <c r="E32" s="333" t="s">
        <v>5132</v>
      </c>
      <c r="F32" s="161" t="s">
        <v>5133</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5134</v>
      </c>
      <c r="L32" s="161" t="s">
        <v>5135</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5136</v>
      </c>
      <c r="P32" s="317" t="s">
        <v>5137</v>
      </c>
      <c r="Q32" s="337" t="s">
        <v>5138</v>
      </c>
      <c r="R32" s="338" t="s">
        <v>5139</v>
      </c>
      <c r="S32" s="17"/>
      <c r="T32" s="17"/>
      <c r="U32" s="17"/>
      <c r="V32" s="17"/>
      <c r="W32" s="17"/>
      <c r="X32" s="17"/>
      <c r="Y32" s="17"/>
      <c r="Z32" s="17"/>
    </row>
    <row r="33">
      <c r="A33" s="334" t="s">
        <v>5140</v>
      </c>
      <c r="B33" s="317" t="s">
        <v>5141</v>
      </c>
      <c r="C33" s="346" t="s">
        <v>5142</v>
      </c>
      <c r="D33" s="347" t="str">
        <f>IFERROR(__xludf.DUMMYFUNCTION("GOOGLETRANSLATE(B33,""zh-tw"",""ja"")"),"物理攻撃: 2 物理防御: 2 ダメージを与えるアーマー")</f>
        <v>物理攻撃: 2 物理防御: 2 ダメージを与えるアーマー</v>
      </c>
      <c r="E33" s="333" t="s">
        <v>5143</v>
      </c>
      <c r="F33" s="161" t="s">
        <v>5144</v>
      </c>
      <c r="G33" s="335" t="str">
        <f>IFERROR(__xludf.DUMMYFUNCTION("GOOGLETRANSLATE(A33,""zh-tw"",""zh"")"),"穿刺钉鞋")</f>
        <v>穿刺钉鞋</v>
      </c>
      <c r="H33" s="162" t="str">
        <f>IFERROR(__xludf.DUMMYFUNCTION("GOOGLETRANSLATE(B33,""zh-tw"",""zh"")"),"物攻：2
物防：2
伤害型防具")</f>
        <v>物攻：2
物防：2
伤害型防具</v>
      </c>
      <c r="I33" s="333" t="s">
        <v>5145</v>
      </c>
      <c r="J33" s="162" t="str">
        <f>IFERROR(__xludf.DUMMYFUNCTION("GOOGLETRANSLATE(B33,""zh-tw"",""es-MX"")"),"Ataque físico: 2 Defensa física: 2 Armadura que inflige daño")</f>
        <v>Ataque físico: 2 Defensa física: 2 Armadura que inflige daño</v>
      </c>
      <c r="K33" s="333" t="s">
        <v>5146</v>
      </c>
      <c r="L33" s="161" t="s">
        <v>5147</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5148</v>
      </c>
      <c r="P33" s="317" t="s">
        <v>5149</v>
      </c>
      <c r="Q33" s="337" t="s">
        <v>5150</v>
      </c>
      <c r="R33" s="338" t="s">
        <v>5151</v>
      </c>
      <c r="S33" s="17"/>
      <c r="T33" s="17"/>
      <c r="U33" s="17"/>
      <c r="V33" s="17"/>
      <c r="W33" s="17"/>
      <c r="X33" s="17"/>
      <c r="Y33" s="17"/>
      <c r="Z33" s="17"/>
    </row>
    <row r="34">
      <c r="A34" s="334" t="s">
        <v>5152</v>
      </c>
      <c r="B34" s="317" t="s">
        <v>5153</v>
      </c>
      <c r="C34" s="346" t="s">
        <v>5154</v>
      </c>
      <c r="D34" s="347" t="str">
        <f>IFERROR(__xludf.DUMMYFUNCTION("GOOGLETRANSLATE(B34,""zh-tw"",""ja"")"),"物理攻撃力：5
物理防御力：1
ダメージを与えるアーマー")</f>
        <v>物理攻撃力：5
物理防御力：1
ダメージを与えるアーマー</v>
      </c>
      <c r="E34" s="333" t="s">
        <v>5155</v>
      </c>
      <c r="F34" s="161" t="s">
        <v>5156</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5157</v>
      </c>
      <c r="L34" s="161" t="s">
        <v>5158</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5159</v>
      </c>
      <c r="P34" s="317" t="s">
        <v>5160</v>
      </c>
      <c r="Q34" s="337" t="s">
        <v>5161</v>
      </c>
      <c r="R34" s="338" t="s">
        <v>5162</v>
      </c>
      <c r="S34" s="17"/>
      <c r="T34" s="17"/>
      <c r="U34" s="17"/>
      <c r="V34" s="17"/>
      <c r="W34" s="17"/>
      <c r="X34" s="17"/>
      <c r="Y34" s="17"/>
      <c r="Z34" s="17"/>
    </row>
    <row r="35">
      <c r="A35" s="334" t="s">
        <v>5163</v>
      </c>
      <c r="B35" s="317" t="s">
        <v>5164</v>
      </c>
      <c r="C35" s="348" t="str">
        <f>IFERROR(__xludf.DUMMYFUNCTION("GOOGLETRANSLATE(A35,""zh-tw"",""ja"")"),"騎士のヘルメット")</f>
        <v>騎士のヘルメット</v>
      </c>
      <c r="D35" s="347" t="str">
        <f>IFERROR(__xludf.DUMMYFUNCTION("GOOGLETRANSLATE(B35,""zh-tw"",""ja"")"),"物理防御力: 5
魔法耐性: 2
スタミナが低いと能力が上昇する")</f>
        <v>物理防御力: 5
魔法耐性: 2
スタミナが低いと能力が上昇する</v>
      </c>
      <c r="E35" s="333" t="s">
        <v>5165</v>
      </c>
      <c r="F35" s="161" t="s">
        <v>5166</v>
      </c>
      <c r="G35" s="335" t="str">
        <f>IFERROR(__xludf.DUMMYFUNCTION("GOOGLETRANSLATE(A35,""zh-tw"",""zh"")"),"骑士头盔")</f>
        <v>骑士头盔</v>
      </c>
      <c r="H35" s="162" t="str">
        <f>IFERROR(__xludf.DUMMYFUNCTION("GOOGLETRANSLATE(B35,""zh-tw"",""zh"")"),"物防：5
魔抗：2
低体力增属性")</f>
        <v>物防：5
魔抗：2
低体力增属性</v>
      </c>
      <c r="I35" s="335" t="str">
        <f>IFERROR(__xludf.DUMMYFUNCTION("GOOGLETRANSLATE(A35,""zh-tw"",""es-MX"")"),"Casco de caballero")</f>
        <v>Casco de caballero</v>
      </c>
      <c r="J35" s="162" t="str">
        <f>IFERROR(__xludf.DUMMYFUNCTION("GOOGLETRANSLATE(B35,""zh-tw"",""es-MX"")"),"Defensa física: 5
Resistencia mágica: 2
Baja resistencia: aumenta los atributos")</f>
        <v>Defensa física: 5
Resistencia mágica: 2
Baja resistencia: aumenta los atributos</v>
      </c>
      <c r="K35" s="333" t="s">
        <v>5167</v>
      </c>
      <c r="L35" s="161" t="s">
        <v>5168</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4" t="s">
        <v>5169</v>
      </c>
      <c r="P35" s="317" t="s">
        <v>5170</v>
      </c>
      <c r="Q35" s="337" t="s">
        <v>5171</v>
      </c>
      <c r="R35" s="338" t="s">
        <v>5172</v>
      </c>
      <c r="S35" s="17"/>
      <c r="T35" s="17"/>
      <c r="U35" s="17"/>
      <c r="V35" s="17"/>
      <c r="W35" s="17"/>
      <c r="X35" s="17"/>
      <c r="Y35" s="17"/>
      <c r="Z35" s="17"/>
    </row>
    <row r="36">
      <c r="A36" s="334" t="s">
        <v>5173</v>
      </c>
      <c r="B36" s="317" t="s">
        <v>5174</v>
      </c>
      <c r="C36" s="346" t="s">
        <v>5175</v>
      </c>
      <c r="D36" s="347" t="str">
        <f>IFERROR(__xludf.DUMMYFUNCTION("GOOGLETRANSLATE(B36,""zh-tw"",""ja"")"),"物理攻撃: 2 物理防御: 3 HPが低いときにステータスが上昇")</f>
        <v>物理攻撃: 2 物理防御: 3 HPが低いときにステータスが上昇</v>
      </c>
      <c r="E36" s="333" t="s">
        <v>5176</v>
      </c>
      <c r="F36" s="161" t="s">
        <v>5177</v>
      </c>
      <c r="G36" s="335" t="str">
        <f>IFERROR(__xludf.DUMMYFUNCTION("GOOGLETRANSLATE(A36,""zh-tw"",""zh"")"),"骑士护臂")</f>
        <v>骑士护臂</v>
      </c>
      <c r="H36" s="162" t="str">
        <f>IFERROR(__xludf.DUMMYFUNCTION("GOOGLETRANSLATE(B36,""zh-tw"",""zh"")"),"物攻：2
物防：3
低体力增属性")</f>
        <v>物攻：2
物防：3
低体力增属性</v>
      </c>
      <c r="I36" s="333" t="s">
        <v>5178</v>
      </c>
      <c r="J36" s="162" t="str">
        <f>IFERROR(__xludf.DUMMYFUNCTION("GOOGLETRANSLATE(B36,""zh-tw"",""es-MX"")"),"Ataque físico: 2 Defensa física: 3 Aumenta las estadísticas cuando la salud está baja")</f>
        <v>Ataque físico: 2 Defensa física: 3 Aumenta las estadísticas cuando la salud está baja</v>
      </c>
      <c r="K36" s="334" t="s">
        <v>5179</v>
      </c>
      <c r="L36" s="161" t="s">
        <v>5180</v>
      </c>
      <c r="M36" s="336" t="str">
        <f>IFERROR(__xludf.DUMMYFUNCTION("GOOGLETRANSLATE(A36,""zh-tw"",""ru"")"),"Наручи рыцаря")</f>
        <v>Наручи рыцаря</v>
      </c>
      <c r="N36" s="315"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4" t="s">
        <v>5181</v>
      </c>
      <c r="P36" s="317" t="s">
        <v>5182</v>
      </c>
      <c r="Q36" s="337" t="s">
        <v>5183</v>
      </c>
      <c r="R36" s="338" t="s">
        <v>5184</v>
      </c>
      <c r="S36" s="17"/>
      <c r="T36" s="17"/>
      <c r="U36" s="17"/>
      <c r="V36" s="17"/>
      <c r="W36" s="17"/>
      <c r="X36" s="17"/>
      <c r="Y36" s="17"/>
      <c r="Z36" s="17"/>
    </row>
    <row r="37">
      <c r="A37" s="334" t="s">
        <v>5185</v>
      </c>
      <c r="B37" s="317" t="s">
        <v>5186</v>
      </c>
      <c r="C37" s="346" t="s">
        <v>5187</v>
      </c>
      <c r="D37" s="347" t="str">
        <f>IFERROR(__xludf.DUMMYFUNCTION("GOOGLETRANSLATE(B37,""zh-tw"",""ja"")"),"物理防御力: 2
魔法耐性: 2
HPが低いとステータスが上昇")</f>
        <v>物理防御力: 2
魔法耐性: 2
HPが低いとステータスが上昇</v>
      </c>
      <c r="E37" s="333" t="s">
        <v>5188</v>
      </c>
      <c r="F37" s="161" t="s">
        <v>5189</v>
      </c>
      <c r="G37" s="335" t="str">
        <f>IFERROR(__xludf.DUMMYFUNCTION("GOOGLETRANSLATE(A37,""zh-tw"",""zh"")"),"骑士胫甲")</f>
        <v>骑士胫甲</v>
      </c>
      <c r="H37" s="162" t="str">
        <f>IFERROR(__xludf.DUMMYFUNCTION("GOOGLETRANSLATE(B37,""zh-tw"",""zh"")"),"物防：2
魔抗：2
低体力增属性")</f>
        <v>物防：2
魔抗：2
低体力增属性</v>
      </c>
      <c r="I37" s="335" t="str">
        <f>IFERROR(__xludf.DUMMYFUNCTION("GOOGLETRANSLATE(A37,""zh-tw"",""es-MX"")"),"Grebas de caballero")</f>
        <v>Grebas de caballero</v>
      </c>
      <c r="J37" s="162" t="str">
        <f>IFERROR(__xludf.DUMMYFUNCTION("GOOGLETRANSLATE(B37,""zh-tw"",""es-MX"")"),"Defensa física: 2
Resistencia mágica: 2
Poca vida aumenta las estadísticas")</f>
        <v>Defensa física: 2
Resistencia mágica: 2
Poca vida aumenta las estadísticas</v>
      </c>
      <c r="K37" s="333" t="s">
        <v>5190</v>
      </c>
      <c r="L37" s="161" t="s">
        <v>5191</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4" t="s">
        <v>5192</v>
      </c>
      <c r="P37" s="317" t="s">
        <v>5193</v>
      </c>
      <c r="Q37" s="337" t="s">
        <v>5194</v>
      </c>
      <c r="R37" s="338" t="s">
        <v>5195</v>
      </c>
      <c r="S37" s="17"/>
      <c r="T37" s="17"/>
      <c r="U37" s="17"/>
      <c r="V37" s="17"/>
      <c r="W37" s="17"/>
      <c r="X37" s="17"/>
      <c r="Y37" s="17"/>
      <c r="Z37" s="17"/>
    </row>
    <row r="38">
      <c r="A38" s="334" t="s">
        <v>5196</v>
      </c>
      <c r="B38" s="317" t="s">
        <v>5197</v>
      </c>
      <c r="C38" s="348" t="str">
        <f>IFERROR(__xludf.DUMMYFUNCTION("GOOGLETRANSLATE(A38,""zh-tw"",""ja"")"),"騎士の鎧")</f>
        <v>騎士の鎧</v>
      </c>
      <c r="D38" s="347" t="str">
        <f>IFERROR(__xludf.DUMMYFUNCTION("GOOGLETRANSLATE(B38,""zh-tw"",""ja"")"),"物理防御力: 10
魔法耐性: 4
スタミナ低下時に能力値が上昇")</f>
        <v>物理防御力: 10
魔法耐性: 4
スタミナ低下時に能力値が上昇</v>
      </c>
      <c r="E38" s="333" t="s">
        <v>5198</v>
      </c>
      <c r="F38" s="161" t="s">
        <v>5199</v>
      </c>
      <c r="G38" s="335" t="str">
        <f>IFERROR(__xludf.DUMMYFUNCTION("GOOGLETRANSLATE(A38,""zh-tw"",""zh"")"),"骑士铠甲")</f>
        <v>骑士铠甲</v>
      </c>
      <c r="H38" s="162" t="str">
        <f>IFERROR(__xludf.DUMMYFUNCTION("GOOGLETRANSLATE(B38,""zh-tw"",""zh"")"),"物防：10
魔抗：4
低体力增属性")</f>
        <v>物防：10
魔抗：4
低体力增属性</v>
      </c>
      <c r="I38" s="335" t="str">
        <f>IFERROR(__xludf.DUMMYFUNCTION("GOOGLETRANSLATE(A38,""zh-tw"",""es-MX"")"),"Armadura de caballero")</f>
        <v>Armadura de caballero</v>
      </c>
      <c r="J38" s="162" t="str">
        <f>IFERROR(__xludf.DUMMYFUNCTION("GOOGLETRANSLATE(B38,""zh-tw"",""es-MX"")"),"Defensa física: 10
Resistencia mágica: 4
Aumento de atributos cuando la resistencia es baja")</f>
        <v>Defensa física: 10
Resistencia mágica: 4
Aumento de atributos cuando la resistencia es baja</v>
      </c>
      <c r="K38" s="333" t="s">
        <v>5200</v>
      </c>
      <c r="L38" s="161" t="s">
        <v>5201</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4" t="s">
        <v>5202</v>
      </c>
      <c r="P38" s="317" t="s">
        <v>5203</v>
      </c>
      <c r="Q38" s="337" t="s">
        <v>5204</v>
      </c>
      <c r="R38" s="338" t="s">
        <v>5205</v>
      </c>
      <c r="S38" s="17"/>
      <c r="T38" s="17"/>
      <c r="U38" s="17"/>
      <c r="V38" s="17"/>
      <c r="W38" s="17"/>
      <c r="X38" s="17"/>
      <c r="Y38" s="17"/>
      <c r="Z38" s="17"/>
    </row>
    <row r="39">
      <c r="A39" s="339" t="s">
        <v>5206</v>
      </c>
      <c r="B39" s="162" t="s">
        <v>5207</v>
      </c>
      <c r="C39" s="346" t="s">
        <v>5208</v>
      </c>
      <c r="D39" s="347" t="str">
        <f>IFERROR(__xludf.DUMMYFUNCTION("GOOGLETRANSLATE(B39,""zh-tw"",""ja"")"),"魔法攻撃: 10 自動照準")</f>
        <v>魔法攻撃: 10 自動照準</v>
      </c>
      <c r="E39" s="333" t="s">
        <v>5209</v>
      </c>
      <c r="F39" s="161" t="s">
        <v>5210</v>
      </c>
      <c r="G39" s="335" t="str">
        <f>IFERROR(__xludf.DUMMYFUNCTION("GOOGLETRANSLATE(A39,""zh-tw"",""zh"")"),"堕落法师的手套")</f>
        <v>堕落法师的手套</v>
      </c>
      <c r="H39" s="162" t="str">
        <f>IFERROR(__xludf.DUMMYFUNCTION("GOOGLETRANSLATE(B39,""zh-tw"",""zh"")"),"魔攻：10
自动瞄准")</f>
        <v>魔攻：10
自动瞄准</v>
      </c>
      <c r="I39" s="335" t="str">
        <f>IFERROR(__xludf.DUMMYFUNCTION("GOOGLETRANSLATE(A39,""zh-tw"",""es-MX"")"),"Los guantes del mago caído")</f>
        <v>Los guantes del mago caído</v>
      </c>
      <c r="J39" s="162" t="str">
        <f>IFERROR(__xludf.DUMMYFUNCTION("GOOGLETRANSLATE(B39,""zh-tw"",""es-MX"")"),"Ataque mágico: 10 Apuntado automático")</f>
        <v>Ataque mágico: 10 Apuntado automático</v>
      </c>
      <c r="K39" s="335" t="str">
        <f>IFERROR(__xludf.DUMMYFUNCTION("GOOGLETRANSLATE(A39,""zh-tw"",""KO"")"),"타락한 마법사의 장갑")</f>
        <v>타락한 마법사의 장갑</v>
      </c>
      <c r="L39" s="161" t="s">
        <v>5211</v>
      </c>
      <c r="M39" s="336" t="str">
        <f>IFERROR(__xludf.DUMMYFUNCTION("GOOGLETRANSLATE(A39,""zh-tw"",""ru"")"),"Перчатки падшего мага")</f>
        <v>Перчатки падшего мага</v>
      </c>
      <c r="N39" s="315" t="str">
        <f>IFERROR(__xludf.DUMMYFUNCTION("GOOGLETRANSLATE(B39,""zh-tw"",""ru"")"),"Магическая атака: 10 Автоприцеливание")</f>
        <v>Магическая атака: 10 Автоприцеливание</v>
      </c>
      <c r="O39" s="334" t="s">
        <v>5212</v>
      </c>
      <c r="P39" s="317" t="s">
        <v>5213</v>
      </c>
      <c r="Q39" s="337" t="s">
        <v>5214</v>
      </c>
      <c r="R39" s="325" t="s">
        <v>5215</v>
      </c>
      <c r="S39" s="17"/>
      <c r="T39" s="17"/>
      <c r="U39" s="17"/>
      <c r="V39" s="17"/>
      <c r="W39" s="17"/>
      <c r="X39" s="17"/>
      <c r="Y39" s="17"/>
      <c r="Z39" s="17"/>
    </row>
    <row r="40">
      <c r="A40" s="333" t="s">
        <v>5216</v>
      </c>
      <c r="B40" s="161" t="s">
        <v>5217</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5218</v>
      </c>
      <c r="F40" s="161" t="s">
        <v>5219</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5220</v>
      </c>
      <c r="L40" s="161" t="s">
        <v>5221</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5222</v>
      </c>
      <c r="P40" s="317" t="s">
        <v>5223</v>
      </c>
      <c r="Q40" s="337" t="s">
        <v>5224</v>
      </c>
      <c r="R40" s="338" t="s">
        <v>5225</v>
      </c>
      <c r="S40" s="17"/>
      <c r="T40" s="17"/>
      <c r="U40" s="17"/>
      <c r="V40" s="17"/>
      <c r="W40" s="17"/>
      <c r="X40" s="17"/>
      <c r="Y40" s="17"/>
      <c r="Z40" s="17"/>
    </row>
    <row r="41">
      <c r="A41" s="333" t="s">
        <v>5226</v>
      </c>
      <c r="B41" s="161" t="s">
        <v>5227</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5228</v>
      </c>
      <c r="F41" s="161" t="s">
        <v>5229</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5230</v>
      </c>
      <c r="L41" s="161" t="s">
        <v>5231</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5232</v>
      </c>
      <c r="P41" s="317" t="s">
        <v>5233</v>
      </c>
      <c r="Q41" s="337" t="s">
        <v>5234</v>
      </c>
      <c r="R41" s="338" t="s">
        <v>5235</v>
      </c>
      <c r="S41" s="17"/>
      <c r="T41" s="17"/>
      <c r="U41" s="17"/>
      <c r="V41" s="17"/>
      <c r="W41" s="17"/>
      <c r="X41" s="17"/>
      <c r="Y41" s="17"/>
      <c r="Z41" s="17"/>
    </row>
    <row r="42">
      <c r="A42" s="339" t="s">
        <v>5236</v>
      </c>
      <c r="B42" s="161" t="s">
        <v>5237</v>
      </c>
      <c r="C42" s="348" t="str">
        <f>IFERROR(__xludf.DUMMYFUNCTION("GOOGLETRANSLATE(A42,""zh-tw"",""ja"")"),"堕落した魔術師の軽い足音")</f>
        <v>堕落した魔術師の軽い足音</v>
      </c>
      <c r="D42" s="347" t="str">
        <f>IFERROR(__xludf.DUMMYFUNCTION("GOOGLETRANSLATE(B42,""zh-tw"",""ja"")"),"魔法攻撃力：10
魔法耐性：20
ボイド：敵弾を含むあらゆる障害物を無視")</f>
        <v>魔法攻撃力：10
魔法耐性：20
ボイド：敵弾を含むあらゆる障害物を無視</v>
      </c>
      <c r="E42" s="333" t="s">
        <v>5238</v>
      </c>
      <c r="F42" s="161" t="s">
        <v>5239</v>
      </c>
      <c r="G42" s="335" t="str">
        <f>IFERROR(__xludf.DUMMYFUNCTION("GOOGLETRANSLATE(A42,""zh-tw"",""zh"")"),"堕落法师的轻履")</f>
        <v>堕落法师的轻履</v>
      </c>
      <c r="H42" s="162" t="str">
        <f>IFERROR(__xludf.DUMMYFUNCTION("GOOGLETRANSLATE(B42,""zh-tw"",""zh"")"),"魔攻：10
魔抗：20
虚无：无视一切阻碍、包括敌人子弹")</f>
        <v>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3" t="s">
        <v>5240</v>
      </c>
      <c r="L42" s="161" t="s">
        <v>5241</v>
      </c>
      <c r="M42" s="336" t="str">
        <f>IFERROR(__xludf.DUMMYFUNCTION("GOOGLETRANSLATE(A42,""zh-tw"",""ru"")"),"Легкие шаги падшего мага")</f>
        <v>Легкие шаги падшего мага</v>
      </c>
      <c r="N42" s="315"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4" t="s">
        <v>5242</v>
      </c>
      <c r="P42" s="317" t="s">
        <v>5243</v>
      </c>
      <c r="Q42" s="337" t="s">
        <v>5244</v>
      </c>
      <c r="R42" s="338" t="s">
        <v>5245</v>
      </c>
      <c r="S42" s="17"/>
      <c r="T42" s="17"/>
      <c r="U42" s="17"/>
      <c r="V42" s="17"/>
      <c r="W42" s="17"/>
      <c r="X42" s="17"/>
      <c r="Y42" s="17"/>
      <c r="Z42" s="17"/>
    </row>
    <row r="43">
      <c r="A43" s="333" t="s">
        <v>5246</v>
      </c>
      <c r="B43" s="161" t="s">
        <v>5247</v>
      </c>
      <c r="C43" s="346" t="s">
        <v>5248</v>
      </c>
      <c r="D43" s="347" t="str">
        <f>IFERROR(__xludf.DUMMYFUNCTION("GOOGLETRANSLATE(B43,""zh-tw"",""ja"")"),"魔法攻撃: 1. スタン耐性、魔法貫通力および魔法範囲の拡大。")</f>
        <v>魔法攻撃: 1. スタン耐性、魔法貫通力および魔法範囲の拡大。</v>
      </c>
      <c r="E43" s="333" t="s">
        <v>5249</v>
      </c>
      <c r="F43" s="161" t="s">
        <v>5250</v>
      </c>
      <c r="G43" s="335" t="str">
        <f>IFERROR(__xludf.DUMMYFUNCTION("GOOGLETRANSLATE(A43,""zh-tw"",""zh"")"),"精神凝聚头环")</f>
        <v>精神凝聚头环</v>
      </c>
      <c r="H43" s="162" t="str">
        <f>IFERROR(__xludf.DUMMYFUNCTION("GOOGLETRANSLATE(B43,""zh-tw"",""zh"")"),"魔攻：1
免疫晕眩、增强魔法穿透和魔法范围")</f>
        <v>魔攻：1
免疫晕眩、增强魔法穿透和魔法范围</v>
      </c>
      <c r="I43" s="335" t="str">
        <f>IFERROR(__xludf.DUMMYFUNCTION("GOOGLETRANSLATE(A43,""zh-tw"",""es-MX"")"),"Diadema de cohesión espiritual")</f>
        <v>Diadema de cohesión espiritual</v>
      </c>
      <c r="J43" s="162" t="str">
        <f>IFERROR(__xludf.DUMMYFUNCTION("GOOGLETRANSLATE(B43,""zh-tw"",""es-MX"")"),"Ataque mágico: 1. Inmune al aturdimiento, mayor penetración mágica y mayor alcance mágico.")</f>
        <v>Ataque mágico: 1. Inmune al aturdimiento, mayor penetración mágica y mayor alcance mágico.</v>
      </c>
      <c r="K43" s="333" t="s">
        <v>5251</v>
      </c>
      <c r="L43" s="161" t="s">
        <v>5252</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4" t="s">
        <v>5253</v>
      </c>
      <c r="P43" s="317" t="s">
        <v>5254</v>
      </c>
      <c r="Q43" s="337" t="s">
        <v>5255</v>
      </c>
      <c r="R43" s="338" t="s">
        <v>5256</v>
      </c>
      <c r="S43" s="17"/>
      <c r="T43" s="17"/>
      <c r="U43" s="17"/>
      <c r="V43" s="17"/>
      <c r="W43" s="17"/>
      <c r="X43" s="17"/>
      <c r="Y43" s="17"/>
      <c r="Z43" s="17"/>
    </row>
    <row r="44">
      <c r="A44" s="333" t="s">
        <v>5257</v>
      </c>
      <c r="B44" s="161" t="s">
        <v>5258</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5259</v>
      </c>
      <c r="F44" s="161" t="s">
        <v>5260</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5261</v>
      </c>
      <c r="L44" s="161" t="s">
        <v>5262</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5263</v>
      </c>
      <c r="P44" s="317" t="s">
        <v>5264</v>
      </c>
      <c r="Q44" s="337" t="s">
        <v>5265</v>
      </c>
      <c r="R44" s="338" t="s">
        <v>5266</v>
      </c>
      <c r="S44" s="17"/>
      <c r="T44" s="17"/>
      <c r="U44" s="17"/>
      <c r="V44" s="17"/>
      <c r="W44" s="17"/>
      <c r="X44" s="17"/>
      <c r="Y44" s="17"/>
      <c r="Z44" s="17"/>
    </row>
    <row r="45">
      <c r="A45" s="333" t="s">
        <v>5267</v>
      </c>
      <c r="B45" s="161" t="s">
        <v>5268</v>
      </c>
      <c r="C45" s="346" t="s">
        <v>5269</v>
      </c>
      <c r="D45" s="185" t="s">
        <v>5270</v>
      </c>
      <c r="E45" s="333" t="s">
        <v>5271</v>
      </c>
      <c r="F45" s="161" t="s">
        <v>5272</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5273</v>
      </c>
      <c r="L45" s="161" t="s">
        <v>5274</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5275</v>
      </c>
      <c r="P45" s="317" t="s">
        <v>5276</v>
      </c>
      <c r="Q45" s="337" t="s">
        <v>5277</v>
      </c>
      <c r="R45" s="338" t="s">
        <v>5278</v>
      </c>
      <c r="S45" s="17"/>
      <c r="T45" s="17"/>
      <c r="U45" s="17"/>
      <c r="V45" s="17"/>
      <c r="W45" s="17"/>
      <c r="X45" s="17"/>
      <c r="Y45" s="17"/>
      <c r="Z45" s="17"/>
    </row>
    <row r="46">
      <c r="A46" s="334" t="s">
        <v>5279</v>
      </c>
      <c r="B46" s="317" t="s">
        <v>5280</v>
      </c>
      <c r="C46" s="346" t="s">
        <v>5281</v>
      </c>
      <c r="D46" s="347" t="str">
        <f>IFERROR(__xludf.DUMMYFUNCTION("GOOGLETRANSLATE(B46,""zh-tw"",""ja"")"),"魔法耐性: 10
幸運: 10
翌日は晴れ")</f>
        <v>魔法耐性: 10
幸運: 10
翌日は晴れ</v>
      </c>
      <c r="E46" s="333" t="s">
        <v>5282</v>
      </c>
      <c r="F46" s="161" t="s">
        <v>5283</v>
      </c>
      <c r="G46" s="335" t="str">
        <f>IFERROR(__xludf.DUMMYFUNCTION("GOOGLETRANSLATE(A46,""zh-tw"",""zh"")"),"晴天娃娃")</f>
        <v>晴天娃娃</v>
      </c>
      <c r="H46" s="162" t="str">
        <f>IFERROR(__xludf.DUMMYFUNCTION("GOOGLETRANSLATE(B46,""zh-tw"",""zh"")"),"魔抗：10
幸运：10
第二天晴天")</f>
        <v>魔抗：10
幸运：10
第二天晴天</v>
      </c>
      <c r="I46" s="333" t="s">
        <v>5282</v>
      </c>
      <c r="J46" s="162" t="str">
        <f>IFERROR(__xludf.DUMMYFUNCTION("GOOGLETRANSLATE(B46,""zh-tw"",""es-MX"")"),"Resistencia mágica: 10
Suerte: 10
Día soleado al día siguiente")</f>
        <v>Resistencia mágica: 10
Suerte: 10
Día soleado al día siguiente</v>
      </c>
      <c r="K46" s="333" t="s">
        <v>5284</v>
      </c>
      <c r="L46" s="161" t="s">
        <v>5285</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5286</v>
      </c>
      <c r="P46" s="317" t="s">
        <v>5287</v>
      </c>
      <c r="Q46" s="349" t="s">
        <v>5288</v>
      </c>
      <c r="R46" s="338" t="s">
        <v>5289</v>
      </c>
      <c r="S46" s="17"/>
      <c r="T46" s="17"/>
      <c r="U46" s="17"/>
      <c r="V46" s="17"/>
      <c r="W46" s="17"/>
      <c r="X46" s="17"/>
      <c r="Y46" s="17"/>
      <c r="Z46" s="17"/>
    </row>
    <row r="47">
      <c r="A47" s="334" t="s">
        <v>5290</v>
      </c>
      <c r="B47" s="317" t="s">
        <v>5291</v>
      </c>
      <c r="C47" s="346" t="s">
        <v>5292</v>
      </c>
      <c r="D47" s="347" t="str">
        <f>IFERROR(__xludf.DUMMYFUNCTION("GOOGLETRANSLATE(B47,""zh-tw"",""ja"")"),"魔法耐性：10
幸運：10
2日目は曇りでした。")</f>
        <v>魔法耐性：10
幸運：10
2日目は曇りでした。</v>
      </c>
      <c r="E47" s="333" t="s">
        <v>5293</v>
      </c>
      <c r="F47" s="161" t="s">
        <v>5294</v>
      </c>
      <c r="G47" s="335" t="str">
        <f>IFERROR(__xludf.DUMMYFUNCTION("GOOGLETRANSLATE(A47,""zh-tw"",""zh"")"),"阴天娃娃")</f>
        <v>阴天娃娃</v>
      </c>
      <c r="H47" s="162" t="str">
        <f>IFERROR(__xludf.DUMMYFUNCTION("GOOGLETRANSLATE(B47,""zh-tw"",""zh"")"),"魔抗：10
幸运：10
第二天阴天")</f>
        <v>魔抗：10
幸运：10
第二天阴天</v>
      </c>
      <c r="I47" s="333" t="s">
        <v>5293</v>
      </c>
      <c r="J47" s="162" t="str">
        <f>IFERROR(__xludf.DUMMYFUNCTION("GOOGLETRANSLATE(B47,""zh-tw"",""es-MX"")"),"Resistencia mágica: 10
Suerte: 10
El segundo día estuvo nublado.")</f>
        <v>Resistencia mágica: 10
Suerte: 10
El segundo día estuvo nublado.</v>
      </c>
      <c r="K47" s="334" t="s">
        <v>5295</v>
      </c>
      <c r="L47" s="161" t="s">
        <v>5296</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5297</v>
      </c>
      <c r="P47" s="317" t="s">
        <v>5298</v>
      </c>
      <c r="Q47" s="349" t="s">
        <v>5299</v>
      </c>
      <c r="R47" s="338" t="s">
        <v>5300</v>
      </c>
      <c r="S47" s="17"/>
      <c r="T47" s="17"/>
      <c r="U47" s="17"/>
      <c r="V47" s="17"/>
      <c r="W47" s="17"/>
      <c r="X47" s="17"/>
      <c r="Y47" s="17"/>
      <c r="Z47" s="17"/>
    </row>
    <row r="48">
      <c r="A48" s="334" t="s">
        <v>5301</v>
      </c>
      <c r="B48" s="317" t="s">
        <v>5302</v>
      </c>
      <c r="C48" s="346" t="s">
        <v>5303</v>
      </c>
      <c r="D48" s="347" t="str">
        <f>IFERROR(__xludf.DUMMYFUNCTION("GOOGLETRANSLATE(B48,""zh-tw"",""ja"")"),"魔法耐性：10
幸運：10
翌日は雨だった。")</f>
        <v>魔法耐性：10
幸運：10
翌日は雨だった。</v>
      </c>
      <c r="E48" s="333" t="s">
        <v>5304</v>
      </c>
      <c r="F48" s="161" t="s">
        <v>5305</v>
      </c>
      <c r="G48" s="335" t="str">
        <f>IFERROR(__xludf.DUMMYFUNCTION("GOOGLETRANSLATE(A48,""zh-tw"",""zh"")"),"雨天娃娃")</f>
        <v>雨天娃娃</v>
      </c>
      <c r="H48" s="162" t="str">
        <f>IFERROR(__xludf.DUMMYFUNCTION("GOOGLETRANSLATE(B48,""zh-tw"",""zh"")"),"魔抗：10
幸运：10
第二天雨天")</f>
        <v>魔抗：10
幸运：10
第二天雨天</v>
      </c>
      <c r="I48" s="333" t="s">
        <v>5304</v>
      </c>
      <c r="J48" s="162" t="str">
        <f>IFERROR(__xludf.DUMMYFUNCTION("GOOGLETRANSLATE(B48,""zh-tw"",""es-MX"")"),"Resistencia mágica: 10
Suerte: 10
Al día siguiente llovió.")</f>
        <v>Resistencia mágica: 10
Suerte: 10
Al día siguiente llovió.</v>
      </c>
      <c r="K48" s="333" t="s">
        <v>5306</v>
      </c>
      <c r="L48" s="161" t="s">
        <v>5307</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5308</v>
      </c>
      <c r="P48" s="317" t="s">
        <v>5309</v>
      </c>
      <c r="Q48" s="349" t="s">
        <v>5310</v>
      </c>
      <c r="R48" s="338" t="s">
        <v>5311</v>
      </c>
      <c r="S48" s="17"/>
      <c r="T48" s="17"/>
      <c r="U48" s="17"/>
      <c r="V48" s="17"/>
      <c r="W48" s="17"/>
      <c r="X48" s="17"/>
      <c r="Y48" s="17"/>
      <c r="Z48" s="17"/>
    </row>
    <row r="49">
      <c r="A49" s="333" t="s">
        <v>5312</v>
      </c>
      <c r="B49" s="161" t="s">
        <v>5313</v>
      </c>
      <c r="C49" s="346" t="s">
        <v>5312</v>
      </c>
      <c r="D49" s="347" t="str">
        <f>IFERROR(__xludf.DUMMYFUNCTION("GOOGLETRANSLATE(B49,""zh-tw"",""ja"")"),"物理防御力：1
魔法耐性：10
幸運：5
最大HPを増加")</f>
        <v>物理防御力：1
魔法耐性：10
幸運：5
最大HPを増加</v>
      </c>
      <c r="E49" s="333" t="s">
        <v>5314</v>
      </c>
      <c r="F49" s="161" t="s">
        <v>5315</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5316</v>
      </c>
      <c r="L49" s="161" t="s">
        <v>5317</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5318</v>
      </c>
      <c r="P49" s="317" t="s">
        <v>5319</v>
      </c>
      <c r="Q49" s="337" t="s">
        <v>5320</v>
      </c>
      <c r="R49" s="338" t="s">
        <v>5321</v>
      </c>
      <c r="S49" s="17"/>
      <c r="T49" s="17"/>
      <c r="U49" s="17"/>
      <c r="V49" s="17"/>
      <c r="W49" s="17"/>
      <c r="X49" s="17"/>
      <c r="Y49" s="17"/>
      <c r="Z49" s="17"/>
    </row>
    <row r="50">
      <c r="A50" s="333" t="s">
        <v>4264</v>
      </c>
      <c r="B50" s="161" t="s">
        <v>5322</v>
      </c>
      <c r="C50" s="346" t="s">
        <v>4266</v>
      </c>
      <c r="D50" s="347" t="str">
        <f>IFERROR(__xludf.DUMMYFUNCTION("GOOGLETRANSLATE(B50,""zh-tw"",""ja"")"),"魔法耐性: 30 回復不能、7秒間無敵")</f>
        <v>魔法耐性: 30 回復不能、7秒間無敵</v>
      </c>
      <c r="E50" s="333" t="s">
        <v>4268</v>
      </c>
      <c r="F50" s="161" t="s">
        <v>5323</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5324</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5325</v>
      </c>
      <c r="Q50" s="337" t="s">
        <v>4274</v>
      </c>
      <c r="R50" s="338" t="s">
        <v>5326</v>
      </c>
      <c r="S50" s="17"/>
      <c r="T50" s="17"/>
      <c r="U50" s="17"/>
      <c r="V50" s="17"/>
      <c r="W50" s="17"/>
      <c r="X50" s="17"/>
      <c r="Y50" s="17"/>
      <c r="Z50" s="17"/>
    </row>
    <row r="51">
      <c r="A51" s="333" t="s">
        <v>5327</v>
      </c>
      <c r="B51" s="161" t="s">
        <v>5328</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5329</v>
      </c>
      <c r="F51" s="161" t="s">
        <v>5330</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5331</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5332</v>
      </c>
      <c r="P51" s="317" t="s">
        <v>5333</v>
      </c>
      <c r="Q51" s="337" t="s">
        <v>5334</v>
      </c>
      <c r="R51" s="338" t="s">
        <v>5335</v>
      </c>
      <c r="S51" s="17"/>
      <c r="T51" s="17"/>
      <c r="U51" s="17"/>
      <c r="V51" s="17"/>
      <c r="W51" s="17"/>
      <c r="X51" s="17"/>
      <c r="Y51" s="17"/>
      <c r="Z51" s="17"/>
    </row>
    <row r="52">
      <c r="A52" s="333" t="s">
        <v>5336</v>
      </c>
      <c r="B52" s="161" t="s">
        <v>5337</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5338</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5339</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5340</v>
      </c>
      <c r="P52" s="317" t="s">
        <v>5341</v>
      </c>
      <c r="Q52" s="337" t="s">
        <v>5342</v>
      </c>
      <c r="R52" s="338" t="s">
        <v>5343</v>
      </c>
      <c r="S52" s="17"/>
      <c r="T52" s="17"/>
      <c r="U52" s="17"/>
      <c r="V52" s="17"/>
      <c r="W52" s="17"/>
      <c r="X52" s="17"/>
      <c r="Y52" s="17"/>
      <c r="Z52" s="17"/>
    </row>
    <row r="53">
      <c r="A53" s="333" t="s">
        <v>5344</v>
      </c>
      <c r="B53" s="161" t="s">
        <v>5345</v>
      </c>
      <c r="C53" s="346" t="s">
        <v>5346</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5347</v>
      </c>
      <c r="F53" s="161" t="s">
        <v>5348</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5349</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5350</v>
      </c>
      <c r="P53" s="317" t="s">
        <v>5351</v>
      </c>
      <c r="Q53" s="337" t="s">
        <v>5352</v>
      </c>
      <c r="R53" s="164" t="s">
        <v>5353</v>
      </c>
      <c r="S53" s="17"/>
      <c r="T53" s="17"/>
      <c r="U53" s="17"/>
      <c r="V53" s="17"/>
      <c r="W53" s="17"/>
      <c r="X53" s="17"/>
      <c r="Y53" s="17"/>
      <c r="Z53" s="17"/>
    </row>
    <row r="54">
      <c r="A54" s="333" t="s">
        <v>5354</v>
      </c>
      <c r="B54" s="161" t="s">
        <v>5355</v>
      </c>
      <c r="C54" s="346" t="s">
        <v>5356</v>
      </c>
      <c r="D54" s="161" t="s">
        <v>5357</v>
      </c>
      <c r="E54" s="333" t="s">
        <v>5358</v>
      </c>
      <c r="F54" s="161" t="s">
        <v>5359</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5360</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5361</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5362</v>
      </c>
      <c r="P54" s="317" t="s">
        <v>5363</v>
      </c>
      <c r="Q54" s="337" t="s">
        <v>5364</v>
      </c>
      <c r="R54" s="338" t="s">
        <v>5365</v>
      </c>
      <c r="S54" s="17"/>
      <c r="T54" s="17"/>
      <c r="U54" s="17"/>
      <c r="V54" s="17"/>
      <c r="W54" s="17"/>
      <c r="X54" s="17"/>
      <c r="Y54" s="17"/>
      <c r="Z54" s="17"/>
    </row>
    <row r="55">
      <c r="A55" s="333" t="s">
        <v>4302</v>
      </c>
      <c r="B55" s="161" t="s">
        <v>5366</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5367</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5368</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5369</v>
      </c>
      <c r="Q55" s="337" t="s">
        <v>5370</v>
      </c>
      <c r="R55" s="338" t="s">
        <v>5371</v>
      </c>
      <c r="S55" s="17"/>
      <c r="T55" s="17"/>
      <c r="U55" s="17"/>
      <c r="V55" s="17"/>
      <c r="W55" s="17"/>
      <c r="X55" s="17"/>
      <c r="Y55" s="17"/>
      <c r="Z55" s="17"/>
    </row>
    <row r="56">
      <c r="A56" s="333" t="s">
        <v>5372</v>
      </c>
      <c r="B56" s="317" t="s">
        <v>5373</v>
      </c>
      <c r="C56" s="346" t="s">
        <v>5374</v>
      </c>
      <c r="D56" s="185" t="s">
        <v>5375</v>
      </c>
      <c r="E56" s="333" t="s">
        <v>5376</v>
      </c>
      <c r="F56" s="161" t="s">
        <v>5377</v>
      </c>
      <c r="G56" s="335" t="str">
        <f>IFERROR(__xludf.DUMMYFUNCTION("GOOGLETRANSLATE(A56,""zh-tw"",""zh"")"),"炎天娃娃")</f>
        <v>炎天娃娃</v>
      </c>
      <c r="H56" s="162" t="str">
        <f>IFERROR(__xludf.DUMMYFUNCTION("GOOGLETRANSLATE(B56,""zh-tw"",""zh"")"),"魔抗：10
幸运：10
第二天炎热")</f>
        <v>魔抗：10
幸运：10
第二天炎热</v>
      </c>
      <c r="I56" s="333" t="s">
        <v>5376</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5378</v>
      </c>
      <c r="P56" s="317" t="s">
        <v>5379</v>
      </c>
      <c r="Q56" s="349" t="s">
        <v>5380</v>
      </c>
      <c r="R56" s="338" t="s">
        <v>5381</v>
      </c>
      <c r="S56" s="17"/>
      <c r="T56" s="17"/>
      <c r="U56" s="17"/>
      <c r="V56" s="17"/>
      <c r="W56" s="17"/>
      <c r="X56" s="17"/>
      <c r="Y56" s="17"/>
      <c r="Z56" s="17"/>
    </row>
    <row r="57">
      <c r="A57" s="333" t="s">
        <v>5382</v>
      </c>
      <c r="B57" s="161" t="s">
        <v>5383</v>
      </c>
      <c r="C57" s="346" t="s">
        <v>5384</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5385</v>
      </c>
      <c r="F57" s="161" t="s">
        <v>5386</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5387</v>
      </c>
      <c r="J57" s="351" t="s">
        <v>5388</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5389</v>
      </c>
      <c r="P57" s="317" t="s">
        <v>5390</v>
      </c>
      <c r="Q57" s="337" t="s">
        <v>5391</v>
      </c>
      <c r="R57" s="338" t="s">
        <v>5392</v>
      </c>
      <c r="S57" s="17"/>
      <c r="T57" s="17"/>
      <c r="U57" s="17"/>
      <c r="V57" s="17"/>
      <c r="W57" s="17"/>
      <c r="X57" s="17"/>
      <c r="Y57" s="17"/>
      <c r="Z57" s="17"/>
    </row>
    <row r="58">
      <c r="A58" s="335" t="s">
        <v>5393</v>
      </c>
      <c r="B58" s="162" t="s">
        <v>5394</v>
      </c>
      <c r="C58" s="333" t="s">
        <v>5395</v>
      </c>
      <c r="D58" s="162" t="s">
        <v>5396</v>
      </c>
      <c r="E58" s="335" t="s">
        <v>5397</v>
      </c>
      <c r="F58" s="162" t="s">
        <v>5398</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5397</v>
      </c>
      <c r="P58" s="161" t="s">
        <v>5399</v>
      </c>
      <c r="Q58" s="352" t="s">
        <v>5400</v>
      </c>
      <c r="R58" s="353" t="s">
        <v>5401</v>
      </c>
      <c r="S58" s="17"/>
      <c r="T58" s="17"/>
      <c r="U58" s="17"/>
      <c r="V58" s="17"/>
      <c r="W58" s="17"/>
      <c r="X58" s="17"/>
      <c r="Y58" s="17"/>
      <c r="Z58" s="17"/>
    </row>
    <row r="59">
      <c r="A59" s="335" t="s">
        <v>5402</v>
      </c>
      <c r="B59" s="162" t="s">
        <v>5403</v>
      </c>
      <c r="C59" s="333" t="s">
        <v>4323</v>
      </c>
      <c r="D59" s="162" t="s">
        <v>5404</v>
      </c>
      <c r="E59" s="335" t="s">
        <v>5405</v>
      </c>
      <c r="F59" s="162" t="s">
        <v>5406</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3" t="s">
        <v>5407</v>
      </c>
      <c r="P59" s="161" t="s">
        <v>5408</v>
      </c>
      <c r="Q59" s="354" t="s">
        <v>5409</v>
      </c>
      <c r="R59" s="325" t="s">
        <v>5410</v>
      </c>
      <c r="S59" s="17"/>
      <c r="T59" s="17"/>
      <c r="U59" s="17"/>
      <c r="V59" s="17"/>
      <c r="W59" s="17"/>
      <c r="X59" s="17"/>
      <c r="Y59" s="17"/>
      <c r="Z59" s="17"/>
    </row>
    <row r="60">
      <c r="A60" s="335" t="s">
        <v>5411</v>
      </c>
      <c r="B60" s="162" t="s">
        <v>5412</v>
      </c>
      <c r="C60" s="354" t="s">
        <v>5413</v>
      </c>
      <c r="D60" s="186" t="s">
        <v>5414</v>
      </c>
      <c r="E60" s="333" t="s">
        <v>5415</v>
      </c>
      <c r="F60" s="161" t="s">
        <v>5416</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5417</v>
      </c>
      <c r="P60" s="161" t="s">
        <v>5418</v>
      </c>
      <c r="Q60" s="352" t="s">
        <v>5419</v>
      </c>
      <c r="R60" s="325" t="s">
        <v>5420</v>
      </c>
      <c r="S60" s="355"/>
      <c r="T60" s="355"/>
      <c r="U60" s="355"/>
      <c r="V60" s="355"/>
      <c r="W60" s="355"/>
      <c r="X60" s="355"/>
      <c r="Y60" s="355"/>
      <c r="Z60" s="355"/>
    </row>
    <row r="61">
      <c r="A61" s="333" t="s">
        <v>5421</v>
      </c>
      <c r="B61" s="161" t="s">
        <v>5422</v>
      </c>
      <c r="C61" s="346" t="s">
        <v>5423</v>
      </c>
      <c r="D61" s="185" t="s">
        <v>5424</v>
      </c>
      <c r="E61" s="333" t="s">
        <v>5425</v>
      </c>
      <c r="F61" s="161" t="s">
        <v>5426</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5427</v>
      </c>
      <c r="P61" s="161" t="s">
        <v>5428</v>
      </c>
      <c r="Q61" s="337" t="s">
        <v>5429</v>
      </c>
      <c r="R61" s="338" t="s">
        <v>5430</v>
      </c>
      <c r="S61" s="17"/>
      <c r="T61" s="17"/>
      <c r="U61" s="17"/>
      <c r="V61" s="17"/>
      <c r="W61" s="17"/>
      <c r="X61" s="17"/>
      <c r="Y61" s="17"/>
      <c r="Z61" s="17"/>
    </row>
    <row r="62">
      <c r="A62" s="339" t="s">
        <v>5431</v>
      </c>
      <c r="B62" s="322" t="s">
        <v>5432</v>
      </c>
      <c r="C62" s="339" t="s">
        <v>5433</v>
      </c>
      <c r="D62" s="322" t="s">
        <v>5434</v>
      </c>
      <c r="E62" s="339" t="s">
        <v>5435</v>
      </c>
      <c r="F62" s="322" t="s">
        <v>5436</v>
      </c>
      <c r="G62" s="335" t="str">
        <f>IFERROR(__xludf.DUMMYFUNCTION("GOOGLETRANSLATE(A62,""zh-tw"",""zh"")"),"火蝾螈之卷")</f>
        <v>火蝾螈之卷</v>
      </c>
      <c r="H62" s="162" t="str">
        <f>IFERROR(__xludf.DUMMYFUNCTION("GOOGLETRANSLATE(B62,""zh-tw"",""zh"")"),"魔攻：50
魔防：15
强化火焰元素")</f>
        <v>魔攻：50
魔防：15
强化火焰元素</v>
      </c>
      <c r="I62" s="335" t="str">
        <f>IFERROR(__xludf.DUMMYFUNCTION("GOOGLETRANSLATE(A62,""zh-tw"",""es-MX"")"),"Pergamino de la Salamandra de Fuego")</f>
        <v>Pergamino de la Salamandra de Fuego</v>
      </c>
      <c r="J62" s="162" t="str">
        <f>IFERROR(__xludf.DUMMYFUNCTION("GOOGLETRANSLATE(B62,""zh-tw"",""es-MX"")"),"Ataque mágico: 50
Defensa mágica: 15
Elemento fuego potenciado")</f>
        <v>Ataque mágico: 50
Defensa mágica: 15
Elemento fuego potenciado</v>
      </c>
      <c r="K62" s="335" t="str">
        <f>IFERROR(__xludf.DUMMYFUNCTION("GOOGLETRANSLATE(A62,""zh-tw"",""KO"")"),"불도롱뇽 두루마리")</f>
        <v>불도롱뇽 두루마리</v>
      </c>
      <c r="L62" s="162" t="str">
        <f>IFERROR(__xludf.DUMMYFUNCTION("GOOGLETRANSLATE(B62,""zh-tw"",""KO"")"),"마법 공격력: 50
마법 방어력: 15
향상된 화속성")</f>
        <v>마법 공격력: 50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5" t="s">
        <v>5437</v>
      </c>
      <c r="P62" s="162" t="s">
        <v>5438</v>
      </c>
      <c r="Q62" s="337" t="s">
        <v>5439</v>
      </c>
      <c r="R62" s="338" t="s">
        <v>5440</v>
      </c>
      <c r="S62" s="17"/>
      <c r="T62" s="17"/>
      <c r="U62" s="17"/>
      <c r="V62" s="17"/>
      <c r="W62" s="17"/>
      <c r="X62" s="17"/>
      <c r="Y62" s="17"/>
      <c r="Z62" s="17"/>
    </row>
    <row r="63">
      <c r="A63" s="339" t="s">
        <v>5441</v>
      </c>
      <c r="B63" s="322" t="s">
        <v>5442</v>
      </c>
      <c r="C63" s="346" t="s">
        <v>5443</v>
      </c>
      <c r="D63" s="185" t="s">
        <v>5444</v>
      </c>
      <c r="E63" s="339" t="s">
        <v>5445</v>
      </c>
      <c r="F63" s="322" t="s">
        <v>5446</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5447</v>
      </c>
      <c r="P63" s="162" t="s">
        <v>5448</v>
      </c>
      <c r="Q63" s="337" t="s">
        <v>5449</v>
      </c>
      <c r="R63" s="338" t="s">
        <v>5450</v>
      </c>
      <c r="S63" s="17"/>
      <c r="T63" s="17"/>
      <c r="U63" s="17"/>
      <c r="V63" s="17"/>
      <c r="W63" s="17"/>
      <c r="X63" s="17"/>
      <c r="Y63" s="17"/>
      <c r="Z63" s="17"/>
    </row>
    <row r="64">
      <c r="A64" s="333" t="s">
        <v>5451</v>
      </c>
      <c r="B64" s="161" t="s">
        <v>5452</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5453</v>
      </c>
      <c r="F64" s="161" t="s">
        <v>5454</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5455</v>
      </c>
      <c r="R64" s="338" t="s">
        <v>5456</v>
      </c>
      <c r="S64" s="17"/>
      <c r="T64" s="17"/>
      <c r="U64" s="17"/>
      <c r="V64" s="17"/>
      <c r="W64" s="17"/>
      <c r="X64" s="17"/>
      <c r="Y64" s="17"/>
      <c r="Z64" s="17"/>
    </row>
    <row r="65">
      <c r="A65" s="333" t="s">
        <v>5457</v>
      </c>
      <c r="B65" s="161" t="s">
        <v>5458</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5459</v>
      </c>
      <c r="F65" s="161" t="s">
        <v>5460</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5461</v>
      </c>
      <c r="R65" s="338" t="s">
        <v>5462</v>
      </c>
      <c r="S65" s="17"/>
      <c r="T65" s="17"/>
      <c r="U65" s="17"/>
      <c r="V65" s="17"/>
      <c r="W65" s="17"/>
      <c r="X65" s="17"/>
      <c r="Y65" s="17"/>
      <c r="Z65" s="17"/>
    </row>
    <row r="66">
      <c r="A66" s="333" t="s">
        <v>5463</v>
      </c>
      <c r="B66" s="161" t="s">
        <v>5464</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5465</v>
      </c>
      <c r="F66" s="161" t="s">
        <v>5466</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5467</v>
      </c>
      <c r="R66" s="338" t="s">
        <v>5468</v>
      </c>
      <c r="S66" s="17"/>
      <c r="T66" s="17"/>
      <c r="U66" s="17"/>
      <c r="V66" s="17"/>
      <c r="W66" s="17"/>
      <c r="X66" s="17"/>
      <c r="Y66" s="17"/>
      <c r="Z66" s="17"/>
    </row>
    <row r="67">
      <c r="A67" s="333" t="s">
        <v>5469</v>
      </c>
      <c r="B67" s="161" t="s">
        <v>5470</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5471</v>
      </c>
      <c r="F67" s="161" t="s">
        <v>5472</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5473</v>
      </c>
      <c r="R67" s="338" t="s">
        <v>5474</v>
      </c>
      <c r="S67" s="17"/>
      <c r="T67" s="17"/>
      <c r="U67" s="17"/>
      <c r="V67" s="17"/>
      <c r="W67" s="17"/>
      <c r="X67" s="17"/>
      <c r="Y67" s="17"/>
      <c r="Z67" s="17"/>
    </row>
    <row r="68">
      <c r="A68" s="333" t="s">
        <v>5475</v>
      </c>
      <c r="B68" s="161" t="s">
        <v>5476</v>
      </c>
      <c r="C68" s="335"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3" t="s">
        <v>5477</v>
      </c>
      <c r="F68" s="161" t="s">
        <v>5478</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5479</v>
      </c>
      <c r="R68" s="338" t="s">
        <v>5480</v>
      </c>
      <c r="S68" s="17"/>
      <c r="T68" s="17"/>
      <c r="U68" s="17"/>
      <c r="V68" s="17"/>
      <c r="W68" s="17"/>
      <c r="X68" s="17"/>
      <c r="Y68" s="17"/>
      <c r="Z68" s="17"/>
    </row>
    <row r="69">
      <c r="A69" s="333" t="s">
        <v>5481</v>
      </c>
      <c r="B69" s="161" t="s">
        <v>5482</v>
      </c>
      <c r="C69" s="335" t="str">
        <f>IFERROR(__xludf.DUMMYFUNCTION("GOOGLETRANSLATE(A69,""zh-tw"",""ja"")"),"安全手袋")</f>
        <v>安全手袋</v>
      </c>
      <c r="D69" s="162" t="str">
        <f>IFERROR(__xludf.DUMMYFUNCTION("GOOGLETRANSLATE(B69,""zh-tw"",""ja"")"),"物理防御力: 2 魔法耐性: 45 雷防御")</f>
        <v>物理防御力: 2 魔法耐性: 45 雷防御</v>
      </c>
      <c r="E69" s="333" t="s">
        <v>5483</v>
      </c>
      <c r="F69" s="161" t="s">
        <v>5484</v>
      </c>
      <c r="G69" s="335" t="str">
        <f>IFERROR(__xludf.DUMMYFUNCTION("GOOGLETRANSLATE(A69,""zh-tw"",""zh"")"),"安全手套")</f>
        <v>安全手套</v>
      </c>
      <c r="H69" s="162" t="str">
        <f>IFERROR(__xludf.DUMMYFUNCTION("GOOGLETRANSLATE(B69,""zh-tw"",""zh"")"),"物防：2
魔抗：45
防御雷电")</f>
        <v>物防：2
魔抗：45
防御雷电</v>
      </c>
      <c r="I69" s="335" t="str">
        <f>IFERROR(__xludf.DUMMYFUNCTION("GOOGLETRANSLATE(A69,""zh-tw"",""es-MX"")"),"guantes de seguridad")</f>
        <v>guantes de seguridad</v>
      </c>
      <c r="J69" s="162" t="str">
        <f>IFERROR(__xludf.DUMMYFUNCTION("GOOGLETRANSLATE(B69,""zh-tw"",""es-MX"")"),"Defensa física: 2 Resistencia mágica: 45 Defensa contra rayos")</f>
        <v>Defensa física: 2 Resistencia mágica: 45 Defensa contra rayos</v>
      </c>
      <c r="K69" s="335" t="str">
        <f>IFERROR(__xludf.DUMMYFUNCTION("GOOGLETRANSLATE(A69,""zh-tw"",""KO"")"),"안전 장갑")</f>
        <v>안전 장갑</v>
      </c>
      <c r="L69" s="162" t="str">
        <f>IFERROR(__xludf.DUMMYFUNCTION("GOOGLETRANSLATE(B69,""zh-tw"",""KO"")"),"물리 방어력: 2 마법 저항력: 45 번개 방어력")</f>
        <v>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 Verteidigung: 2 Magieresistenz: 45 Blitzverteidigung")</f>
        <v>Physische Verteidigung: 2 Magieresistenz: 45 Blitzverteidigung</v>
      </c>
      <c r="Q69" s="337" t="s">
        <v>5485</v>
      </c>
      <c r="R69" s="338" t="s">
        <v>5486</v>
      </c>
      <c r="S69" s="17"/>
      <c r="T69" s="17"/>
      <c r="U69" s="17"/>
      <c r="V69" s="17"/>
      <c r="W69" s="17"/>
      <c r="X69" s="17"/>
      <c r="Y69" s="17"/>
      <c r="Z69" s="17"/>
    </row>
    <row r="70">
      <c r="A70" s="333" t="s">
        <v>5487</v>
      </c>
      <c r="B70" s="161" t="s">
        <v>5488</v>
      </c>
      <c r="C70" s="335" t="str">
        <f>IFERROR(__xludf.DUMMYFUNCTION("GOOGLETRANSLATE(A70,""zh-tw"",""ja"")"),"シャープブレードリング")</f>
        <v>シャープブレードリング</v>
      </c>
      <c r="D70" s="162" t="str">
        <f>IFERROR(__xludf.DUMMYFUNCTION("GOOGLETRANSLATE(B70,""zh-tw"",""ja"")"),"物理攻撃力+15%")</f>
        <v>物理攻撃力+15%</v>
      </c>
      <c r="E70" s="333" t="s">
        <v>5489</v>
      </c>
      <c r="F70" s="161" t="s">
        <v>5490</v>
      </c>
      <c r="G70" s="335" t="str">
        <f>IFERROR(__xludf.DUMMYFUNCTION("GOOGLETRANSLATE(A70,""zh-tw"",""zh"")"),"锐刃指环")</f>
        <v>锐刃指环</v>
      </c>
      <c r="H70" s="162" t="str">
        <f>IFERROR(__xludf.DUMMYFUNCTION("GOOGLETRANSLATE(B70,""zh-tw"",""zh"")"),"物攻+15%")</f>
        <v>物攻+15%</v>
      </c>
      <c r="I70" s="335" t="str">
        <f>IFERROR(__xludf.DUMMYFUNCTION("GOOGLETRANSLATE(A70,""zh-tw"",""es-MX"")"),"Anillo de hoja afilada")</f>
        <v>Anillo de hoja afilada</v>
      </c>
      <c r="J70" s="162" t="str">
        <f>IFERROR(__xludf.DUMMYFUNCTION("GOOGLETRANSLATE(B70,""zh-tw"",""es-MX"")"),"Ataque físico +15%")</f>
        <v>Ataque físico +15%</v>
      </c>
      <c r="K70" s="335" t="str">
        <f>IFERROR(__xludf.DUMMYFUNCTION("GOOGLETRANSLATE(A70,""zh-tw"",""KO"")"),"날카로운 칼날 반지")</f>
        <v>날카로운 칼날 반지</v>
      </c>
      <c r="L70" s="162" t="str">
        <f>IFERROR(__xludf.DUMMYFUNCTION("GOOGLETRANSLATE(B70,""zh-tw"",""KO"")"),"물리 공격력 +15%")</f>
        <v>물리 공격력 +15%</v>
      </c>
      <c r="M70" s="336" t="str">
        <f>IFERROR(__xludf.DUMMYFUNCTION("GOOGLETRANSLATE(A70,""zh-tw"",""ru"")"),"Кольцо с острым лезвием")</f>
        <v>Кольцо с острым лезвием</v>
      </c>
      <c r="N70" s="315" t="str">
        <f>IFERROR(__xludf.DUMMYFUNCTION("GOOGLETRANSLATE(B70,""zh-tw"",""ru"")"),"Физическая атака +15%")</f>
        <v>Физическая атака +15%</v>
      </c>
      <c r="O70" s="336" t="str">
        <f>IFERROR(__xludf.DUMMYFUNCTION("GOOGLETRANSLATE(A70,""zh-tw"",""de"")"),"Scharfer Klingenring")</f>
        <v>Scharfer Klingenring</v>
      </c>
      <c r="P70" s="315" t="str">
        <f>IFERROR(__xludf.DUMMYFUNCTION("GOOGLETRANSLATE(B70,""zh-tw"",""de"")"),"Physischer Angriff +15 %")</f>
        <v>Physischer Angriff +15 %</v>
      </c>
      <c r="Q70" s="337" t="s">
        <v>5491</v>
      </c>
      <c r="R70" s="338" t="s">
        <v>5492</v>
      </c>
      <c r="S70" s="17"/>
      <c r="T70" s="17"/>
      <c r="U70" s="17"/>
      <c r="V70" s="17"/>
      <c r="W70" s="17"/>
      <c r="X70" s="17"/>
      <c r="Y70" s="17"/>
      <c r="Z70" s="17"/>
    </row>
    <row r="71">
      <c r="A71" s="333" t="s">
        <v>5493</v>
      </c>
      <c r="B71" s="161" t="s">
        <v>5494</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5495</v>
      </c>
      <c r="F71" s="161" t="s">
        <v>5496</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5495</v>
      </c>
      <c r="R71" s="338" t="s">
        <v>5497</v>
      </c>
      <c r="S71" s="17"/>
      <c r="T71" s="17"/>
      <c r="U71" s="17"/>
      <c r="V71" s="17"/>
      <c r="W71" s="17"/>
      <c r="X71" s="17"/>
      <c r="Y71" s="17"/>
      <c r="Z71" s="17"/>
    </row>
    <row r="72">
      <c r="A72" s="333" t="s">
        <v>5498</v>
      </c>
      <c r="B72" s="161" t="s">
        <v>5499</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5500</v>
      </c>
      <c r="F72" s="161" t="s">
        <v>5501</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5502</v>
      </c>
      <c r="R72" s="338" t="s">
        <v>5503</v>
      </c>
      <c r="S72" s="17"/>
      <c r="T72" s="17"/>
      <c r="U72" s="17"/>
      <c r="V72" s="17"/>
      <c r="W72" s="17"/>
      <c r="X72" s="17"/>
      <c r="Y72" s="17"/>
      <c r="Z72" s="17"/>
    </row>
    <row r="73">
      <c r="A73" s="333" t="s">
        <v>5504</v>
      </c>
      <c r="B73" s="161" t="s">
        <v>5505</v>
      </c>
      <c r="C73" s="335" t="str">
        <f>IFERROR(__xludf.DUMMYFUNCTION("GOOGLETRANSLATE(A73,""zh-tw"",""ja"")"),"五剣くんのバッジ")</f>
        <v>五剣くんのバッジ</v>
      </c>
      <c r="D73" s="162" t="str">
        <f>IFERROR(__xludf.DUMMYFUNCTION("GOOGLETRANSLATE(B73,""zh-tw"",""ja"")"),"攻撃力と攻撃上限ボーナスを減らし、武器の耐久性消費を減らします。")</f>
        <v>攻撃力と攻撃上限ボーナスを減らし、武器の耐久性消費を減らします。</v>
      </c>
      <c r="E73" s="333" t="s">
        <v>5506</v>
      </c>
      <c r="F73" s="161" t="s">
        <v>5507</v>
      </c>
      <c r="G73" s="335" t="str">
        <f>IFERROR(__xludf.DUMMYFUNCTION("GOOGLETRANSLATE(A73,""zh-tw"",""zh"")"),"护刃众的徽章")</f>
        <v>护刃众的徽章</v>
      </c>
      <c r="H73" s="162" t="str">
        <f>IFERROR(__xludf.DUMMYFUNCTION("GOOGLETRANSLATE(B73,""zh-tw"",""zh"")"),"减少攻击力以及攻击上限加成
降低武器耐久度消耗")</f>
        <v>减少攻击力以及攻击上限加成
降低武器耐久度消耗</v>
      </c>
      <c r="I73" s="335" t="str">
        <f>IFERROR(__xludf.DUMMYFUNCTION("GOOGLETRANSLATE(A73,""zh-tw"",""es-MX"")"),"Insignias de Goken-kun")</f>
        <v>Insignias de Goken-kun</v>
      </c>
      <c r="J73" s="162"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5" t="str">
        <f>IFERROR(__xludf.DUMMYFUNCTION("GOOGLETRANSLATE(A73,""zh-tw"",""KO"")"),"고켄군의 배지")</f>
        <v>고켄군의 배지</v>
      </c>
      <c r="L73" s="162"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6" t="str">
        <f>IFERROR(__xludf.DUMMYFUNCTION("GOOGLETRANSLATE(A73,""zh-tw"",""ru"")"),"Значки Гокен-куна")</f>
        <v>Значки Гокен-куна</v>
      </c>
      <c r="N73" s="315"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6" t="str">
        <f>IFERROR(__xludf.DUMMYFUNCTION("GOOGLETRANSLATE(A73,""zh-tw"",""de"")"),"Abzeichen des Goken-kun")</f>
        <v>Abzeichen des Goken-kun</v>
      </c>
      <c r="P73" s="315" t="str">
        <f>IFERROR(__xludf.DUMMYFUNCTION("GOOGLETRANSLATE(B73,""zh-tw"",""de"")"),"Verringert Angriffskraft und Angriffslimit-Boni; verringert den Waffenhaltbarkeitsverbrauch.")</f>
        <v>Verringert Angriffskraft und Angriffslimit-Boni; verringert den Waffenhaltbarkeitsverbrauch.</v>
      </c>
      <c r="Q73" s="337" t="s">
        <v>5508</v>
      </c>
      <c r="R73" s="338" t="s">
        <v>5509</v>
      </c>
      <c r="S73" s="17"/>
      <c r="T73" s="17"/>
      <c r="U73" s="17"/>
      <c r="V73" s="17"/>
      <c r="W73" s="17"/>
      <c r="X73" s="17"/>
      <c r="Y73" s="17"/>
      <c r="Z73" s="17"/>
    </row>
    <row r="74">
      <c r="A74" s="333" t="s">
        <v>5510</v>
      </c>
      <c r="B74" s="161" t="s">
        <v>5511</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5512</v>
      </c>
      <c r="F74" s="161" t="s">
        <v>5513</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5514</v>
      </c>
      <c r="R74" s="338" t="s">
        <v>5515</v>
      </c>
      <c r="S74" s="17"/>
      <c r="T74" s="17"/>
      <c r="U74" s="17"/>
      <c r="V74" s="17"/>
      <c r="W74" s="17"/>
      <c r="X74" s="17"/>
      <c r="Y74" s="17"/>
      <c r="Z74" s="17"/>
    </row>
    <row r="75">
      <c r="A75" s="339" t="s">
        <v>4375</v>
      </c>
      <c r="B75" s="161" t="s">
        <v>5516</v>
      </c>
      <c r="C75" s="346" t="s">
        <v>5517</v>
      </c>
      <c r="D75" s="185" t="s">
        <v>5518</v>
      </c>
      <c r="E75" s="333" t="s">
        <v>4381</v>
      </c>
      <c r="F75" s="161" t="s">
        <v>5519</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5520</v>
      </c>
      <c r="Q75" s="337" t="s">
        <v>4387</v>
      </c>
      <c r="R75" s="338" t="s">
        <v>5521</v>
      </c>
      <c r="S75" s="17"/>
      <c r="T75" s="17"/>
      <c r="U75" s="17"/>
      <c r="V75" s="17"/>
      <c r="W75" s="17"/>
      <c r="X75" s="17"/>
      <c r="Y75" s="17"/>
      <c r="Z75" s="17"/>
    </row>
    <row r="76">
      <c r="A76" s="335" t="s">
        <v>4390</v>
      </c>
      <c r="B76" s="161" t="s">
        <v>5522</v>
      </c>
      <c r="C76" s="335" t="s">
        <v>4390</v>
      </c>
      <c r="D76" s="185" t="s">
        <v>5523</v>
      </c>
      <c r="E76" s="333" t="s">
        <v>4394</v>
      </c>
      <c r="F76" s="161" t="s">
        <v>5524</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5525</v>
      </c>
      <c r="Q76" s="352" t="s">
        <v>4398</v>
      </c>
      <c r="R76" s="338" t="s">
        <v>5526</v>
      </c>
      <c r="S76" s="17"/>
      <c r="T76" s="17"/>
      <c r="U76" s="17"/>
      <c r="V76" s="17"/>
      <c r="W76" s="17"/>
      <c r="X76" s="17"/>
      <c r="Y76" s="17"/>
      <c r="Z76" s="17"/>
    </row>
    <row r="77">
      <c r="A77" s="335" t="s">
        <v>5527</v>
      </c>
      <c r="B77" s="161" t="s">
        <v>5528</v>
      </c>
      <c r="C77" s="346" t="s">
        <v>5529</v>
      </c>
      <c r="D77" s="185" t="s">
        <v>5530</v>
      </c>
      <c r="E77" s="333" t="s">
        <v>5531</v>
      </c>
      <c r="F77" s="161" t="s">
        <v>5532</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5533</v>
      </c>
      <c r="P77" s="161" t="s">
        <v>5534</v>
      </c>
      <c r="Q77" s="352" t="s">
        <v>5535</v>
      </c>
      <c r="R77" s="338" t="s">
        <v>5536</v>
      </c>
      <c r="S77" s="17"/>
      <c r="T77" s="17"/>
      <c r="U77" s="17"/>
      <c r="V77" s="17"/>
      <c r="W77" s="17"/>
      <c r="X77" s="17"/>
      <c r="Y77" s="17"/>
      <c r="Z77" s="17"/>
    </row>
    <row r="78">
      <c r="A78" s="333" t="s">
        <v>5537</v>
      </c>
      <c r="B78" s="161" t="s">
        <v>5538</v>
      </c>
      <c r="C78" s="346" t="s">
        <v>5539</v>
      </c>
      <c r="D78" s="185" t="s">
        <v>5540</v>
      </c>
      <c r="E78" s="333" t="s">
        <v>5541</v>
      </c>
      <c r="F78" s="161" t="s">
        <v>5542</v>
      </c>
      <c r="G78" s="335" t="str">
        <f>IFERROR(__xludf.DUMMYFUNCTION("GOOGLETRANSLATE(A78,""zh-tw"",""zh"")"),"初号核心I~VII")</f>
        <v>初号核心I~VII</v>
      </c>
      <c r="H78" s="162"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5" t="str">
        <f>IFERROR(__xludf.DUMMYFUNCTION("GOOGLETRANSLATE(A78,""zh-tw"",""es-MX"")"),"Núcleo inicial I~VII")</f>
        <v>Núcleo inicial I~VII</v>
      </c>
      <c r="J78" s="162"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5" t="str">
        <f>IFERROR(__xludf.DUMMYFUNCTION("GOOGLETRANSLATE(A78,""zh-tw"",""KO"")"),"초기 코어 I~VII")</f>
        <v>초기 코어 I~VII</v>
      </c>
      <c r="L78" s="162"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6" t="str">
        <f>IFERROR(__xludf.DUMMYFUNCTION("GOOGLETRANSLATE(A78,""zh-tw"",""ru"")"),"Начальное ядро ​​I~VII")</f>
        <v>Начальное ядро ​​I~VII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3" t="s">
        <v>5543</v>
      </c>
      <c r="P78" s="161" t="s">
        <v>5544</v>
      </c>
      <c r="Q78" s="337" t="s">
        <v>5541</v>
      </c>
      <c r="R78" s="338" t="s">
        <v>5545</v>
      </c>
      <c r="S78" s="17"/>
      <c r="T78" s="17"/>
      <c r="U78" s="17"/>
      <c r="V78" s="17"/>
      <c r="W78" s="17"/>
      <c r="X78" s="17"/>
      <c r="Y78" s="17"/>
      <c r="Z78" s="17"/>
    </row>
    <row r="79">
      <c r="A79" s="333" t="s">
        <v>5546</v>
      </c>
      <c r="B79" s="161" t="s">
        <v>5547</v>
      </c>
      <c r="C79" s="346" t="s">
        <v>5548</v>
      </c>
      <c r="D79" s="185" t="s">
        <v>5549</v>
      </c>
      <c r="E79" s="333" t="s">
        <v>5550</v>
      </c>
      <c r="F79" s="161" t="s">
        <v>5551</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5552</v>
      </c>
      <c r="R79" s="323" t="s">
        <v>5553</v>
      </c>
      <c r="S79" s="17"/>
      <c r="T79" s="17"/>
      <c r="U79" s="17"/>
      <c r="V79" s="17"/>
      <c r="W79" s="17"/>
      <c r="X79" s="17"/>
      <c r="Y79" s="17"/>
      <c r="Z79" s="17"/>
    </row>
    <row r="80">
      <c r="A80" s="333" t="s">
        <v>5554</v>
      </c>
      <c r="B80" s="161" t="s">
        <v>5555</v>
      </c>
      <c r="C80" s="346" t="s">
        <v>5556</v>
      </c>
      <c r="D80" s="185" t="s">
        <v>5557</v>
      </c>
      <c r="E80" s="333" t="s">
        <v>5558</v>
      </c>
      <c r="F80" s="161" t="s">
        <v>5559</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5560</v>
      </c>
      <c r="R80" s="323" t="s">
        <v>5561</v>
      </c>
      <c r="S80" s="17"/>
      <c r="T80" s="17"/>
      <c r="U80" s="17"/>
      <c r="V80" s="17"/>
      <c r="W80" s="17"/>
      <c r="X80" s="17"/>
      <c r="Y80" s="17"/>
      <c r="Z80" s="17"/>
    </row>
    <row r="81">
      <c r="A81" s="333" t="s">
        <v>5562</v>
      </c>
      <c r="B81" s="161" t="s">
        <v>5563</v>
      </c>
      <c r="C81" s="346" t="s">
        <v>5564</v>
      </c>
      <c r="D81" s="185" t="s">
        <v>5565</v>
      </c>
      <c r="E81" s="333" t="s">
        <v>5566</v>
      </c>
      <c r="F81" s="161" t="s">
        <v>5567</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5568</v>
      </c>
      <c r="R81" s="323" t="s">
        <v>5569</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5570</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5571</v>
      </c>
      <c r="S1" s="300"/>
      <c r="T1" s="300"/>
      <c r="U1" s="300"/>
      <c r="V1" s="300"/>
    </row>
    <row r="2">
      <c r="A2" s="328" t="s">
        <v>5572</v>
      </c>
      <c r="B2" s="72" t="s">
        <v>5573</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5574</v>
      </c>
      <c r="P2" s="72" t="s">
        <v>5575</v>
      </c>
      <c r="Q2" s="359" t="s">
        <v>5576</v>
      </c>
      <c r="R2" s="360" t="s">
        <v>5577</v>
      </c>
      <c r="S2" s="361"/>
      <c r="T2" s="361"/>
      <c r="U2" s="361"/>
      <c r="V2" s="361"/>
    </row>
    <row r="3">
      <c r="A3" s="333" t="s">
        <v>5578</v>
      </c>
      <c r="B3" s="161" t="s">
        <v>5579</v>
      </c>
      <c r="C3" s="333" t="s">
        <v>5580</v>
      </c>
      <c r="D3" s="161" t="s">
        <v>5581</v>
      </c>
      <c r="E3" s="333" t="s">
        <v>5582</v>
      </c>
      <c r="F3" s="161" t="s">
        <v>5583</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5584</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5585</v>
      </c>
      <c r="P3" s="161" t="s">
        <v>5586</v>
      </c>
      <c r="Q3" s="340" t="s">
        <v>5587</v>
      </c>
      <c r="R3" s="164" t="s">
        <v>5588</v>
      </c>
      <c r="S3" s="17"/>
      <c r="T3" s="17"/>
      <c r="U3" s="17"/>
      <c r="V3" s="17"/>
    </row>
    <row r="4">
      <c r="A4" s="333" t="s">
        <v>5589</v>
      </c>
      <c r="B4" s="161" t="s">
        <v>5590</v>
      </c>
      <c r="C4" s="333" t="s">
        <v>5591</v>
      </c>
      <c r="D4" s="161" t="s">
        <v>5592</v>
      </c>
      <c r="E4" s="333" t="s">
        <v>5593</v>
      </c>
      <c r="F4" s="161" t="s">
        <v>5594</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5595</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5596</v>
      </c>
      <c r="P4" s="161" t="s">
        <v>5597</v>
      </c>
      <c r="Q4" s="340" t="s">
        <v>5598</v>
      </c>
      <c r="R4" s="164" t="s">
        <v>5599</v>
      </c>
      <c r="S4" s="17"/>
      <c r="T4" s="17"/>
      <c r="U4" s="17"/>
      <c r="V4" s="17"/>
    </row>
    <row r="5">
      <c r="A5" s="333" t="s">
        <v>5600</v>
      </c>
      <c r="B5" s="161" t="s">
        <v>5601</v>
      </c>
      <c r="C5" s="333" t="s">
        <v>5602</v>
      </c>
      <c r="D5" s="161" t="s">
        <v>5603</v>
      </c>
      <c r="E5" s="333" t="s">
        <v>5604</v>
      </c>
      <c r="F5" s="161" t="s">
        <v>5605</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5606</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5607</v>
      </c>
      <c r="P5" s="161" t="s">
        <v>5608</v>
      </c>
      <c r="Q5" s="340" t="s">
        <v>5609</v>
      </c>
      <c r="R5" s="164" t="s">
        <v>5610</v>
      </c>
      <c r="S5" s="17"/>
      <c r="T5" s="17"/>
      <c r="U5" s="17"/>
      <c r="V5" s="17"/>
    </row>
    <row r="6">
      <c r="A6" s="333" t="s">
        <v>5611</v>
      </c>
      <c r="B6" s="161" t="s">
        <v>5612</v>
      </c>
      <c r="C6" s="333" t="s">
        <v>5613</v>
      </c>
      <c r="D6" s="161" t="s">
        <v>5614</v>
      </c>
      <c r="E6" s="333" t="s">
        <v>5615</v>
      </c>
      <c r="F6" s="161" t="s">
        <v>5616</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5617</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5618</v>
      </c>
      <c r="P6" s="161" t="s">
        <v>5619</v>
      </c>
      <c r="Q6" s="340" t="s">
        <v>5620</v>
      </c>
      <c r="R6" s="164" t="s">
        <v>5621</v>
      </c>
      <c r="S6" s="17"/>
      <c r="T6" s="17"/>
      <c r="U6" s="17"/>
      <c r="V6" s="17"/>
    </row>
    <row r="7">
      <c r="A7" s="333" t="s">
        <v>5622</v>
      </c>
      <c r="B7" s="161" t="s">
        <v>5623</v>
      </c>
      <c r="C7" s="333" t="s">
        <v>5624</v>
      </c>
      <c r="D7" s="161" t="s">
        <v>5625</v>
      </c>
      <c r="E7" s="333" t="s">
        <v>5626</v>
      </c>
      <c r="F7" s="161" t="s">
        <v>5627</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5628</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5629</v>
      </c>
      <c r="P7" s="161" t="s">
        <v>5630</v>
      </c>
      <c r="Q7" s="340" t="s">
        <v>5631</v>
      </c>
      <c r="R7" s="164" t="s">
        <v>5632</v>
      </c>
      <c r="S7" s="17"/>
      <c r="T7" s="17"/>
      <c r="U7" s="17"/>
      <c r="V7" s="17"/>
    </row>
    <row r="8">
      <c r="A8" s="333" t="s">
        <v>5633</v>
      </c>
      <c r="B8" s="161" t="s">
        <v>5634</v>
      </c>
      <c r="C8" s="333" t="s">
        <v>5635</v>
      </c>
      <c r="D8" s="161" t="s">
        <v>5636</v>
      </c>
      <c r="E8" s="333" t="s">
        <v>5637</v>
      </c>
      <c r="F8" s="161" t="s">
        <v>5638</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5639</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5640</v>
      </c>
      <c r="P8" s="161" t="s">
        <v>5641</v>
      </c>
      <c r="Q8" s="340" t="s">
        <v>5642</v>
      </c>
      <c r="R8" s="164" t="s">
        <v>5643</v>
      </c>
      <c r="S8" s="17"/>
      <c r="T8" s="17"/>
      <c r="U8" s="17"/>
      <c r="V8" s="17"/>
    </row>
    <row r="9">
      <c r="A9" s="333" t="s">
        <v>5644</v>
      </c>
      <c r="B9" s="161" t="s">
        <v>5645</v>
      </c>
      <c r="C9" s="333" t="s">
        <v>5646</v>
      </c>
      <c r="D9" s="161" t="s">
        <v>5647</v>
      </c>
      <c r="E9" s="333" t="s">
        <v>5648</v>
      </c>
      <c r="F9" s="161" t="s">
        <v>5649</v>
      </c>
      <c r="G9" s="333" t="str">
        <f>IFERROR(__xludf.DUMMYFUNCTION("GOOGLETRANSLATE(A9,""zh-tw"",""zh"")"),"逆流可乐")</f>
        <v>逆流可乐</v>
      </c>
      <c r="H9" s="161" t="str">
        <f>IFERROR(__xludf.DUMMYFUNCTION("GOOGLETRANSLATE(B9,""zh-tw"",""zh"")"),"(战斗效果未实装)")</f>
        <v>(战斗效果未实装)</v>
      </c>
      <c r="I9" s="333" t="s">
        <v>5648</v>
      </c>
      <c r="J9" s="162" t="str">
        <f>IFERROR(__xludf.DUMMYFUNCTION("GOOGLETRANSLATE(B9,""zh-tw"",""es-MX"")"),"(Efectos de combate aún no implementados)")</f>
        <v>(Efectos de combate aún no implementados)</v>
      </c>
      <c r="K9" s="333" t="s">
        <v>5650</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5648</v>
      </c>
      <c r="P9" s="161" t="s">
        <v>5651</v>
      </c>
      <c r="Q9" s="340" t="s">
        <v>5648</v>
      </c>
      <c r="R9" s="164" t="s">
        <v>5652</v>
      </c>
      <c r="S9" s="17"/>
      <c r="T9" s="17"/>
      <c r="U9" s="17"/>
      <c r="V9" s="17"/>
    </row>
    <row r="10">
      <c r="A10" s="333" t="s">
        <v>5653</v>
      </c>
      <c r="B10" s="161" t="s">
        <v>5654</v>
      </c>
      <c r="C10" s="333" t="s">
        <v>5655</v>
      </c>
      <c r="D10" s="161" t="s">
        <v>5656</v>
      </c>
      <c r="E10" s="333" t="s">
        <v>5657</v>
      </c>
      <c r="F10" s="161" t="s">
        <v>5658</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5659</v>
      </c>
      <c r="L10" s="161" t="s">
        <v>5660</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5661</v>
      </c>
      <c r="P10" s="161" t="s">
        <v>5662</v>
      </c>
      <c r="Q10" s="340" t="s">
        <v>5663</v>
      </c>
      <c r="R10" s="164" t="s">
        <v>5664</v>
      </c>
      <c r="S10" s="17"/>
      <c r="T10" s="17"/>
      <c r="U10" s="17"/>
      <c r="V10" s="17"/>
    </row>
    <row r="11">
      <c r="A11" s="333" t="s">
        <v>5665</v>
      </c>
      <c r="B11" s="161" t="s">
        <v>5666</v>
      </c>
      <c r="C11" s="333" t="s">
        <v>5667</v>
      </c>
      <c r="D11" s="161" t="s">
        <v>5668</v>
      </c>
      <c r="E11" s="333" t="s">
        <v>5669</v>
      </c>
      <c r="F11" s="161" t="s">
        <v>5670</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5671</v>
      </c>
      <c r="L11" s="161" t="s">
        <v>5672</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5673</v>
      </c>
      <c r="P11" s="161" t="s">
        <v>5674</v>
      </c>
      <c r="Q11" s="340" t="s">
        <v>5675</v>
      </c>
      <c r="R11" s="164" t="s">
        <v>5676</v>
      </c>
      <c r="S11" s="17"/>
      <c r="T11" s="17"/>
      <c r="U11" s="17"/>
      <c r="V11" s="17"/>
    </row>
    <row r="12">
      <c r="A12" s="333" t="s">
        <v>5677</v>
      </c>
      <c r="B12" s="161" t="s">
        <v>5678</v>
      </c>
      <c r="C12" s="333" t="s">
        <v>5679</v>
      </c>
      <c r="D12" s="161" t="s">
        <v>593</v>
      </c>
      <c r="E12" s="333" t="s">
        <v>5680</v>
      </c>
      <c r="F12" s="161" t="s">
        <v>5681</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5682</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5683</v>
      </c>
      <c r="P12" s="161" t="s">
        <v>2480</v>
      </c>
      <c r="Q12" s="340" t="s">
        <v>5684</v>
      </c>
      <c r="R12" s="164" t="s">
        <v>5685</v>
      </c>
      <c r="S12" s="17"/>
      <c r="T12" s="17"/>
      <c r="U12" s="17"/>
      <c r="V12" s="17"/>
    </row>
    <row r="13">
      <c r="A13" s="333" t="s">
        <v>5686</v>
      </c>
      <c r="B13" s="161" t="s">
        <v>5687</v>
      </c>
      <c r="C13" s="333" t="s">
        <v>5688</v>
      </c>
      <c r="D13" s="161" t="s">
        <v>5689</v>
      </c>
      <c r="E13" s="333" t="s">
        <v>5690</v>
      </c>
      <c r="F13" s="161" t="s">
        <v>5691</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5692</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5693</v>
      </c>
      <c r="P13" s="161" t="s">
        <v>5694</v>
      </c>
      <c r="Q13" s="340" t="s">
        <v>5695</v>
      </c>
      <c r="R13" s="186" t="s">
        <v>5696</v>
      </c>
      <c r="S13" s="17"/>
      <c r="T13" s="17"/>
      <c r="U13" s="17"/>
      <c r="V13" s="17"/>
    </row>
    <row r="14">
      <c r="A14" s="333" t="s">
        <v>5697</v>
      </c>
      <c r="B14" s="161" t="s">
        <v>5698</v>
      </c>
      <c r="C14" s="333" t="s">
        <v>5699</v>
      </c>
      <c r="D14" s="161" t="s">
        <v>5700</v>
      </c>
      <c r="E14" s="333" t="s">
        <v>5701</v>
      </c>
      <c r="F14" s="161" t="s">
        <v>5702</v>
      </c>
      <c r="G14" s="333" t="str">
        <f>IFERROR(__xludf.DUMMYFUNCTION("GOOGLETRANSLATE(A14,""zh-tw"",""zh"")"),"卢恩符文A")</f>
        <v>卢恩符文A</v>
      </c>
      <c r="H14" s="161" t="s">
        <v>5703</v>
      </c>
      <c r="I14" s="335" t="str">
        <f>IFERROR(__xludf.DUMMYFUNCTION("GOOGLETRANSLATE(A14,""zh-tw"",""es-MX"")"),"Runa A")</f>
        <v>Runa A</v>
      </c>
      <c r="J14" s="162" t="str">
        <f>IFERROR(__xludf.DUMMYFUNCTION("GOOGLETRANSLATE(B14,""zh-tw"",""es-MX"")"),"Deje constancia escrita")</f>
        <v>Deje constancia escrita</v>
      </c>
      <c r="K14" s="333" t="s">
        <v>5704</v>
      </c>
      <c r="L14" s="161" t="s">
        <v>5705</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5706</v>
      </c>
      <c r="P14" s="161" t="s">
        <v>5707</v>
      </c>
      <c r="Q14" s="340" t="s">
        <v>5701</v>
      </c>
      <c r="R14" s="164" t="s">
        <v>5708</v>
      </c>
      <c r="S14" s="17"/>
      <c r="T14" s="17"/>
      <c r="U14" s="17"/>
      <c r="V14" s="17"/>
    </row>
    <row r="15">
      <c r="A15" s="333" t="s">
        <v>5709</v>
      </c>
      <c r="B15" s="161" t="s">
        <v>5710</v>
      </c>
      <c r="C15" s="333" t="s">
        <v>5711</v>
      </c>
      <c r="D15" s="161" t="s">
        <v>5712</v>
      </c>
      <c r="E15" s="333" t="s">
        <v>5713</v>
      </c>
      <c r="F15" s="161" t="s">
        <v>5714</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5715</v>
      </c>
      <c r="L15" s="161" t="s">
        <v>5716</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5717</v>
      </c>
      <c r="P15" s="161" t="s">
        <v>5718</v>
      </c>
      <c r="Q15" s="340" t="s">
        <v>5713</v>
      </c>
      <c r="R15" s="164" t="s">
        <v>5719</v>
      </c>
      <c r="S15" s="17"/>
      <c r="T15" s="17"/>
      <c r="U15" s="17"/>
      <c r="V15" s="17"/>
    </row>
    <row r="16">
      <c r="A16" s="333" t="s">
        <v>5720</v>
      </c>
      <c r="B16" s="161" t="s">
        <v>5721</v>
      </c>
      <c r="C16" s="333" t="s">
        <v>5722</v>
      </c>
      <c r="D16" s="161" t="s">
        <v>5723</v>
      </c>
      <c r="E16" s="333" t="s">
        <v>5724</v>
      </c>
      <c r="F16" s="161" t="s">
        <v>5725</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5726</v>
      </c>
      <c r="L16" s="161" t="s">
        <v>5727</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5728</v>
      </c>
      <c r="P16" s="161" t="s">
        <v>5729</v>
      </c>
      <c r="Q16" s="340" t="s">
        <v>5724</v>
      </c>
      <c r="R16" s="164" t="s">
        <v>5730</v>
      </c>
      <c r="S16" s="17"/>
      <c r="T16" s="17"/>
      <c r="U16" s="17"/>
      <c r="V16" s="17"/>
    </row>
    <row r="17">
      <c r="A17" s="333" t="s">
        <v>5731</v>
      </c>
      <c r="B17" s="161" t="s">
        <v>5732</v>
      </c>
      <c r="C17" s="333" t="s">
        <v>5733</v>
      </c>
      <c r="D17" s="161" t="s">
        <v>5734</v>
      </c>
      <c r="E17" s="333" t="s">
        <v>5735</v>
      </c>
      <c r="F17" s="161" t="s">
        <v>5736</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5737</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5738</v>
      </c>
      <c r="P17" s="161" t="s">
        <v>5739</v>
      </c>
      <c r="Q17" s="340" t="s">
        <v>5735</v>
      </c>
      <c r="R17" s="164" t="s">
        <v>5740</v>
      </c>
      <c r="S17" s="17"/>
      <c r="T17" s="17"/>
      <c r="U17" s="17"/>
      <c r="V17" s="17"/>
    </row>
    <row r="18">
      <c r="A18" s="333" t="s">
        <v>5741</v>
      </c>
      <c r="B18" s="161" t="s">
        <v>5742</v>
      </c>
      <c r="C18" s="333" t="s">
        <v>5743</v>
      </c>
      <c r="D18" s="161" t="s">
        <v>5744</v>
      </c>
      <c r="E18" s="333" t="s">
        <v>5745</v>
      </c>
      <c r="F18" s="161" t="s">
        <v>5746</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5747</v>
      </c>
      <c r="L18" s="317" t="s">
        <v>5748</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5749</v>
      </c>
      <c r="P18" s="161" t="s">
        <v>5750</v>
      </c>
      <c r="Q18" s="340" t="s">
        <v>5745</v>
      </c>
      <c r="R18" s="164" t="s">
        <v>5746</v>
      </c>
      <c r="S18" s="17"/>
      <c r="T18" s="17"/>
      <c r="U18" s="17"/>
      <c r="V18" s="17"/>
    </row>
    <row r="19">
      <c r="A19" s="333" t="s">
        <v>5751</v>
      </c>
      <c r="B19" s="161" t="s">
        <v>5752</v>
      </c>
      <c r="C19" s="333" t="s">
        <v>5753</v>
      </c>
      <c r="D19" s="161" t="s">
        <v>5754</v>
      </c>
      <c r="E19" s="333" t="s">
        <v>5755</v>
      </c>
      <c r="F19" s="161" t="s">
        <v>5756</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5757</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5758</v>
      </c>
      <c r="P19" s="161" t="s">
        <v>5759</v>
      </c>
      <c r="Q19" s="340" t="s">
        <v>5755</v>
      </c>
      <c r="R19" s="164" t="s">
        <v>5760</v>
      </c>
      <c r="S19" s="17"/>
      <c r="T19" s="17"/>
      <c r="U19" s="17"/>
      <c r="V19" s="17"/>
    </row>
    <row r="20">
      <c r="A20" s="333" t="s">
        <v>5761</v>
      </c>
      <c r="B20" s="161" t="s">
        <v>5762</v>
      </c>
      <c r="C20" s="333" t="s">
        <v>5763</v>
      </c>
      <c r="D20" s="161" t="s">
        <v>5764</v>
      </c>
      <c r="E20" s="333" t="s">
        <v>5765</v>
      </c>
      <c r="F20" s="161" t="s">
        <v>5766</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5767</v>
      </c>
      <c r="M20" s="335" t="str">
        <f>IFERROR(__xludf.DUMMYFUNCTION("GOOGLETRANSLATE(A20,""zh-tw"",""ru"")"),"император")</f>
        <v>император</v>
      </c>
      <c r="N20" s="162" t="str">
        <f>IFERROR(__xludf.DUMMYFUNCTION("GOOGLETRANSLATE(B20,""zh-tw"",""ru"")"),"Рев Дракона")</f>
        <v>Рев Дракона</v>
      </c>
      <c r="O20" s="333" t="s">
        <v>5768</v>
      </c>
      <c r="P20" s="161" t="s">
        <v>5769</v>
      </c>
      <c r="Q20" s="340" t="s">
        <v>5765</v>
      </c>
      <c r="R20" s="164" t="s">
        <v>5770</v>
      </c>
      <c r="S20" s="17"/>
      <c r="T20" s="17"/>
      <c r="U20" s="17"/>
      <c r="V20" s="17"/>
    </row>
    <row r="21">
      <c r="A21" s="333" t="s">
        <v>5771</v>
      </c>
      <c r="B21" s="161" t="s">
        <v>5772</v>
      </c>
      <c r="C21" s="333" t="str">
        <f>IFERROR(__xludf.DUMMYFUNCTION("GOOGLETRANSLATE(A21,""zh-tw"",""ja"")"),"星")</f>
        <v>星</v>
      </c>
      <c r="D21" s="161" t="s">
        <v>5773</v>
      </c>
      <c r="E21" s="333" t="s">
        <v>5774</v>
      </c>
      <c r="F21" s="161" t="s">
        <v>5775</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5776</v>
      </c>
      <c r="M21" s="335" t="str">
        <f>IFERROR(__xludf.DUMMYFUNCTION("GOOGLETRANSLATE(A21,""zh-tw"",""ru"")"),"звезда")</f>
        <v>звезда</v>
      </c>
      <c r="N21" s="162" t="str">
        <f>IFERROR(__xludf.DUMMYFUNCTION("GOOGLETRANSLATE(B21,""zh-tw"",""ru"")"),"Звездные Врата")</f>
        <v>Звездные Врата</v>
      </c>
      <c r="O21" s="333" t="s">
        <v>5777</v>
      </c>
      <c r="P21" s="161" t="s">
        <v>5778</v>
      </c>
      <c r="Q21" s="340" t="s">
        <v>5774</v>
      </c>
      <c r="R21" s="164" t="s">
        <v>5779</v>
      </c>
      <c r="S21" s="17"/>
      <c r="T21" s="17"/>
      <c r="U21" s="17"/>
      <c r="V21" s="17"/>
    </row>
    <row r="22">
      <c r="A22" s="333" t="s">
        <v>5780</v>
      </c>
      <c r="B22" s="161" t="s">
        <v>5781</v>
      </c>
      <c r="C22" s="333" t="s">
        <v>5782</v>
      </c>
      <c r="D22" s="161" t="s">
        <v>5783</v>
      </c>
      <c r="E22" s="333" t="s">
        <v>5784</v>
      </c>
      <c r="F22" s="161" t="s">
        <v>5785</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5786</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5787</v>
      </c>
      <c r="P22" s="161" t="s">
        <v>5788</v>
      </c>
      <c r="Q22" s="340" t="s">
        <v>5784</v>
      </c>
      <c r="R22" s="164" t="s">
        <v>5789</v>
      </c>
      <c r="S22" s="17"/>
      <c r="T22" s="17"/>
      <c r="U22" s="17"/>
      <c r="V22" s="17"/>
    </row>
    <row r="23">
      <c r="A23" s="333" t="s">
        <v>5790</v>
      </c>
      <c r="B23" s="161" t="s">
        <v>5791</v>
      </c>
      <c r="C23" s="333" t="s">
        <v>5792</v>
      </c>
      <c r="D23" s="161" t="s">
        <v>5793</v>
      </c>
      <c r="E23" s="333" t="s">
        <v>5794</v>
      </c>
      <c r="F23" s="161" t="s">
        <v>5795</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5796</v>
      </c>
      <c r="L23" s="161" t="s">
        <v>5797</v>
      </c>
      <c r="M23" s="335" t="str">
        <f>IFERROR(__xludf.DUMMYFUNCTION("GOOGLETRANSLATE(A23,""zh-tw"",""ru"")"),"Жрица")</f>
        <v>Жрица</v>
      </c>
      <c r="N23" s="162" t="str">
        <f>IFERROR(__xludf.DUMMYFUNCTION("GOOGLETRANSLATE(B23,""zh-tw"",""ru"")"),"Церковь призыва")</f>
        <v>Церковь призыва</v>
      </c>
      <c r="O23" s="333" t="s">
        <v>5798</v>
      </c>
      <c r="P23" s="161" t="s">
        <v>5799</v>
      </c>
      <c r="Q23" s="340" t="s">
        <v>5794</v>
      </c>
      <c r="R23" s="164" t="s">
        <v>5800</v>
      </c>
      <c r="S23" s="17"/>
      <c r="T23" s="17"/>
      <c r="U23" s="17"/>
      <c r="V23" s="17"/>
    </row>
    <row r="24">
      <c r="A24" s="333" t="s">
        <v>5801</v>
      </c>
      <c r="B24" s="161" t="s">
        <v>5802</v>
      </c>
      <c r="C24" s="333" t="s">
        <v>5803</v>
      </c>
      <c r="D24" s="161" t="s">
        <v>5804</v>
      </c>
      <c r="E24" s="333" t="s">
        <v>5805</v>
      </c>
      <c r="F24" s="161" t="s">
        <v>5806</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5807</v>
      </c>
      <c r="L24" s="161" t="s">
        <v>5808</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5809</v>
      </c>
      <c r="P24" s="161" t="s">
        <v>5810</v>
      </c>
      <c r="Q24" s="340" t="s">
        <v>5805</v>
      </c>
      <c r="R24" s="164" t="s">
        <v>5811</v>
      </c>
      <c r="S24" s="17"/>
      <c r="T24" s="17"/>
      <c r="U24" s="17"/>
      <c r="V24" s="17"/>
    </row>
    <row r="25">
      <c r="A25" s="333" t="s">
        <v>5812</v>
      </c>
      <c r="B25" s="161" t="s">
        <v>5813</v>
      </c>
      <c r="C25" s="333" t="s">
        <v>5814</v>
      </c>
      <c r="D25" s="161" t="s">
        <v>5815</v>
      </c>
      <c r="E25" s="333" t="s">
        <v>5816</v>
      </c>
      <c r="F25" s="161" t="s">
        <v>5817</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5818</v>
      </c>
      <c r="M25" s="335" t="str">
        <f>IFERROR(__xludf.DUMMYFUNCTION("GOOGLETRANSLATE(A25,""zh-tw"",""ru"")"),"мир")</f>
        <v>мир</v>
      </c>
      <c r="N25" s="162" t="str">
        <f>IFERROR(__xludf.DUMMYFUNCTION("GOOGLETRANSLATE(B25,""zh-tw"",""ru"")"),"Место реконструкции")</f>
        <v>Место реконструкции</v>
      </c>
      <c r="O25" s="333" t="s">
        <v>5819</v>
      </c>
      <c r="P25" s="161" t="s">
        <v>5820</v>
      </c>
      <c r="Q25" s="340" t="s">
        <v>5816</v>
      </c>
      <c r="R25" s="164" t="s">
        <v>5821</v>
      </c>
      <c r="S25" s="17"/>
      <c r="T25" s="17"/>
      <c r="U25" s="17"/>
      <c r="V25" s="17"/>
    </row>
    <row r="26">
      <c r="A26" s="333" t="s">
        <v>5822</v>
      </c>
      <c r="B26" s="161" t="s">
        <v>5823</v>
      </c>
      <c r="C26" s="346" t="s">
        <v>5824</v>
      </c>
      <c r="D26" s="347" t="str">
        <f>IFERROR(__xludf.DUMMYFUNCTION("GOOGLETRANSLATE(B26,""zh-tw"",""ja"")"),"一定時間内に1回復活することができます。")</f>
        <v>一定時間内に1回復活することができます。</v>
      </c>
      <c r="E26" s="333" t="s">
        <v>5825</v>
      </c>
      <c r="F26" s="161" t="s">
        <v>5826</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5827</v>
      </c>
      <c r="L26" s="161" t="s">
        <v>5828</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5829</v>
      </c>
      <c r="P26" s="161" t="s">
        <v>5830</v>
      </c>
      <c r="Q26" s="340" t="s">
        <v>5825</v>
      </c>
      <c r="R26" s="164" t="s">
        <v>5831</v>
      </c>
      <c r="S26" s="17"/>
      <c r="T26" s="17"/>
      <c r="U26" s="17"/>
      <c r="V26" s="17"/>
    </row>
    <row r="27">
      <c r="A27" s="339" t="s">
        <v>5832</v>
      </c>
      <c r="B27" s="161" t="s">
        <v>5833</v>
      </c>
      <c r="C27" s="339" t="s">
        <v>5834</v>
      </c>
      <c r="D27" s="161" t="s">
        <v>5835</v>
      </c>
      <c r="E27" s="339" t="s">
        <v>5836</v>
      </c>
      <c r="F27" s="322" t="s">
        <v>5837</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5838</v>
      </c>
      <c r="P27" s="161" t="s">
        <v>5839</v>
      </c>
      <c r="Q27" s="340" t="s">
        <v>5836</v>
      </c>
      <c r="R27" s="164" t="s">
        <v>5840</v>
      </c>
      <c r="S27" s="17"/>
      <c r="T27" s="17"/>
      <c r="U27" s="17"/>
      <c r="V27" s="17"/>
    </row>
    <row r="28">
      <c r="A28" s="333" t="s">
        <v>5841</v>
      </c>
      <c r="B28" s="161" t="s">
        <v>5842</v>
      </c>
      <c r="C28" s="333" t="str">
        <f>IFERROR(__xludf.DUMMYFUNCTION("GOOGLETRANSLATE(A28,""zh-tw"",""ja"")"),"ジャック・ボム")</f>
        <v>ジャック・ボム</v>
      </c>
      <c r="D28" s="161" t="s">
        <v>5843</v>
      </c>
      <c r="E28" s="333" t="s">
        <v>5844</v>
      </c>
      <c r="F28" s="161" t="s">
        <v>5845</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5846</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5847</v>
      </c>
      <c r="P28" s="161" t="s">
        <v>5848</v>
      </c>
      <c r="Q28" s="340" t="s">
        <v>5844</v>
      </c>
      <c r="R28" s="164" t="s">
        <v>5849</v>
      </c>
      <c r="S28" s="17"/>
      <c r="T28" s="17"/>
      <c r="U28" s="17"/>
      <c r="V28" s="17"/>
    </row>
    <row r="29">
      <c r="A29" s="333" t="s">
        <v>5850</v>
      </c>
      <c r="B29" s="161" t="s">
        <v>5851</v>
      </c>
      <c r="C29" s="333" t="s">
        <v>5852</v>
      </c>
      <c r="D29" s="161" t="s">
        <v>5853</v>
      </c>
      <c r="E29" s="333" t="s">
        <v>5854</v>
      </c>
      <c r="F29" s="161" t="s">
        <v>5855</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5856</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5857</v>
      </c>
      <c r="P29" s="161" t="s">
        <v>5858</v>
      </c>
      <c r="Q29" s="340" t="s">
        <v>5854</v>
      </c>
      <c r="R29" s="164" t="s">
        <v>5859</v>
      </c>
      <c r="S29" s="17"/>
      <c r="T29" s="17"/>
      <c r="U29" s="17"/>
      <c r="V29" s="17"/>
    </row>
    <row r="30">
      <c r="A30" s="333" t="s">
        <v>5860</v>
      </c>
      <c r="B30" s="161" t="s">
        <v>5861</v>
      </c>
      <c r="C30" s="333" t="s">
        <v>5862</v>
      </c>
      <c r="D30" s="161" t="s">
        <v>5863</v>
      </c>
      <c r="E30" s="333" t="s">
        <v>5864</v>
      </c>
      <c r="F30" s="161" t="s">
        <v>5865</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5866</v>
      </c>
      <c r="L30" s="161" t="s">
        <v>5867</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5868</v>
      </c>
      <c r="P30" s="161" t="s">
        <v>5869</v>
      </c>
      <c r="Q30" s="340" t="s">
        <v>5864</v>
      </c>
      <c r="R30" s="164" t="s">
        <v>5870</v>
      </c>
      <c r="S30" s="17"/>
      <c r="T30" s="17"/>
      <c r="U30" s="17"/>
      <c r="V30" s="17"/>
    </row>
    <row r="31">
      <c r="A31" s="333" t="s">
        <v>5871</v>
      </c>
      <c r="B31" s="161" t="s">
        <v>5872</v>
      </c>
      <c r="C31" s="333" t="str">
        <f>IFERROR(__xludf.DUMMYFUNCTION("GOOGLETRANSLATE(A31,""zh-tw"",""ja"")"),"密封された時計")</f>
        <v>密封された時計</v>
      </c>
      <c r="D31" s="161" t="s">
        <v>5873</v>
      </c>
      <c r="E31" s="333" t="s">
        <v>5874</v>
      </c>
      <c r="F31" s="161" t="s">
        <v>5875</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5876</v>
      </c>
      <c r="L31" s="161" t="s">
        <v>5877</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5878</v>
      </c>
      <c r="P31" s="161" t="s">
        <v>5879</v>
      </c>
      <c r="Q31" s="340" t="s">
        <v>5880</v>
      </c>
      <c r="R31" s="164" t="s">
        <v>5881</v>
      </c>
      <c r="S31" s="17"/>
      <c r="T31" s="17"/>
      <c r="U31" s="17"/>
      <c r="V31" s="17"/>
    </row>
    <row r="32">
      <c r="A32" s="333" t="s">
        <v>5882</v>
      </c>
      <c r="B32" s="161" t="s">
        <v>5883</v>
      </c>
      <c r="C32" s="333" t="str">
        <f>IFERROR(__xludf.DUMMYFUNCTION("GOOGLETRANSLATE(A32,""zh-tw"",""ja"")"),"寿司プリン")</f>
        <v>寿司プリン</v>
      </c>
      <c r="D32" s="161" t="s">
        <v>5884</v>
      </c>
      <c r="E32" s="333" t="s">
        <v>5885</v>
      </c>
      <c r="F32" s="161" t="s">
        <v>5886</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5885</v>
      </c>
      <c r="P32" s="161" t="s">
        <v>5887</v>
      </c>
      <c r="Q32" s="340" t="s">
        <v>5885</v>
      </c>
      <c r="R32" s="164" t="s">
        <v>5888</v>
      </c>
      <c r="S32" s="17"/>
      <c r="T32" s="17"/>
      <c r="U32" s="17"/>
      <c r="V32" s="17"/>
    </row>
    <row r="33">
      <c r="A33" s="333" t="s">
        <v>5889</v>
      </c>
      <c r="B33" s="161" t="s">
        <v>5890</v>
      </c>
      <c r="C33" s="333" t="str">
        <f>IFERROR(__xludf.DUMMYFUNCTION("GOOGLETRANSLATE(A33,""zh-tw"",""ja"")"),"ポラロイド 1～35")</f>
        <v>ポラロイド 1～35</v>
      </c>
      <c r="D33" s="161" t="s">
        <v>5891</v>
      </c>
      <c r="E33" s="333" t="s">
        <v>5892</v>
      </c>
      <c r="F33" s="161" t="s">
        <v>5893</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5894</v>
      </c>
      <c r="P33" s="161" t="s">
        <v>5895</v>
      </c>
      <c r="Q33" s="340" t="s">
        <v>5892</v>
      </c>
      <c r="R33" s="164" t="s">
        <v>5896</v>
      </c>
      <c r="S33" s="17"/>
      <c r="T33" s="17"/>
      <c r="U33" s="17"/>
      <c r="V33" s="17"/>
    </row>
    <row r="34">
      <c r="A34" s="333" t="s">
        <v>5897</v>
      </c>
      <c r="B34" s="161" t="s">
        <v>5898</v>
      </c>
      <c r="C34" s="333" t="s">
        <v>5899</v>
      </c>
      <c r="D34" s="161" t="s">
        <v>5900</v>
      </c>
      <c r="E34" s="333" t="s">
        <v>5901</v>
      </c>
      <c r="F34" s="161" t="s">
        <v>5902</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5903</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5904</v>
      </c>
      <c r="P34" s="161" t="s">
        <v>5905</v>
      </c>
      <c r="Q34" s="340" t="s">
        <v>5906</v>
      </c>
      <c r="R34" s="164" t="s">
        <v>5907</v>
      </c>
      <c r="S34" s="17"/>
      <c r="T34" s="17"/>
      <c r="U34" s="17"/>
      <c r="V34" s="17"/>
    </row>
    <row r="35">
      <c r="A35" s="333" t="s">
        <v>5908</v>
      </c>
      <c r="B35" s="161" t="s">
        <v>5909</v>
      </c>
      <c r="C35" s="333" t="s">
        <v>5910</v>
      </c>
      <c r="D35" s="161" t="s">
        <v>5911</v>
      </c>
      <c r="E35" s="333" t="s">
        <v>5912</v>
      </c>
      <c r="F35" s="161" t="s">
        <v>5913</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5914</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5915</v>
      </c>
      <c r="P35" s="161" t="s">
        <v>5916</v>
      </c>
      <c r="Q35" s="340" t="s">
        <v>5917</v>
      </c>
      <c r="R35" s="164" t="s">
        <v>5918</v>
      </c>
      <c r="S35" s="17"/>
      <c r="T35" s="17"/>
      <c r="U35" s="17"/>
      <c r="V35" s="17"/>
    </row>
    <row r="36">
      <c r="A36" s="333" t="s">
        <v>5919</v>
      </c>
      <c r="B36" s="161" t="s">
        <v>5909</v>
      </c>
      <c r="C36" s="333" t="s">
        <v>5920</v>
      </c>
      <c r="D36" s="161" t="s">
        <v>5921</v>
      </c>
      <c r="E36" s="333" t="s">
        <v>5922</v>
      </c>
      <c r="F36" s="161" t="s">
        <v>5913</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5903</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5904</v>
      </c>
      <c r="P36" s="161" t="s">
        <v>5905</v>
      </c>
      <c r="Q36" s="340" t="s">
        <v>5923</v>
      </c>
      <c r="R36" s="164" t="s">
        <v>5918</v>
      </c>
      <c r="S36" s="17"/>
      <c r="T36" s="17"/>
      <c r="U36" s="17"/>
      <c r="V36" s="17"/>
    </row>
    <row r="37">
      <c r="A37" s="333" t="s">
        <v>5924</v>
      </c>
      <c r="B37" s="161" t="s">
        <v>5925</v>
      </c>
      <c r="C37" s="333" t="s">
        <v>5926</v>
      </c>
      <c r="D37" s="161" t="s">
        <v>5927</v>
      </c>
      <c r="E37" s="333" t="s">
        <v>5928</v>
      </c>
      <c r="F37" s="161" t="s">
        <v>5929</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5914</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5915</v>
      </c>
      <c r="P37" s="161" t="s">
        <v>5916</v>
      </c>
      <c r="Q37" s="340" t="s">
        <v>5930</v>
      </c>
      <c r="R37" s="164" t="s">
        <v>5931</v>
      </c>
      <c r="S37" s="17"/>
      <c r="T37" s="17"/>
      <c r="U37" s="17"/>
      <c r="V37" s="17"/>
    </row>
    <row r="38">
      <c r="A38" s="339" t="s">
        <v>5932</v>
      </c>
      <c r="B38" s="162" t="s">
        <v>5933</v>
      </c>
      <c r="C38" s="335" t="s">
        <v>5934</v>
      </c>
      <c r="D38" s="162" t="s">
        <v>5935</v>
      </c>
      <c r="E38" s="335" t="s">
        <v>5936</v>
      </c>
      <c r="F38" s="162" t="s">
        <v>5937</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5938</v>
      </c>
      <c r="P38" s="161" t="s">
        <v>5939</v>
      </c>
      <c r="Q38" s="340" t="s">
        <v>5940</v>
      </c>
      <c r="R38" s="186" t="s">
        <v>5941</v>
      </c>
      <c r="S38" s="17"/>
      <c r="T38" s="17"/>
      <c r="U38" s="17"/>
      <c r="V38" s="17"/>
    </row>
    <row r="39">
      <c r="A39" s="333" t="s">
        <v>5942</v>
      </c>
      <c r="B39" s="161" t="s">
        <v>5943</v>
      </c>
      <c r="C39" s="333" t="s">
        <v>5944</v>
      </c>
      <c r="D39" s="161" t="s">
        <v>5945</v>
      </c>
      <c r="E39" s="333" t="s">
        <v>5946</v>
      </c>
      <c r="F39" s="161" t="s">
        <v>5947</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5948</v>
      </c>
      <c r="P39" s="161" t="s">
        <v>5949</v>
      </c>
      <c r="Q39" s="340" t="s">
        <v>5950</v>
      </c>
      <c r="R39" s="164" t="s">
        <v>5951</v>
      </c>
      <c r="S39" s="17"/>
      <c r="T39" s="17"/>
      <c r="U39" s="17"/>
      <c r="V39" s="17"/>
    </row>
    <row r="40">
      <c r="A40" s="339" t="s">
        <v>5952</v>
      </c>
      <c r="B40" s="162" t="s">
        <v>5953</v>
      </c>
      <c r="C40" s="335" t="s">
        <v>5954</v>
      </c>
      <c r="D40" s="162" t="s">
        <v>5955</v>
      </c>
      <c r="E40" s="335" t="s">
        <v>5956</v>
      </c>
      <c r="F40" s="162" t="s">
        <v>5957</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5956</v>
      </c>
      <c r="P40" s="162" t="s">
        <v>5957</v>
      </c>
      <c r="Q40" s="340" t="s">
        <v>5956</v>
      </c>
      <c r="R40" s="182"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el mismo conjunto de ingredientes puede dar lugar a diferentes platos.
A cada plato se le pueden añadir chiles, por lo que existe la posibilidad de obtener un resultado más picante. Asimismo, cada chile adicional aumenta la "&amp;"probabilidad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el mismo conjunto de ingredientes puede dar lugar a diferentes platos.
A cada plato se le pueden añadir chiles, por lo que existe la posibilidad de obtener un resultado más picante. Asimismo, cada chile adicional aumenta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5573</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4421</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4032</v>
      </c>
      <c r="D10" s="163" t="s">
        <v>4032</v>
      </c>
      <c r="E10" s="163" t="s">
        <v>4032</v>
      </c>
      <c r="F10" s="380" t="s">
        <v>6117</v>
      </c>
      <c r="G10" s="381"/>
      <c r="H10" s="163" t="s">
        <v>6118</v>
      </c>
      <c r="I10" s="163" t="s">
        <v>6118</v>
      </c>
      <c r="J10" s="163" t="s">
        <v>6118</v>
      </c>
      <c r="K10" s="103" t="s">
        <v>6119</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4045</v>
      </c>
      <c r="AR10" s="182" t="s">
        <v>4045</v>
      </c>
      <c r="AS10" s="182" t="s">
        <v>4045</v>
      </c>
    </row>
    <row r="11">
      <c r="A11" s="385" t="s">
        <v>6124</v>
      </c>
      <c r="B11" s="381"/>
      <c r="C11" s="163" t="s">
        <v>6125</v>
      </c>
      <c r="D11" s="163" t="s">
        <v>4229</v>
      </c>
      <c r="E11" s="176"/>
      <c r="F11" s="380" t="s">
        <v>6126</v>
      </c>
      <c r="G11" s="381"/>
      <c r="H11" s="163" t="s">
        <v>6127</v>
      </c>
      <c r="I11" s="163" t="s">
        <v>6128</v>
      </c>
      <c r="J11" s="176"/>
      <c r="K11" s="103" t="s">
        <v>6129</v>
      </c>
      <c r="L11" s="381"/>
      <c r="M11" s="161" t="s">
        <v>6130</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4234</v>
      </c>
      <c r="AN11" s="162"/>
      <c r="AO11" s="154" t="s">
        <v>6129</v>
      </c>
      <c r="AP11" s="190"/>
      <c r="AQ11" s="182" t="s">
        <v>6135</v>
      </c>
      <c r="AR11" s="182" t="s">
        <v>4236</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6152</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4263</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IFERROR(__xludf.DUMMYFUNCTION("GOOGLETRANSLATE(A15,""zh-tw"",""ru"")"),"Жареные кусочки мяса")</f>
        <v>Жареные кусочки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3874</v>
      </c>
      <c r="E20" s="176"/>
      <c r="F20" s="380" t="s">
        <v>6192</v>
      </c>
      <c r="G20" s="381"/>
      <c r="H20" s="163" t="s">
        <v>6052</v>
      </c>
      <c r="I20" s="163" t="s">
        <v>6193</v>
      </c>
      <c r="J20" s="176"/>
      <c r="K20" s="103" t="s">
        <v>6194</v>
      </c>
      <c r="L20" s="381"/>
      <c r="M20" s="161" t="s">
        <v>6054</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3880</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6055</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4229</v>
      </c>
      <c r="E24" s="163" t="s">
        <v>6228</v>
      </c>
      <c r="F24" s="380" t="s">
        <v>6229</v>
      </c>
      <c r="G24" s="381"/>
      <c r="H24" s="163" t="s">
        <v>6150</v>
      </c>
      <c r="I24" s="163" t="s">
        <v>6230</v>
      </c>
      <c r="J24" s="163" t="s">
        <v>6231</v>
      </c>
      <c r="K24" s="103" t="s">
        <v>6232</v>
      </c>
      <c r="L24" s="381"/>
      <c r="M24" s="161" t="s">
        <v>4257</v>
      </c>
      <c r="N24" s="161" t="s">
        <v>4231</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4234</v>
      </c>
      <c r="AN24" s="161" t="s">
        <v>4234</v>
      </c>
      <c r="AO24" s="180" t="s">
        <v>6235</v>
      </c>
      <c r="AP24" s="190"/>
      <c r="AQ24" s="182" t="s">
        <v>4263</v>
      </c>
      <c r="AR24" s="182" t="s">
        <v>4236</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4229</v>
      </c>
      <c r="D27" s="176"/>
      <c r="E27" s="176"/>
      <c r="F27" s="380" t="s">
        <v>6259</v>
      </c>
      <c r="G27" s="381"/>
      <c r="H27" s="163" t="s">
        <v>6230</v>
      </c>
      <c r="I27" s="176"/>
      <c r="J27" s="176"/>
      <c r="K27" s="103" t="s">
        <v>6260</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4234</v>
      </c>
      <c r="AM27" s="162"/>
      <c r="AN27" s="162"/>
      <c r="AO27" s="180" t="s">
        <v>6263</v>
      </c>
      <c r="AP27" s="190"/>
      <c r="AQ27" s="182" t="s">
        <v>4236</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4045</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4019</v>
      </c>
      <c r="F32" s="380" t="s">
        <v>6303</v>
      </c>
      <c r="G32" s="381"/>
      <c r="H32" s="163" t="s">
        <v>6064</v>
      </c>
      <c r="I32" s="163" t="s">
        <v>6065</v>
      </c>
      <c r="J32" s="163" t="s">
        <v>6304</v>
      </c>
      <c r="K32" s="99" t="s">
        <v>6305</v>
      </c>
      <c r="L32" s="381"/>
      <c r="M32" s="161" t="s">
        <v>6067</v>
      </c>
      <c r="N32" s="161" t="s">
        <v>6068</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4029</v>
      </c>
    </row>
    <row r="33">
      <c r="A33" s="380" t="s">
        <v>6309</v>
      </c>
      <c r="B33" s="381"/>
      <c r="C33" s="163" t="s">
        <v>6061</v>
      </c>
      <c r="D33" s="163" t="s">
        <v>4019</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4029</v>
      </c>
      <c r="AS33" s="183"/>
    </row>
    <row r="34">
      <c r="A34" s="380" t="s">
        <v>6315</v>
      </c>
      <c r="B34" s="381"/>
      <c r="C34" s="163" t="s">
        <v>6061</v>
      </c>
      <c r="D34" s="163" t="s">
        <v>4019</v>
      </c>
      <c r="E34" s="163" t="s">
        <v>4238</v>
      </c>
      <c r="F34" s="380" t="s">
        <v>6316</v>
      </c>
      <c r="G34" s="381"/>
      <c r="H34" s="163" t="s">
        <v>6064</v>
      </c>
      <c r="I34" s="163" t="s">
        <v>6304</v>
      </c>
      <c r="J34" s="163" t="s">
        <v>6317</v>
      </c>
      <c r="K34" s="103" t="s">
        <v>6318</v>
      </c>
      <c r="L34" s="381"/>
      <c r="M34" s="161" t="s">
        <v>6067</v>
      </c>
      <c r="N34" s="161" t="s">
        <v>6312</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IFERROR(__xludf.DUMMYFUNCTION("GOOGLETRANSLATE(A34,""zh-tw"",""ru"")"),"Рис с томатным омлетом")</f>
        <v>Рис с томатным омлетом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4029</v>
      </c>
      <c r="AS34" s="182" t="s">
        <v>4244</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6372</v>
      </c>
      <c r="AA40" s="388" t="s">
        <v>236</v>
      </c>
      <c r="AB40" s="162" t="str">
        <f>IFERROR(__xludf.DUMMYFUNCTION("GOOGLETRANSLATE(C40,""zh-tw"",""KO"")"),"흰쌀")</f>
        <v>흰쌀</v>
      </c>
      <c r="AC40" s="161" t="s">
        <v>6359</v>
      </c>
      <c r="AD40" s="162"/>
      <c r="AE40" s="380" t="str">
        <f>IFERROR(__xludf.DUMMYFUNCTION("GOOGLETRANSLATE(A40,""zh-tw"",""ru"")"),"Темпура рисовый шарик")</f>
        <v>Темпура рисовый шарик</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4229</v>
      </c>
      <c r="D46" s="163" t="s">
        <v>4246</v>
      </c>
      <c r="E46" s="176"/>
      <c r="F46" s="380" t="s">
        <v>6415</v>
      </c>
      <c r="G46" s="366" t="s">
        <v>787</v>
      </c>
      <c r="H46" s="163" t="s">
        <v>6230</v>
      </c>
      <c r="I46" s="163" t="s">
        <v>6416</v>
      </c>
      <c r="J46" s="176"/>
      <c r="K46" s="103" t="s">
        <v>6417</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4234</v>
      </c>
      <c r="AM46" s="161" t="s">
        <v>6421</v>
      </c>
      <c r="AN46" s="162"/>
      <c r="AO46" s="180" t="s">
        <v>6422</v>
      </c>
      <c r="AP46" s="386" t="s">
        <v>787</v>
      </c>
      <c r="AQ46" s="182" t="s">
        <v>4236</v>
      </c>
      <c r="AR46" s="182" t="s">
        <v>4252</v>
      </c>
      <c r="AS46" s="183"/>
    </row>
    <row r="47">
      <c r="A47" s="380" t="s">
        <v>6423</v>
      </c>
      <c r="B47" s="366" t="s">
        <v>787</v>
      </c>
      <c r="C47" s="163" t="s">
        <v>4246</v>
      </c>
      <c r="D47" s="176"/>
      <c r="E47" s="176"/>
      <c r="F47" s="380" t="s">
        <v>6424</v>
      </c>
      <c r="G47" s="366" t="s">
        <v>787</v>
      </c>
      <c r="H47" s="163" t="s">
        <v>6416</v>
      </c>
      <c r="I47" s="176"/>
      <c r="J47" s="176"/>
      <c r="K47" s="103" t="s">
        <v>6425</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4252</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6438</v>
      </c>
      <c r="AA49" s="376"/>
      <c r="AB49" s="317" t="s">
        <v>6055</v>
      </c>
      <c r="AC49" s="317" t="s">
        <v>6186</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4219</v>
      </c>
      <c r="D52" s="163" t="s">
        <v>6078</v>
      </c>
      <c r="E52" s="176"/>
      <c r="F52" s="380" t="s">
        <v>6462</v>
      </c>
      <c r="G52" s="389"/>
      <c r="H52" s="163" t="s">
        <v>6463</v>
      </c>
      <c r="I52" s="163" t="s">
        <v>6081</v>
      </c>
      <c r="J52" s="176"/>
      <c r="K52" s="103" t="s">
        <v>6464</v>
      </c>
      <c r="L52" s="381"/>
      <c r="M52" s="161" t="s">
        <v>4221</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4227</v>
      </c>
      <c r="AR52" s="182" t="s">
        <v>6090</v>
      </c>
      <c r="AS52" s="183"/>
    </row>
    <row r="53">
      <c r="A53" s="380" t="s">
        <v>6468</v>
      </c>
      <c r="B53" s="389"/>
      <c r="C53" s="163" t="s">
        <v>4238</v>
      </c>
      <c r="D53" s="176"/>
      <c r="E53" s="176"/>
      <c r="F53" s="380" t="s">
        <v>6469</v>
      </c>
      <c r="G53" s="389"/>
      <c r="H53" s="163" t="s">
        <v>6317</v>
      </c>
      <c r="I53" s="176"/>
      <c r="J53" s="176"/>
      <c r="K53" s="103" t="s">
        <v>6470</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4236</v>
      </c>
      <c r="AR53" s="183"/>
      <c r="AS53" s="183"/>
    </row>
    <row r="54">
      <c r="A54" s="380" t="s">
        <v>4219</v>
      </c>
      <c r="B54" s="389"/>
      <c r="C54" s="163" t="s">
        <v>4219</v>
      </c>
      <c r="D54" s="176"/>
      <c r="E54" s="176"/>
      <c r="F54" s="380" t="s">
        <v>6473</v>
      </c>
      <c r="G54" s="389"/>
      <c r="H54" s="163" t="s">
        <v>6463</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3862</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좀 있어요.")</f>
        <v>내 동생은 성적 욕망이 좀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желаний!")</f>
        <v>Он превратился в Зверя, разум которого полон желаний!</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3905</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3915</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4502</v>
      </c>
      <c r="E24" s="174" t="s">
        <v>6723</v>
      </c>
      <c r="F24" s="317" t="s">
        <v>6724</v>
      </c>
      <c r="G24" s="316" t="str">
        <f>IFERROR(__xludf.DUMMYFUNCTION("GOOGLETRANSLATE(C24,""zh-tw"",""ja"")"),"彼の体は常に悪臭を放っていた")</f>
        <v>彼の体は常に悪臭を放っていた</v>
      </c>
      <c r="H24" s="396" t="s">
        <v>4504</v>
      </c>
      <c r="I24" s="174" t="s">
        <v>6725</v>
      </c>
      <c r="J24" s="317" t="s">
        <v>6726</v>
      </c>
      <c r="K24" s="319" t="s">
        <v>6727</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4510</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IFERROR(__xludf.DUMMYFUNCTION("GOOGLETRANSLATE(C25,""zh-tw"",""ja"")"),"スタミナは1秒ごとにわずかに回復します")</f>
        <v>スタミナは1秒ごとにわずかに回復します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ligeramente por segundo.")</f>
        <v>La resistencia se recupera ligeramente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약간씩 회복됩니다.")</f>
        <v>체력은 초당 약간씩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erholt sich pro Sekunde ein wenig.")</f>
        <v>Die Ausdauer erholt sich pro Sekunde ein wenig.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5686</v>
      </c>
      <c r="E32" s="174" t="s">
        <v>6814</v>
      </c>
      <c r="F32" s="317" t="s">
        <v>6815</v>
      </c>
      <c r="G32" s="319" t="s">
        <v>6816</v>
      </c>
      <c r="H32" s="396" t="s">
        <v>5688</v>
      </c>
      <c r="I32" s="174" t="s">
        <v>6817</v>
      </c>
      <c r="J32" s="317" t="s">
        <v>6818</v>
      </c>
      <c r="K32" s="319" t="s">
        <v>6819</v>
      </c>
      <c r="L32" s="396" t="s">
        <v>5690</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5695</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5073</v>
      </c>
      <c r="E34" s="174" t="s">
        <v>6841</v>
      </c>
      <c r="F34" s="315" t="str">
        <f>IFERROR(__xludf.DUMMYFUNCTION("GOOGLETRANSLATE(B34,""zh-tw"",""ja"")"),"祝福を享受できますように")</f>
        <v>祝福を享受できますように</v>
      </c>
      <c r="G34" s="319" t="s">
        <v>6842</v>
      </c>
      <c r="H34" s="396" t="s">
        <v>5075</v>
      </c>
      <c r="I34" s="174" t="s">
        <v>6843</v>
      </c>
      <c r="J34" s="317" t="s">
        <v>6844</v>
      </c>
      <c r="K34" s="319" t="s">
        <v>6845</v>
      </c>
      <c r="L34" s="396" t="s">
        <v>5076</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4639</v>
      </c>
      <c r="E36" s="174" t="s">
        <v>4641</v>
      </c>
      <c r="F36" s="317" t="s">
        <v>6859</v>
      </c>
      <c r="G36" s="316" t="str">
        <f>IFERROR(__xludf.DUMMYFUNCTION("GOOGLETRANSLATE(C36,""zh-tw"",""ja"")"),"全属性が上昇し、一時的に無敵になる。")</f>
        <v>全属性が上昇し、一時的に無敵になる。</v>
      </c>
      <c r="H36" s="396" t="s">
        <v>4641</v>
      </c>
      <c r="I36" s="174" t="s">
        <v>4643</v>
      </c>
      <c r="J36" s="317" t="s">
        <v>6860</v>
      </c>
      <c r="K36" s="319" t="s">
        <v>6861</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4266</v>
      </c>
      <c r="I37" s="174" t="s">
        <v>4268</v>
      </c>
      <c r="J37" s="317" t="s">
        <v>6869</v>
      </c>
      <c r="K37" s="319" t="s">
        <v>6870</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64" t="s">
        <v>6871</v>
      </c>
      <c r="AI37" s="320" t="s">
        <v>6872</v>
      </c>
      <c r="AJ37" s="398" t="s">
        <v>4274</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4018</v>
      </c>
      <c r="AK39" s="396"/>
      <c r="AL39" s="396"/>
      <c r="AM39" s="396"/>
    </row>
    <row r="40">
      <c r="A40" s="174" t="s">
        <v>6891</v>
      </c>
      <c r="B40" s="317" t="s">
        <v>6892</v>
      </c>
      <c r="C40" s="319" t="s">
        <v>6893</v>
      </c>
      <c r="D40" s="396" t="s">
        <v>4846</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5393</v>
      </c>
      <c r="E45" s="174" t="s">
        <v>6966</v>
      </c>
      <c r="F45" s="317" t="s">
        <v>6967</v>
      </c>
      <c r="G45" s="319" t="s">
        <v>723</v>
      </c>
      <c r="H45" s="396" t="s">
        <v>6968</v>
      </c>
      <c r="I45" s="174" t="s">
        <v>5397</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5336</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198"/>
      <c r="AH46" s="219"/>
      <c r="AI46" s="401"/>
      <c r="AJ46" s="402"/>
      <c r="AK46" s="397"/>
      <c r="AL46" s="397"/>
      <c r="AM46" s="397"/>
    </row>
    <row r="47">
      <c r="A47" s="174" t="s">
        <v>6981</v>
      </c>
      <c r="B47" s="317" t="s">
        <v>6982</v>
      </c>
      <c r="C47" s="319" t="s">
        <v>6983</v>
      </c>
      <c r="D47" s="396" t="s">
        <v>5257</v>
      </c>
      <c r="E47" s="174" t="s">
        <v>6984</v>
      </c>
      <c r="F47" s="317" t="s">
        <v>6985</v>
      </c>
      <c r="G47" s="319" t="s">
        <v>6986</v>
      </c>
      <c r="H47" s="397"/>
      <c r="I47" s="174" t="s">
        <v>6987</v>
      </c>
      <c r="J47" s="317" t="s">
        <v>6988</v>
      </c>
      <c r="K47" s="319" t="s">
        <v>6989</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98"/>
      <c r="AH47" s="219"/>
      <c r="AI47" s="401"/>
      <c r="AJ47" s="402"/>
      <c r="AK47" s="397"/>
      <c r="AL47" s="397"/>
      <c r="AM47" s="397"/>
    </row>
    <row r="48">
      <c r="A48" s="314"/>
      <c r="B48" s="315"/>
      <c r="C48" s="316"/>
      <c r="D48" s="397"/>
      <c r="E48" s="314"/>
      <c r="F48" s="315"/>
      <c r="G48" s="316"/>
      <c r="H48" s="397"/>
      <c r="I48" s="314"/>
      <c r="J48" s="315"/>
      <c r="K48" s="316"/>
      <c r="L48" s="397"/>
      <c r="M48" s="314"/>
      <c r="N48" s="315"/>
      <c r="O48" s="316"/>
      <c r="P48" s="397"/>
      <c r="Q48" s="198"/>
      <c r="R48" s="219"/>
      <c r="S48" s="401"/>
      <c r="T48" s="402"/>
      <c r="U48" s="198"/>
      <c r="V48" s="219"/>
      <c r="W48" s="401"/>
      <c r="X48" s="402"/>
      <c r="Y48" s="403"/>
      <c r="Z48" s="404"/>
      <c r="AA48" s="405"/>
      <c r="AB48" s="406"/>
      <c r="AC48" s="403"/>
      <c r="AD48" s="404"/>
      <c r="AE48" s="405"/>
      <c r="AF48" s="406"/>
      <c r="AG48" s="198"/>
      <c r="AH48" s="219"/>
      <c r="AI48" s="401"/>
      <c r="AJ48" s="402"/>
      <c r="AK48" s="397"/>
      <c r="AL48" s="397"/>
      <c r="AM48" s="397"/>
    </row>
    <row r="49">
      <c r="A49" s="314"/>
      <c r="B49" s="315"/>
      <c r="C49" s="316"/>
      <c r="D49" s="397"/>
      <c r="E49" s="314"/>
      <c r="F49" s="315"/>
      <c r="G49" s="316"/>
      <c r="H49" s="397"/>
      <c r="I49" s="314"/>
      <c r="J49" s="315"/>
      <c r="K49" s="316"/>
      <c r="L49" s="397"/>
      <c r="M49" s="314"/>
      <c r="N49" s="315"/>
      <c r="O49" s="316"/>
      <c r="P49" s="397"/>
      <c r="Q49" s="198"/>
      <c r="R49" s="219"/>
      <c r="S49" s="401"/>
      <c r="T49" s="402"/>
      <c r="U49" s="198"/>
      <c r="V49" s="219"/>
      <c r="W49" s="401"/>
      <c r="X49" s="402"/>
      <c r="Y49" s="403"/>
      <c r="Z49" s="404"/>
      <c r="AA49" s="405"/>
      <c r="AB49" s="406"/>
      <c r="AC49" s="403"/>
      <c r="AD49" s="404"/>
      <c r="AE49" s="405"/>
      <c r="AF49" s="406"/>
      <c r="AG49" s="198"/>
      <c r="AH49" s="219"/>
      <c r="AI49" s="401"/>
      <c r="AJ49" s="402"/>
      <c r="AK49" s="397"/>
      <c r="AL49" s="397"/>
      <c r="AM49" s="397"/>
    </row>
    <row r="50">
      <c r="A50" s="314"/>
      <c r="B50" s="315"/>
      <c r="C50" s="316"/>
      <c r="D50" s="397"/>
      <c r="E50" s="314"/>
      <c r="F50" s="315"/>
      <c r="G50" s="316"/>
      <c r="H50" s="397"/>
      <c r="I50" s="314"/>
      <c r="J50" s="315"/>
      <c r="K50" s="316"/>
      <c r="L50" s="397"/>
      <c r="M50" s="314"/>
      <c r="N50" s="315"/>
      <c r="O50" s="316"/>
      <c r="P50" s="397"/>
      <c r="Q50" s="198"/>
      <c r="R50" s="219"/>
      <c r="S50" s="401"/>
      <c r="T50" s="402"/>
      <c r="U50" s="198"/>
      <c r="V50" s="219"/>
      <c r="W50" s="401"/>
      <c r="X50" s="402"/>
      <c r="Y50" s="403"/>
      <c r="Z50" s="404"/>
      <c r="AA50" s="405"/>
      <c r="AB50" s="406"/>
      <c r="AC50" s="403"/>
      <c r="AD50" s="404"/>
      <c r="AE50" s="405"/>
      <c r="AF50" s="406"/>
      <c r="AG50" s="198"/>
      <c r="AH50" s="219"/>
      <c r="AI50" s="401"/>
      <c r="AJ50" s="402"/>
      <c r="AK50" s="397"/>
      <c r="AL50" s="397"/>
      <c r="AM50" s="397"/>
    </row>
    <row r="51">
      <c r="A51" s="314"/>
      <c r="B51" s="315"/>
      <c r="C51" s="316"/>
      <c r="D51" s="397"/>
      <c r="E51" s="314"/>
      <c r="F51" s="315"/>
      <c r="G51" s="316"/>
      <c r="H51" s="397"/>
      <c r="I51" s="314"/>
      <c r="J51" s="315"/>
      <c r="K51" s="316"/>
      <c r="L51" s="397"/>
      <c r="M51" s="314"/>
      <c r="N51" s="315"/>
      <c r="O51" s="316"/>
      <c r="P51" s="397"/>
      <c r="Q51" s="198"/>
      <c r="R51" s="219"/>
      <c r="S51" s="401"/>
      <c r="T51" s="402"/>
      <c r="U51" s="198"/>
      <c r="V51" s="219"/>
      <c r="W51" s="401"/>
      <c r="X51" s="402"/>
      <c r="Y51" s="403"/>
      <c r="Z51" s="404"/>
      <c r="AA51" s="405"/>
      <c r="AB51" s="406"/>
      <c r="AC51" s="403"/>
      <c r="AD51" s="404"/>
      <c r="AE51" s="405"/>
      <c r="AF51" s="406"/>
      <c r="AG51" s="198"/>
      <c r="AH51" s="219"/>
      <c r="AI51" s="401"/>
      <c r="AJ51" s="402"/>
      <c r="AK51" s="397"/>
      <c r="AL51" s="397"/>
      <c r="AM51" s="397"/>
    </row>
    <row r="52">
      <c r="A52" s="314"/>
      <c r="B52" s="315"/>
      <c r="C52" s="316"/>
      <c r="D52" s="397"/>
      <c r="E52" s="314"/>
      <c r="F52" s="315"/>
      <c r="G52" s="316"/>
      <c r="H52" s="397"/>
      <c r="I52" s="314"/>
      <c r="J52" s="315"/>
      <c r="K52" s="316"/>
      <c r="L52" s="397"/>
      <c r="M52" s="314"/>
      <c r="N52" s="315"/>
      <c r="O52" s="316"/>
      <c r="P52" s="397"/>
      <c r="Q52" s="198"/>
      <c r="R52" s="219"/>
      <c r="S52" s="401"/>
      <c r="T52" s="402"/>
      <c r="U52" s="198"/>
      <c r="V52" s="219"/>
      <c r="W52" s="401"/>
      <c r="X52" s="402"/>
      <c r="Y52" s="403"/>
      <c r="Z52" s="404"/>
      <c r="AA52" s="405"/>
      <c r="AB52" s="406"/>
      <c r="AC52" s="403"/>
      <c r="AD52" s="404"/>
      <c r="AE52" s="405"/>
      <c r="AF52" s="406"/>
      <c r="AG52" s="198"/>
      <c r="AH52" s="219"/>
      <c r="AI52" s="401"/>
      <c r="AJ52" s="402"/>
      <c r="AK52" s="397"/>
      <c r="AL52" s="397"/>
      <c r="AM52" s="397"/>
    </row>
    <row r="53">
      <c r="A53" s="314"/>
      <c r="B53" s="315"/>
      <c r="C53" s="316"/>
      <c r="D53" s="397"/>
      <c r="E53" s="314"/>
      <c r="F53" s="315"/>
      <c r="G53" s="316"/>
      <c r="H53" s="397"/>
      <c r="I53" s="314"/>
      <c r="J53" s="315"/>
      <c r="K53" s="316"/>
      <c r="L53" s="397"/>
      <c r="M53" s="314"/>
      <c r="N53" s="315"/>
      <c r="O53" s="316"/>
      <c r="P53" s="397"/>
      <c r="Q53" s="198"/>
      <c r="R53" s="219"/>
      <c r="S53" s="401"/>
      <c r="T53" s="402"/>
      <c r="U53" s="198"/>
      <c r="V53" s="219"/>
      <c r="W53" s="401"/>
      <c r="X53" s="402"/>
      <c r="Y53" s="198"/>
      <c r="Z53" s="219"/>
      <c r="AA53" s="401"/>
      <c r="AB53" s="402"/>
      <c r="AC53" s="198"/>
      <c r="AD53" s="219"/>
      <c r="AE53" s="401"/>
      <c r="AF53" s="402"/>
      <c r="AG53" s="198"/>
      <c r="AH53" s="219"/>
      <c r="AI53" s="401"/>
      <c r="AJ53" s="402"/>
      <c r="AK53" s="397"/>
      <c r="AL53" s="397"/>
      <c r="AM53" s="397"/>
    </row>
    <row r="54">
      <c r="A54" s="314"/>
      <c r="B54" s="315"/>
      <c r="C54" s="316"/>
      <c r="D54" s="397"/>
      <c r="E54" s="314"/>
      <c r="F54" s="315"/>
      <c r="G54" s="316"/>
      <c r="H54" s="397"/>
      <c r="I54" s="314"/>
      <c r="J54" s="315"/>
      <c r="K54" s="316"/>
      <c r="L54" s="397"/>
      <c r="M54" s="314"/>
      <c r="N54" s="315"/>
      <c r="O54" s="316"/>
      <c r="P54" s="397"/>
      <c r="Q54" s="198"/>
      <c r="R54" s="219"/>
      <c r="S54" s="401"/>
      <c r="T54" s="402"/>
      <c r="U54" s="198"/>
      <c r="V54" s="219"/>
      <c r="W54" s="401"/>
      <c r="X54" s="402"/>
      <c r="Y54" s="198"/>
      <c r="Z54" s="219"/>
      <c r="AA54" s="401"/>
      <c r="AB54" s="402"/>
      <c r="AC54" s="198"/>
      <c r="AD54" s="219"/>
      <c r="AE54" s="401"/>
      <c r="AF54" s="402"/>
      <c r="AG54" s="198"/>
      <c r="AH54" s="219"/>
      <c r="AI54" s="401"/>
      <c r="AJ54" s="402"/>
      <c r="AK54" s="397"/>
      <c r="AL54" s="397"/>
      <c r="AM54" s="397"/>
    </row>
    <row r="55">
      <c r="A55" s="314"/>
      <c r="B55" s="315"/>
      <c r="C55" s="316"/>
      <c r="D55" s="397"/>
      <c r="E55" s="314"/>
      <c r="F55" s="315"/>
      <c r="G55" s="316"/>
      <c r="H55" s="397"/>
      <c r="I55" s="314"/>
      <c r="J55" s="315"/>
      <c r="K55" s="316"/>
      <c r="L55" s="397"/>
      <c r="M55" s="314"/>
      <c r="N55" s="315"/>
      <c r="O55" s="316"/>
      <c r="P55" s="397"/>
      <c r="Q55" s="198"/>
      <c r="R55" s="219"/>
      <c r="S55" s="401"/>
      <c r="T55" s="402"/>
      <c r="U55" s="198"/>
      <c r="V55" s="219"/>
      <c r="W55" s="401"/>
      <c r="X55" s="402"/>
      <c r="Y55" s="198"/>
      <c r="Z55" s="219"/>
      <c r="AA55" s="401"/>
      <c r="AB55" s="402"/>
      <c r="AC55" s="198"/>
      <c r="AD55" s="219"/>
      <c r="AE55" s="401"/>
      <c r="AF55" s="402"/>
      <c r="AG55" s="198"/>
      <c r="AH55" s="219"/>
      <c r="AI55" s="401"/>
      <c r="AJ55" s="402"/>
      <c r="AK55" s="397"/>
      <c r="AL55" s="397"/>
      <c r="AM55" s="397"/>
    </row>
    <row r="56">
      <c r="A56" s="314"/>
      <c r="B56" s="315"/>
      <c r="C56" s="316"/>
      <c r="D56" s="397"/>
      <c r="E56" s="314"/>
      <c r="F56" s="315"/>
      <c r="G56" s="316"/>
      <c r="H56" s="397"/>
      <c r="I56" s="314"/>
      <c r="J56" s="315"/>
      <c r="K56" s="316"/>
      <c r="L56" s="397"/>
      <c r="M56" s="314"/>
      <c r="N56" s="315"/>
      <c r="O56" s="316"/>
      <c r="P56" s="397"/>
      <c r="Q56" s="198"/>
      <c r="R56" s="219"/>
      <c r="S56" s="401"/>
      <c r="T56" s="402"/>
      <c r="U56" s="198"/>
      <c r="V56" s="219"/>
      <c r="W56" s="401"/>
      <c r="X56" s="402"/>
      <c r="Y56" s="198"/>
      <c r="Z56" s="219"/>
      <c r="AA56" s="401"/>
      <c r="AB56" s="402"/>
      <c r="AC56" s="198"/>
      <c r="AD56" s="219"/>
      <c r="AE56" s="401"/>
      <c r="AF56" s="402"/>
      <c r="AG56" s="198"/>
      <c r="AH56" s="219"/>
      <c r="AI56" s="401"/>
      <c r="AJ56" s="402"/>
      <c r="AK56" s="397"/>
      <c r="AL56" s="397"/>
      <c r="AM56" s="397"/>
    </row>
    <row r="57">
      <c r="A57" s="314"/>
      <c r="B57" s="315"/>
      <c r="C57" s="316"/>
      <c r="D57" s="397"/>
      <c r="E57" s="314"/>
      <c r="F57" s="315"/>
      <c r="G57" s="316"/>
      <c r="H57" s="397"/>
      <c r="I57" s="314"/>
      <c r="J57" s="315"/>
      <c r="K57" s="316"/>
      <c r="L57" s="397"/>
      <c r="M57" s="314"/>
      <c r="N57" s="315"/>
      <c r="O57" s="316"/>
      <c r="P57" s="397"/>
      <c r="Q57" s="198"/>
      <c r="R57" s="219"/>
      <c r="S57" s="401"/>
      <c r="T57" s="402"/>
      <c r="U57" s="198"/>
      <c r="V57" s="219"/>
      <c r="W57" s="401"/>
      <c r="X57" s="402"/>
      <c r="Y57" s="198"/>
      <c r="Z57" s="219"/>
      <c r="AA57" s="401"/>
      <c r="AB57" s="402"/>
      <c r="AC57" s="198"/>
      <c r="AD57" s="219"/>
      <c r="AE57" s="401"/>
      <c r="AF57" s="402"/>
      <c r="AG57" s="198"/>
      <c r="AH57" s="219"/>
      <c r="AI57" s="401"/>
      <c r="AJ57" s="402"/>
      <c r="AK57" s="397"/>
      <c r="AL57" s="397"/>
      <c r="AM57" s="397"/>
    </row>
    <row r="58">
      <c r="A58" s="314"/>
      <c r="B58" s="315"/>
      <c r="C58" s="316"/>
      <c r="D58" s="397"/>
      <c r="E58" s="314"/>
      <c r="F58" s="315"/>
      <c r="G58" s="316"/>
      <c r="H58" s="397"/>
      <c r="I58" s="314"/>
      <c r="J58" s="315"/>
      <c r="K58" s="316"/>
      <c r="L58" s="397"/>
      <c r="M58" s="314"/>
      <c r="N58" s="315"/>
      <c r="O58" s="316"/>
      <c r="P58" s="397"/>
      <c r="Q58" s="198"/>
      <c r="R58" s="219"/>
      <c r="S58" s="401"/>
      <c r="T58" s="402"/>
      <c r="U58" s="198"/>
      <c r="V58" s="219"/>
      <c r="W58" s="401"/>
      <c r="X58" s="402"/>
      <c r="Y58" s="198"/>
      <c r="Z58" s="219"/>
      <c r="AA58" s="401"/>
      <c r="AB58" s="402"/>
      <c r="AC58" s="198"/>
      <c r="AD58" s="219"/>
      <c r="AE58" s="401"/>
      <c r="AF58" s="402"/>
      <c r="AG58" s="198"/>
      <c r="AH58" s="219"/>
      <c r="AI58" s="401"/>
      <c r="AJ58" s="402"/>
      <c r="AK58" s="397"/>
      <c r="AL58" s="397"/>
      <c r="AM58" s="397"/>
    </row>
    <row r="59">
      <c r="A59" s="314"/>
      <c r="B59" s="315"/>
      <c r="C59" s="316"/>
      <c r="D59" s="397"/>
      <c r="E59" s="314"/>
      <c r="F59" s="315"/>
      <c r="G59" s="316"/>
      <c r="H59" s="397"/>
      <c r="I59" s="314"/>
      <c r="J59" s="315"/>
      <c r="K59" s="316"/>
      <c r="L59" s="397"/>
      <c r="M59" s="314"/>
      <c r="N59" s="315"/>
      <c r="O59" s="316"/>
      <c r="P59" s="397"/>
      <c r="Q59" s="198"/>
      <c r="R59" s="219"/>
      <c r="S59" s="401"/>
      <c r="T59" s="402"/>
      <c r="U59" s="198"/>
      <c r="V59" s="219"/>
      <c r="W59" s="401"/>
      <c r="X59" s="402"/>
      <c r="Y59" s="198"/>
      <c r="Z59" s="219"/>
      <c r="AA59" s="401"/>
      <c r="AB59" s="402"/>
      <c r="AC59" s="198"/>
      <c r="AD59" s="219"/>
      <c r="AE59" s="401"/>
      <c r="AF59" s="402"/>
      <c r="AG59" s="198"/>
      <c r="AH59" s="219"/>
      <c r="AI59" s="401"/>
      <c r="AJ59" s="402"/>
      <c r="AK59" s="397"/>
      <c r="AL59" s="397"/>
      <c r="AM59" s="397"/>
    </row>
    <row r="60">
      <c r="A60" s="314"/>
      <c r="B60" s="315"/>
      <c r="C60" s="316"/>
      <c r="D60" s="397"/>
      <c r="E60" s="314"/>
      <c r="F60" s="315"/>
      <c r="G60" s="316"/>
      <c r="H60" s="397"/>
      <c r="I60" s="314"/>
      <c r="J60" s="315"/>
      <c r="K60" s="316"/>
      <c r="L60" s="397"/>
      <c r="M60" s="314"/>
      <c r="N60" s="315"/>
      <c r="O60" s="316"/>
      <c r="P60" s="397"/>
      <c r="Q60" s="198"/>
      <c r="R60" s="219"/>
      <c r="S60" s="401"/>
      <c r="T60" s="402"/>
      <c r="U60" s="198"/>
      <c r="V60" s="219"/>
      <c r="W60" s="401"/>
      <c r="X60" s="402"/>
      <c r="Y60" s="198"/>
      <c r="Z60" s="219"/>
      <c r="AA60" s="401"/>
      <c r="AB60" s="402"/>
      <c r="AC60" s="198"/>
      <c r="AD60" s="219"/>
      <c r="AE60" s="401"/>
      <c r="AF60" s="402"/>
      <c r="AG60" s="198"/>
      <c r="AH60" s="219"/>
      <c r="AI60" s="401"/>
      <c r="AJ60" s="402"/>
      <c r="AK60" s="397"/>
      <c r="AL60" s="397"/>
      <c r="AM60" s="397"/>
    </row>
    <row r="61">
      <c r="A61" s="314"/>
      <c r="B61" s="315"/>
      <c r="C61" s="316"/>
      <c r="D61" s="397"/>
      <c r="E61" s="314"/>
      <c r="F61" s="315"/>
      <c r="G61" s="316"/>
      <c r="H61" s="397"/>
      <c r="I61" s="314"/>
      <c r="J61" s="315"/>
      <c r="K61" s="316"/>
      <c r="L61" s="397"/>
      <c r="M61" s="314"/>
      <c r="N61" s="315"/>
      <c r="O61" s="316"/>
      <c r="P61" s="397"/>
      <c r="Q61" s="198"/>
      <c r="R61" s="219"/>
      <c r="S61" s="401"/>
      <c r="T61" s="402"/>
      <c r="U61" s="198"/>
      <c r="V61" s="219"/>
      <c r="W61" s="401"/>
      <c r="X61" s="402"/>
      <c r="Y61" s="198"/>
      <c r="Z61" s="219"/>
      <c r="AA61" s="401"/>
      <c r="AB61" s="402"/>
      <c r="AC61" s="198"/>
      <c r="AD61" s="219"/>
      <c r="AE61" s="401"/>
      <c r="AF61" s="402"/>
      <c r="AG61" s="198"/>
      <c r="AH61" s="219"/>
      <c r="AI61" s="401"/>
      <c r="AJ61" s="402"/>
      <c r="AK61" s="397"/>
      <c r="AL61" s="397"/>
      <c r="AM61" s="397"/>
    </row>
    <row r="62">
      <c r="A62" s="314"/>
      <c r="B62" s="315"/>
      <c r="C62" s="316"/>
      <c r="D62" s="397"/>
      <c r="E62" s="314"/>
      <c r="F62" s="315"/>
      <c r="G62" s="316"/>
      <c r="H62" s="397"/>
      <c r="I62" s="314"/>
      <c r="J62" s="315"/>
      <c r="K62" s="316"/>
      <c r="L62" s="397"/>
      <c r="M62" s="314"/>
      <c r="N62" s="315"/>
      <c r="O62" s="316"/>
      <c r="P62" s="397"/>
      <c r="Q62" s="198"/>
      <c r="R62" s="219"/>
      <c r="S62" s="401"/>
      <c r="T62" s="402"/>
      <c r="U62" s="198"/>
      <c r="V62" s="219"/>
      <c r="W62" s="401"/>
      <c r="X62" s="402"/>
      <c r="Y62" s="198"/>
      <c r="Z62" s="219"/>
      <c r="AA62" s="401"/>
      <c r="AB62" s="402"/>
      <c r="AC62" s="198"/>
      <c r="AD62" s="219"/>
      <c r="AE62" s="401"/>
      <c r="AF62" s="402"/>
      <c r="AG62" s="198"/>
      <c r="AH62" s="219"/>
      <c r="AI62" s="401"/>
      <c r="AJ62" s="402"/>
      <c r="AK62" s="397"/>
      <c r="AL62" s="397"/>
      <c r="AM62" s="397"/>
    </row>
    <row r="63">
      <c r="A63" s="314"/>
      <c r="B63" s="315"/>
      <c r="C63" s="316"/>
      <c r="D63" s="397"/>
      <c r="E63" s="314"/>
      <c r="F63" s="315"/>
      <c r="G63" s="316"/>
      <c r="H63" s="397"/>
      <c r="I63" s="314"/>
      <c r="J63" s="315"/>
      <c r="K63" s="316"/>
      <c r="L63" s="397"/>
      <c r="M63" s="314"/>
      <c r="N63" s="315"/>
      <c r="O63" s="316"/>
      <c r="P63" s="397"/>
      <c r="Q63" s="198"/>
      <c r="R63" s="219"/>
      <c r="S63" s="401"/>
      <c r="T63" s="402"/>
      <c r="U63" s="198"/>
      <c r="V63" s="219"/>
      <c r="W63" s="401"/>
      <c r="X63" s="402"/>
      <c r="Y63" s="198"/>
      <c r="Z63" s="219"/>
      <c r="AA63" s="401"/>
      <c r="AB63" s="402"/>
      <c r="AC63" s="198"/>
      <c r="AD63" s="219"/>
      <c r="AE63" s="401"/>
      <c r="AF63" s="402"/>
      <c r="AG63" s="198"/>
      <c r="AH63" s="219"/>
      <c r="AI63" s="401"/>
      <c r="AJ63" s="402"/>
      <c r="AK63" s="397"/>
      <c r="AL63" s="397"/>
      <c r="AM63" s="397"/>
    </row>
    <row r="64">
      <c r="A64" s="314"/>
      <c r="B64" s="315"/>
      <c r="C64" s="316"/>
      <c r="D64" s="397"/>
      <c r="E64" s="314"/>
      <c r="F64" s="315"/>
      <c r="G64" s="316"/>
      <c r="H64" s="397"/>
      <c r="I64" s="314"/>
      <c r="J64" s="315"/>
      <c r="K64" s="316"/>
      <c r="L64" s="397"/>
      <c r="M64" s="314"/>
      <c r="N64" s="315"/>
      <c r="O64" s="316"/>
      <c r="P64" s="397"/>
      <c r="Q64" s="198"/>
      <c r="R64" s="219"/>
      <c r="S64" s="401"/>
      <c r="T64" s="402"/>
      <c r="U64" s="198"/>
      <c r="V64" s="219"/>
      <c r="W64" s="401"/>
      <c r="X64" s="402"/>
      <c r="Y64" s="198"/>
      <c r="Z64" s="219"/>
      <c r="AA64" s="401"/>
      <c r="AB64" s="402"/>
      <c r="AC64" s="198"/>
      <c r="AD64" s="219"/>
      <c r="AE64" s="401"/>
      <c r="AF64" s="402"/>
      <c r="AG64" s="198"/>
      <c r="AH64" s="219"/>
      <c r="AI64" s="401"/>
      <c r="AJ64" s="402"/>
      <c r="AK64" s="397"/>
      <c r="AL64" s="397"/>
      <c r="AM64" s="397"/>
    </row>
    <row r="65">
      <c r="A65" s="314"/>
      <c r="B65" s="315"/>
      <c r="C65" s="316"/>
      <c r="D65" s="397"/>
      <c r="E65" s="314"/>
      <c r="F65" s="315"/>
      <c r="G65" s="316"/>
      <c r="H65" s="397"/>
      <c r="I65" s="314"/>
      <c r="J65" s="315"/>
      <c r="K65" s="316"/>
      <c r="L65" s="397"/>
      <c r="M65" s="314"/>
      <c r="N65" s="315"/>
      <c r="O65" s="316"/>
      <c r="P65" s="397"/>
      <c r="Q65" s="198"/>
      <c r="R65" s="219"/>
      <c r="S65" s="401"/>
      <c r="T65" s="402"/>
      <c r="U65" s="198"/>
      <c r="V65" s="219"/>
      <c r="W65" s="401"/>
      <c r="X65" s="402"/>
      <c r="Y65" s="198"/>
      <c r="Z65" s="219"/>
      <c r="AA65" s="401"/>
      <c r="AB65" s="402"/>
      <c r="AC65" s="198"/>
      <c r="AD65" s="219"/>
      <c r="AE65" s="401"/>
      <c r="AF65" s="402"/>
      <c r="AG65" s="198"/>
      <c r="AH65" s="219"/>
      <c r="AI65" s="401"/>
      <c r="AJ65" s="402"/>
      <c r="AK65" s="397"/>
      <c r="AL65" s="397"/>
      <c r="AM65" s="397"/>
    </row>
    <row r="66">
      <c r="A66" s="314"/>
      <c r="B66" s="315"/>
      <c r="C66" s="316"/>
      <c r="D66" s="397"/>
      <c r="E66" s="314"/>
      <c r="F66" s="315"/>
      <c r="G66" s="316"/>
      <c r="H66" s="397"/>
      <c r="I66" s="314"/>
      <c r="J66" s="315"/>
      <c r="K66" s="316"/>
      <c r="L66" s="397"/>
      <c r="M66" s="314"/>
      <c r="N66" s="315"/>
      <c r="O66" s="316"/>
      <c r="P66" s="397"/>
      <c r="Q66" s="198"/>
      <c r="R66" s="219"/>
      <c r="S66" s="401"/>
      <c r="T66" s="402"/>
      <c r="U66" s="198"/>
      <c r="V66" s="219"/>
      <c r="W66" s="401"/>
      <c r="X66" s="402"/>
      <c r="Y66" s="198"/>
      <c r="Z66" s="219"/>
      <c r="AA66" s="401"/>
      <c r="AB66" s="402"/>
      <c r="AC66" s="198"/>
      <c r="AD66" s="219"/>
      <c r="AE66" s="401"/>
      <c r="AF66" s="402"/>
      <c r="AG66" s="198"/>
      <c r="AH66" s="219"/>
      <c r="AI66" s="401"/>
      <c r="AJ66" s="402"/>
      <c r="AK66" s="397"/>
      <c r="AL66" s="397"/>
      <c r="AM66" s="397"/>
    </row>
    <row r="67">
      <c r="A67" s="314"/>
      <c r="B67" s="315"/>
      <c r="C67" s="316"/>
      <c r="D67" s="397"/>
      <c r="E67" s="314"/>
      <c r="F67" s="315"/>
      <c r="G67" s="316"/>
      <c r="H67" s="397"/>
      <c r="I67" s="314"/>
      <c r="J67" s="315"/>
      <c r="K67" s="316"/>
      <c r="L67" s="397"/>
      <c r="M67" s="314"/>
      <c r="N67" s="315"/>
      <c r="O67" s="316"/>
      <c r="P67" s="397"/>
      <c r="Q67" s="198"/>
      <c r="R67" s="219"/>
      <c r="S67" s="401"/>
      <c r="T67" s="402"/>
      <c r="U67" s="198"/>
      <c r="V67" s="219"/>
      <c r="W67" s="401"/>
      <c r="X67" s="402"/>
      <c r="Y67" s="198"/>
      <c r="Z67" s="219"/>
      <c r="AA67" s="401"/>
      <c r="AB67" s="402"/>
      <c r="AC67" s="198"/>
      <c r="AD67" s="219"/>
      <c r="AE67" s="401"/>
      <c r="AF67" s="402"/>
      <c r="AG67" s="198"/>
      <c r="AH67" s="219"/>
      <c r="AI67" s="401"/>
      <c r="AJ67" s="402"/>
      <c r="AK67" s="397"/>
      <c r="AL67" s="397"/>
      <c r="AM67" s="397"/>
    </row>
    <row r="68">
      <c r="A68" s="314"/>
      <c r="B68" s="315"/>
      <c r="C68" s="316"/>
      <c r="D68" s="397"/>
      <c r="E68" s="314"/>
      <c r="F68" s="315"/>
      <c r="G68" s="316"/>
      <c r="H68" s="397"/>
      <c r="I68" s="314"/>
      <c r="J68" s="315"/>
      <c r="K68" s="316"/>
      <c r="L68" s="397"/>
      <c r="M68" s="314"/>
      <c r="N68" s="315"/>
      <c r="O68" s="316"/>
      <c r="P68" s="397"/>
      <c r="Q68" s="198"/>
      <c r="R68" s="219"/>
      <c r="S68" s="401"/>
      <c r="T68" s="402"/>
      <c r="U68" s="198"/>
      <c r="V68" s="219"/>
      <c r="W68" s="401"/>
      <c r="X68" s="402"/>
      <c r="Y68" s="198"/>
      <c r="Z68" s="219"/>
      <c r="AA68" s="401"/>
      <c r="AB68" s="402"/>
      <c r="AC68" s="198"/>
      <c r="AD68" s="219"/>
      <c r="AE68" s="401"/>
      <c r="AF68" s="402"/>
      <c r="AG68" s="198"/>
      <c r="AH68" s="219"/>
      <c r="AI68" s="401"/>
      <c r="AJ68" s="402"/>
      <c r="AK68" s="397"/>
      <c r="AL68" s="397"/>
      <c r="AM68" s="397"/>
    </row>
    <row r="69">
      <c r="A69" s="314"/>
      <c r="B69" s="315"/>
      <c r="C69" s="316"/>
      <c r="D69" s="397"/>
      <c r="E69" s="314"/>
      <c r="F69" s="315"/>
      <c r="G69" s="316"/>
      <c r="H69" s="397"/>
      <c r="I69" s="314"/>
      <c r="J69" s="315"/>
      <c r="K69" s="316"/>
      <c r="L69" s="397"/>
      <c r="M69" s="314"/>
      <c r="N69" s="315"/>
      <c r="O69" s="316"/>
      <c r="P69" s="397"/>
      <c r="Q69" s="198"/>
      <c r="R69" s="219"/>
      <c r="S69" s="401"/>
      <c r="T69" s="402"/>
      <c r="U69" s="198"/>
      <c r="V69" s="219"/>
      <c r="W69" s="401"/>
      <c r="X69" s="402"/>
      <c r="Y69" s="198"/>
      <c r="Z69" s="219"/>
      <c r="AA69" s="401"/>
      <c r="AB69" s="402"/>
      <c r="AC69" s="198"/>
      <c r="AD69" s="219"/>
      <c r="AE69" s="401"/>
      <c r="AF69" s="402"/>
      <c r="AG69" s="198"/>
      <c r="AH69" s="219"/>
      <c r="AI69" s="401"/>
      <c r="AJ69" s="402"/>
      <c r="AK69" s="397"/>
      <c r="AL69" s="397"/>
      <c r="AM69" s="397"/>
    </row>
    <row r="70">
      <c r="A70" s="314"/>
      <c r="B70" s="315"/>
      <c r="C70" s="316"/>
      <c r="D70" s="397"/>
      <c r="E70" s="314"/>
      <c r="F70" s="315"/>
      <c r="G70" s="316"/>
      <c r="H70" s="397"/>
      <c r="I70" s="314"/>
      <c r="J70" s="315"/>
      <c r="K70" s="316"/>
      <c r="L70" s="397"/>
      <c r="M70" s="314"/>
      <c r="N70" s="315"/>
      <c r="O70" s="316"/>
      <c r="P70" s="397"/>
      <c r="Q70" s="198"/>
      <c r="R70" s="219"/>
      <c r="S70" s="401"/>
      <c r="T70" s="402"/>
      <c r="U70" s="198"/>
      <c r="V70" s="219"/>
      <c r="W70" s="401"/>
      <c r="X70" s="402"/>
      <c r="Y70" s="198"/>
      <c r="Z70" s="219"/>
      <c r="AA70" s="401"/>
      <c r="AB70" s="402"/>
      <c r="AC70" s="198"/>
      <c r="AD70" s="219"/>
      <c r="AE70" s="401"/>
      <c r="AF70" s="402"/>
      <c r="AG70" s="198"/>
      <c r="AH70" s="219"/>
      <c r="AI70" s="401"/>
      <c r="AJ70" s="402"/>
      <c r="AK70" s="397"/>
      <c r="AL70" s="397"/>
      <c r="AM70" s="397"/>
    </row>
    <row r="71">
      <c r="A71" s="314"/>
      <c r="B71" s="315"/>
      <c r="C71" s="316"/>
      <c r="D71" s="397"/>
      <c r="E71" s="314"/>
      <c r="F71" s="315"/>
      <c r="G71" s="316"/>
      <c r="H71" s="397"/>
      <c r="I71" s="314"/>
      <c r="J71" s="315"/>
      <c r="K71" s="316"/>
      <c r="L71" s="397"/>
      <c r="M71" s="314"/>
      <c r="N71" s="315"/>
      <c r="O71" s="316"/>
      <c r="P71" s="397"/>
      <c r="Q71" s="198"/>
      <c r="R71" s="219"/>
      <c r="S71" s="401"/>
      <c r="T71" s="402"/>
      <c r="U71" s="198"/>
      <c r="V71" s="219"/>
      <c r="W71" s="401"/>
      <c r="X71" s="402"/>
      <c r="Y71" s="198"/>
      <c r="Z71" s="219"/>
      <c r="AA71" s="401"/>
      <c r="AB71" s="402"/>
      <c r="AC71" s="198"/>
      <c r="AD71" s="219"/>
      <c r="AE71" s="401"/>
      <c r="AF71" s="402"/>
      <c r="AG71" s="198"/>
      <c r="AH71" s="219"/>
      <c r="AI71" s="401"/>
      <c r="AJ71" s="402"/>
      <c r="AK71" s="397"/>
      <c r="AL71" s="397"/>
      <c r="AM71" s="397"/>
    </row>
    <row r="72">
      <c r="A72" s="314"/>
      <c r="B72" s="315"/>
      <c r="C72" s="316"/>
      <c r="D72" s="397"/>
      <c r="E72" s="314"/>
      <c r="F72" s="315"/>
      <c r="G72" s="316"/>
      <c r="H72" s="397"/>
      <c r="I72" s="314"/>
      <c r="J72" s="315"/>
      <c r="K72" s="316"/>
      <c r="L72" s="397"/>
      <c r="M72" s="314"/>
      <c r="N72" s="315"/>
      <c r="O72" s="316"/>
      <c r="P72" s="397"/>
      <c r="Q72" s="198"/>
      <c r="R72" s="219"/>
      <c r="S72" s="401"/>
      <c r="T72" s="402"/>
      <c r="U72" s="198"/>
      <c r="V72" s="219"/>
      <c r="W72" s="401"/>
      <c r="X72" s="402"/>
      <c r="Y72" s="198"/>
      <c r="Z72" s="219"/>
      <c r="AA72" s="401"/>
      <c r="AB72" s="402"/>
      <c r="AC72" s="198"/>
      <c r="AD72" s="219"/>
      <c r="AE72" s="401"/>
      <c r="AF72" s="402"/>
      <c r="AG72" s="198"/>
      <c r="AH72" s="219"/>
      <c r="AI72" s="401"/>
      <c r="AJ72" s="402"/>
      <c r="AK72" s="397"/>
      <c r="AL72" s="397"/>
      <c r="AM72" s="397"/>
    </row>
    <row r="73">
      <c r="A73" s="314"/>
      <c r="B73" s="315"/>
      <c r="C73" s="316"/>
      <c r="D73" s="397"/>
      <c r="E73" s="314"/>
      <c r="F73" s="315"/>
      <c r="G73" s="316"/>
      <c r="H73" s="397"/>
      <c r="I73" s="314"/>
      <c r="J73" s="315"/>
      <c r="K73" s="316"/>
      <c r="L73" s="397"/>
      <c r="M73" s="314"/>
      <c r="N73" s="315"/>
      <c r="O73" s="316"/>
      <c r="P73" s="397"/>
      <c r="Q73" s="198"/>
      <c r="R73" s="219"/>
      <c r="S73" s="401"/>
      <c r="T73" s="402"/>
      <c r="U73" s="198"/>
      <c r="V73" s="219"/>
      <c r="W73" s="401"/>
      <c r="X73" s="402"/>
      <c r="Y73" s="198"/>
      <c r="Z73" s="219"/>
      <c r="AA73" s="401"/>
      <c r="AB73" s="402"/>
      <c r="AC73" s="198"/>
      <c r="AD73" s="219"/>
      <c r="AE73" s="401"/>
      <c r="AF73" s="402"/>
      <c r="AG73" s="198"/>
      <c r="AH73" s="219"/>
      <c r="AI73" s="401"/>
      <c r="AJ73" s="402"/>
      <c r="AK73" s="397"/>
      <c r="AL73" s="397"/>
      <c r="AM73" s="397"/>
    </row>
    <row r="74">
      <c r="A74" s="314"/>
      <c r="B74" s="315"/>
      <c r="C74" s="316"/>
      <c r="D74" s="397"/>
      <c r="E74" s="314"/>
      <c r="F74" s="315"/>
      <c r="G74" s="316"/>
      <c r="H74" s="397"/>
      <c r="I74" s="314"/>
      <c r="J74" s="315"/>
      <c r="K74" s="316"/>
      <c r="L74" s="397"/>
      <c r="M74" s="314"/>
      <c r="N74" s="315"/>
      <c r="O74" s="316"/>
      <c r="P74" s="397"/>
      <c r="Q74" s="198"/>
      <c r="R74" s="219"/>
      <c r="S74" s="401"/>
      <c r="T74" s="402"/>
      <c r="U74" s="198"/>
      <c r="V74" s="219"/>
      <c r="W74" s="401"/>
      <c r="X74" s="402"/>
      <c r="Y74" s="198"/>
      <c r="Z74" s="219"/>
      <c r="AA74" s="401"/>
      <c r="AB74" s="402"/>
      <c r="AC74" s="198"/>
      <c r="AD74" s="219"/>
      <c r="AE74" s="401"/>
      <c r="AF74" s="402"/>
      <c r="AG74" s="198"/>
      <c r="AH74" s="219"/>
      <c r="AI74" s="401"/>
      <c r="AJ74" s="402"/>
      <c r="AK74" s="397"/>
      <c r="AL74" s="397"/>
      <c r="AM74" s="397"/>
    </row>
    <row r="75">
      <c r="A75" s="314"/>
      <c r="B75" s="315"/>
      <c r="C75" s="316"/>
      <c r="D75" s="397"/>
      <c r="E75" s="314"/>
      <c r="F75" s="315"/>
      <c r="G75" s="316"/>
      <c r="H75" s="397"/>
      <c r="I75" s="314"/>
      <c r="J75" s="315"/>
      <c r="K75" s="316"/>
      <c r="L75" s="397"/>
      <c r="M75" s="314"/>
      <c r="N75" s="315"/>
      <c r="O75" s="316"/>
      <c r="P75" s="397"/>
      <c r="Q75" s="198"/>
      <c r="R75" s="219"/>
      <c r="S75" s="401"/>
      <c r="T75" s="402"/>
      <c r="U75" s="198"/>
      <c r="V75" s="219"/>
      <c r="W75" s="401"/>
      <c r="X75" s="402"/>
      <c r="Y75" s="198"/>
      <c r="Z75" s="219"/>
      <c r="AA75" s="401"/>
      <c r="AB75" s="402"/>
      <c r="AC75" s="198"/>
      <c r="AD75" s="219"/>
      <c r="AE75" s="401"/>
      <c r="AF75" s="402"/>
      <c r="AG75" s="198"/>
      <c r="AH75" s="219"/>
      <c r="AI75" s="401"/>
      <c r="AJ75" s="402"/>
      <c r="AK75" s="397"/>
      <c r="AL75" s="397"/>
      <c r="AM75" s="397"/>
    </row>
    <row r="76">
      <c r="A76" s="314"/>
      <c r="B76" s="315"/>
      <c r="C76" s="316"/>
      <c r="D76" s="397"/>
      <c r="E76" s="314"/>
      <c r="F76" s="315"/>
      <c r="G76" s="316"/>
      <c r="H76" s="397"/>
      <c r="I76" s="314"/>
      <c r="J76" s="315"/>
      <c r="K76" s="316"/>
      <c r="L76" s="397"/>
      <c r="M76" s="314"/>
      <c r="N76" s="315"/>
      <c r="O76" s="316"/>
      <c r="P76" s="397"/>
      <c r="Q76" s="198"/>
      <c r="R76" s="219"/>
      <c r="S76" s="401"/>
      <c r="T76" s="402"/>
      <c r="U76" s="198"/>
      <c r="V76" s="219"/>
      <c r="W76" s="401"/>
      <c r="X76" s="402"/>
      <c r="Y76" s="198"/>
      <c r="Z76" s="219"/>
      <c r="AA76" s="401"/>
      <c r="AB76" s="402"/>
      <c r="AC76" s="198"/>
      <c r="AD76" s="219"/>
      <c r="AE76" s="401"/>
      <c r="AF76" s="402"/>
      <c r="AG76" s="198"/>
      <c r="AH76" s="219"/>
      <c r="AI76" s="401"/>
      <c r="AJ76" s="402"/>
      <c r="AK76" s="397"/>
      <c r="AL76" s="397"/>
      <c r="AM76" s="397"/>
    </row>
    <row r="77">
      <c r="A77" s="314"/>
      <c r="B77" s="315"/>
      <c r="C77" s="316"/>
      <c r="D77" s="397"/>
      <c r="E77" s="314"/>
      <c r="F77" s="315"/>
      <c r="G77" s="316"/>
      <c r="H77" s="397"/>
      <c r="I77" s="314"/>
      <c r="J77" s="315"/>
      <c r="K77" s="316"/>
      <c r="L77" s="397"/>
      <c r="M77" s="314"/>
      <c r="N77" s="315"/>
      <c r="O77" s="316"/>
      <c r="P77" s="397"/>
      <c r="Q77" s="198"/>
      <c r="R77" s="219"/>
      <c r="S77" s="401"/>
      <c r="T77" s="402"/>
      <c r="U77" s="198"/>
      <c r="V77" s="219"/>
      <c r="W77" s="401"/>
      <c r="X77" s="402"/>
      <c r="Y77" s="198"/>
      <c r="Z77" s="219"/>
      <c r="AA77" s="401"/>
      <c r="AB77" s="402"/>
      <c r="AC77" s="198"/>
      <c r="AD77" s="219"/>
      <c r="AE77" s="401"/>
      <c r="AF77" s="402"/>
      <c r="AG77" s="198"/>
      <c r="AH77" s="219"/>
      <c r="AI77" s="401"/>
      <c r="AJ77" s="402"/>
      <c r="AK77" s="397"/>
      <c r="AL77" s="397"/>
      <c r="AM77" s="397"/>
    </row>
    <row r="78">
      <c r="A78" s="314"/>
      <c r="B78" s="315"/>
      <c r="C78" s="316"/>
      <c r="D78" s="397"/>
      <c r="E78" s="314"/>
      <c r="F78" s="315"/>
      <c r="G78" s="316"/>
      <c r="H78" s="397"/>
      <c r="I78" s="314"/>
      <c r="J78" s="315"/>
      <c r="K78" s="316"/>
      <c r="L78" s="397"/>
      <c r="M78" s="314"/>
      <c r="N78" s="315"/>
      <c r="O78" s="316"/>
      <c r="P78" s="397"/>
      <c r="Q78" s="198"/>
      <c r="R78" s="219"/>
      <c r="S78" s="401"/>
      <c r="T78" s="402"/>
      <c r="U78" s="198"/>
      <c r="V78" s="219"/>
      <c r="W78" s="401"/>
      <c r="X78" s="402"/>
      <c r="Y78" s="198"/>
      <c r="Z78" s="219"/>
      <c r="AA78" s="401"/>
      <c r="AB78" s="402"/>
      <c r="AC78" s="198"/>
      <c r="AD78" s="219"/>
      <c r="AE78" s="401"/>
      <c r="AF78" s="402"/>
      <c r="AG78" s="198"/>
      <c r="AH78" s="219"/>
      <c r="AI78" s="401"/>
      <c r="AJ78" s="402"/>
      <c r="AK78" s="397"/>
      <c r="AL78" s="397"/>
      <c r="AM78" s="397"/>
    </row>
    <row r="79">
      <c r="A79" s="314"/>
      <c r="B79" s="315"/>
      <c r="C79" s="316"/>
      <c r="D79" s="397"/>
      <c r="E79" s="314"/>
      <c r="F79" s="315"/>
      <c r="G79" s="316"/>
      <c r="H79" s="397"/>
      <c r="I79" s="314"/>
      <c r="J79" s="315"/>
      <c r="K79" s="316"/>
      <c r="L79" s="397"/>
      <c r="M79" s="314"/>
      <c r="N79" s="315"/>
      <c r="O79" s="316"/>
      <c r="P79" s="397"/>
      <c r="Q79" s="198"/>
      <c r="R79" s="219"/>
      <c r="S79" s="401"/>
      <c r="T79" s="402"/>
      <c r="U79" s="198"/>
      <c r="V79" s="219"/>
      <c r="W79" s="401"/>
      <c r="X79" s="402"/>
      <c r="Y79" s="198"/>
      <c r="Z79" s="219"/>
      <c r="AA79" s="401"/>
      <c r="AB79" s="402"/>
      <c r="AC79" s="198"/>
      <c r="AD79" s="219"/>
      <c r="AE79" s="401"/>
      <c r="AF79" s="402"/>
      <c r="AG79" s="198"/>
      <c r="AH79" s="219"/>
      <c r="AI79" s="401"/>
      <c r="AJ79" s="402"/>
      <c r="AK79" s="397"/>
      <c r="AL79" s="397"/>
      <c r="AM79" s="397"/>
    </row>
    <row r="80">
      <c r="A80" s="314"/>
      <c r="B80" s="315"/>
      <c r="C80" s="316"/>
      <c r="D80" s="397"/>
      <c r="E80" s="314"/>
      <c r="F80" s="315"/>
      <c r="G80" s="316"/>
      <c r="H80" s="397"/>
      <c r="I80" s="314"/>
      <c r="J80" s="315"/>
      <c r="K80" s="316"/>
      <c r="L80" s="397"/>
      <c r="M80" s="314"/>
      <c r="N80" s="315"/>
      <c r="O80" s="316"/>
      <c r="P80" s="397"/>
      <c r="Q80" s="198"/>
      <c r="R80" s="219"/>
      <c r="S80" s="401"/>
      <c r="T80" s="402"/>
      <c r="U80" s="198"/>
      <c r="V80" s="219"/>
      <c r="W80" s="401"/>
      <c r="X80" s="402"/>
      <c r="Y80" s="198"/>
      <c r="Z80" s="219"/>
      <c r="AA80" s="401"/>
      <c r="AB80" s="402"/>
      <c r="AC80" s="198"/>
      <c r="AD80" s="219"/>
      <c r="AE80" s="401"/>
      <c r="AF80" s="402"/>
      <c r="AG80" s="198"/>
      <c r="AH80" s="219"/>
      <c r="AI80" s="401"/>
      <c r="AJ80" s="402"/>
      <c r="AK80" s="397"/>
      <c r="AL80" s="397"/>
      <c r="AM80" s="397"/>
    </row>
    <row r="81">
      <c r="A81" s="314"/>
      <c r="B81" s="315"/>
      <c r="C81" s="316"/>
      <c r="D81" s="397"/>
      <c r="E81" s="314"/>
      <c r="F81" s="315"/>
      <c r="G81" s="316"/>
      <c r="H81" s="397"/>
      <c r="I81" s="314"/>
      <c r="J81" s="315"/>
      <c r="K81" s="316"/>
      <c r="L81" s="397"/>
      <c r="M81" s="314"/>
      <c r="N81" s="315"/>
      <c r="O81" s="316"/>
      <c r="P81" s="397"/>
      <c r="Q81" s="198"/>
      <c r="R81" s="219"/>
      <c r="S81" s="401"/>
      <c r="T81" s="402"/>
      <c r="U81" s="198"/>
      <c r="V81" s="219"/>
      <c r="W81" s="401"/>
      <c r="X81" s="402"/>
      <c r="Y81" s="198"/>
      <c r="Z81" s="219"/>
      <c r="AA81" s="401"/>
      <c r="AB81" s="402"/>
      <c r="AC81" s="198"/>
      <c r="AD81" s="219"/>
      <c r="AE81" s="401"/>
      <c r="AF81" s="402"/>
      <c r="AG81" s="198"/>
      <c r="AH81" s="219"/>
      <c r="AI81" s="401"/>
      <c r="AJ81" s="402"/>
      <c r="AK81" s="397"/>
      <c r="AL81" s="397"/>
      <c r="AM81" s="397"/>
    </row>
    <row r="82">
      <c r="A82" s="314"/>
      <c r="B82" s="315"/>
      <c r="C82" s="316"/>
      <c r="D82" s="397"/>
      <c r="E82" s="314"/>
      <c r="F82" s="315"/>
      <c r="G82" s="316"/>
      <c r="H82" s="397"/>
      <c r="I82" s="314"/>
      <c r="J82" s="315"/>
      <c r="K82" s="316"/>
      <c r="L82" s="397"/>
      <c r="M82" s="314"/>
      <c r="N82" s="315"/>
      <c r="O82" s="316"/>
      <c r="P82" s="397"/>
      <c r="Q82" s="198"/>
      <c r="R82" s="219"/>
      <c r="S82" s="401"/>
      <c r="T82" s="402"/>
      <c r="U82" s="198"/>
      <c r="V82" s="219"/>
      <c r="W82" s="401"/>
      <c r="X82" s="402"/>
      <c r="Y82" s="198"/>
      <c r="Z82" s="219"/>
      <c r="AA82" s="401"/>
      <c r="AB82" s="402"/>
      <c r="AC82" s="198"/>
      <c r="AD82" s="219"/>
      <c r="AE82" s="401"/>
      <c r="AF82" s="402"/>
      <c r="AG82" s="198"/>
      <c r="AH82" s="219"/>
      <c r="AI82" s="401"/>
      <c r="AJ82" s="402"/>
      <c r="AK82" s="397"/>
      <c r="AL82" s="397"/>
      <c r="AM82" s="397"/>
    </row>
    <row r="83">
      <c r="A83" s="314"/>
      <c r="B83" s="315"/>
      <c r="C83" s="316"/>
      <c r="D83" s="397"/>
      <c r="E83" s="314"/>
      <c r="F83" s="315"/>
      <c r="G83" s="316"/>
      <c r="H83" s="397"/>
      <c r="I83" s="314"/>
      <c r="J83" s="315"/>
      <c r="K83" s="316"/>
      <c r="L83" s="397"/>
      <c r="M83" s="314"/>
      <c r="N83" s="315"/>
      <c r="O83" s="316"/>
      <c r="P83" s="397"/>
      <c r="Q83" s="198"/>
      <c r="R83" s="219"/>
      <c r="S83" s="401"/>
      <c r="T83" s="402"/>
      <c r="U83" s="198"/>
      <c r="V83" s="219"/>
      <c r="W83" s="401"/>
      <c r="X83" s="402"/>
      <c r="Y83" s="198"/>
      <c r="Z83" s="219"/>
      <c r="AA83" s="401"/>
      <c r="AB83" s="402"/>
      <c r="AC83" s="198"/>
      <c r="AD83" s="219"/>
      <c r="AE83" s="401"/>
      <c r="AF83" s="402"/>
      <c r="AG83" s="198"/>
      <c r="AH83" s="219"/>
      <c r="AI83" s="401"/>
      <c r="AJ83" s="402"/>
      <c r="AK83" s="397"/>
      <c r="AL83" s="397"/>
      <c r="AM83" s="397"/>
    </row>
    <row r="84">
      <c r="A84" s="314"/>
      <c r="B84" s="315"/>
      <c r="C84" s="316"/>
      <c r="D84" s="397"/>
      <c r="E84" s="314"/>
      <c r="F84" s="315"/>
      <c r="G84" s="316"/>
      <c r="H84" s="397"/>
      <c r="I84" s="314"/>
      <c r="J84" s="315"/>
      <c r="K84" s="316"/>
      <c r="L84" s="397"/>
      <c r="M84" s="314"/>
      <c r="N84" s="315"/>
      <c r="O84" s="316"/>
      <c r="P84" s="397"/>
      <c r="Q84" s="198"/>
      <c r="R84" s="219"/>
      <c r="S84" s="401"/>
      <c r="T84" s="402"/>
      <c r="U84" s="198"/>
      <c r="V84" s="219"/>
      <c r="W84" s="401"/>
      <c r="X84" s="402"/>
      <c r="Y84" s="198"/>
      <c r="Z84" s="219"/>
      <c r="AA84" s="401"/>
      <c r="AB84" s="402"/>
      <c r="AC84" s="198"/>
      <c r="AD84" s="219"/>
      <c r="AE84" s="401"/>
      <c r="AF84" s="402"/>
      <c r="AG84" s="198"/>
      <c r="AH84" s="219"/>
      <c r="AI84" s="401"/>
      <c r="AJ84" s="402"/>
      <c r="AK84" s="397"/>
      <c r="AL84" s="397"/>
      <c r="AM84" s="397"/>
    </row>
    <row r="85">
      <c r="A85" s="314"/>
      <c r="B85" s="315"/>
      <c r="C85" s="316"/>
      <c r="D85" s="397"/>
      <c r="E85" s="314"/>
      <c r="F85" s="315"/>
      <c r="G85" s="316"/>
      <c r="H85" s="397"/>
      <c r="I85" s="314"/>
      <c r="J85" s="315"/>
      <c r="K85" s="316"/>
      <c r="L85" s="397"/>
      <c r="M85" s="314"/>
      <c r="N85" s="315"/>
      <c r="O85" s="316"/>
      <c r="P85" s="397"/>
      <c r="Q85" s="198"/>
      <c r="R85" s="219"/>
      <c r="S85" s="401"/>
      <c r="T85" s="402"/>
      <c r="U85" s="198"/>
      <c r="V85" s="219"/>
      <c r="W85" s="401"/>
      <c r="X85" s="402"/>
      <c r="Y85" s="198"/>
      <c r="Z85" s="219"/>
      <c r="AA85" s="401"/>
      <c r="AB85" s="402"/>
      <c r="AC85" s="198"/>
      <c r="AD85" s="219"/>
      <c r="AE85" s="401"/>
      <c r="AF85" s="402"/>
      <c r="AG85" s="198"/>
      <c r="AH85" s="219"/>
      <c r="AI85" s="401"/>
      <c r="AJ85" s="402"/>
      <c r="AK85" s="397"/>
      <c r="AL85" s="397"/>
      <c r="AM85" s="397"/>
    </row>
    <row r="86">
      <c r="A86" s="314"/>
      <c r="B86" s="315"/>
      <c r="C86" s="316"/>
      <c r="D86" s="397"/>
      <c r="E86" s="314"/>
      <c r="F86" s="315"/>
      <c r="G86" s="316"/>
      <c r="H86" s="397"/>
      <c r="I86" s="314"/>
      <c r="J86" s="315"/>
      <c r="K86" s="316"/>
      <c r="L86" s="397"/>
      <c r="M86" s="314"/>
      <c r="N86" s="315"/>
      <c r="O86" s="316"/>
      <c r="P86" s="397"/>
      <c r="Q86" s="198"/>
      <c r="R86" s="219"/>
      <c r="S86" s="401"/>
      <c r="T86" s="402"/>
      <c r="U86" s="198"/>
      <c r="V86" s="219"/>
      <c r="W86" s="401"/>
      <c r="X86" s="402"/>
      <c r="Y86" s="198"/>
      <c r="Z86" s="219"/>
      <c r="AA86" s="401"/>
      <c r="AB86" s="402"/>
      <c r="AC86" s="198"/>
      <c r="AD86" s="219"/>
      <c r="AE86" s="401"/>
      <c r="AF86" s="402"/>
      <c r="AG86" s="198"/>
      <c r="AH86" s="219"/>
      <c r="AI86" s="401"/>
      <c r="AJ86" s="402"/>
      <c r="AK86" s="397"/>
      <c r="AL86" s="397"/>
      <c r="AM86" s="397"/>
    </row>
    <row r="87">
      <c r="A87" s="314"/>
      <c r="B87" s="315"/>
      <c r="C87" s="316"/>
      <c r="D87" s="397"/>
      <c r="E87" s="314"/>
      <c r="F87" s="315"/>
      <c r="G87" s="316"/>
      <c r="H87" s="397"/>
      <c r="I87" s="314"/>
      <c r="J87" s="315"/>
      <c r="K87" s="316"/>
      <c r="L87" s="397"/>
      <c r="M87" s="314"/>
      <c r="N87" s="315"/>
      <c r="O87" s="316"/>
      <c r="P87" s="397"/>
      <c r="Q87" s="198"/>
      <c r="R87" s="219"/>
      <c r="S87" s="401"/>
      <c r="T87" s="402"/>
      <c r="U87" s="198"/>
      <c r="V87" s="219"/>
      <c r="W87" s="401"/>
      <c r="X87" s="402"/>
      <c r="Y87" s="198"/>
      <c r="Z87" s="219"/>
      <c r="AA87" s="401"/>
      <c r="AB87" s="402"/>
      <c r="AC87" s="198"/>
      <c r="AD87" s="219"/>
      <c r="AE87" s="401"/>
      <c r="AF87" s="402"/>
      <c r="AG87" s="198"/>
      <c r="AH87" s="219"/>
      <c r="AI87" s="401"/>
      <c r="AJ87" s="402"/>
      <c r="AK87" s="397"/>
      <c r="AL87" s="397"/>
      <c r="AM87" s="397"/>
    </row>
    <row r="88">
      <c r="A88" s="314"/>
      <c r="B88" s="315"/>
      <c r="C88" s="316"/>
      <c r="D88" s="397"/>
      <c r="E88" s="314"/>
      <c r="F88" s="315"/>
      <c r="G88" s="316"/>
      <c r="H88" s="397"/>
      <c r="I88" s="314"/>
      <c r="J88" s="315"/>
      <c r="K88" s="316"/>
      <c r="L88" s="397"/>
      <c r="M88" s="314"/>
      <c r="N88" s="315"/>
      <c r="O88" s="316"/>
      <c r="P88" s="397"/>
      <c r="Q88" s="198"/>
      <c r="R88" s="219"/>
      <c r="S88" s="401"/>
      <c r="T88" s="402"/>
      <c r="U88" s="198"/>
      <c r="V88" s="219"/>
      <c r="W88" s="401"/>
      <c r="X88" s="402"/>
      <c r="Y88" s="198"/>
      <c r="Z88" s="219"/>
      <c r="AA88" s="401"/>
      <c r="AB88" s="402"/>
      <c r="AC88" s="198"/>
      <c r="AD88" s="219"/>
      <c r="AE88" s="401"/>
      <c r="AF88" s="402"/>
      <c r="AG88" s="198"/>
      <c r="AH88" s="219"/>
      <c r="AI88" s="401"/>
      <c r="AJ88" s="402"/>
      <c r="AK88" s="397"/>
      <c r="AL88" s="397"/>
      <c r="AM88" s="397"/>
    </row>
    <row r="89">
      <c r="A89" s="314"/>
      <c r="B89" s="315"/>
      <c r="C89" s="316"/>
      <c r="D89" s="397"/>
      <c r="E89" s="314"/>
      <c r="F89" s="315"/>
      <c r="G89" s="316"/>
      <c r="H89" s="397"/>
      <c r="I89" s="314"/>
      <c r="J89" s="315"/>
      <c r="K89" s="316"/>
      <c r="L89" s="397"/>
      <c r="M89" s="314"/>
      <c r="N89" s="315"/>
      <c r="O89" s="316"/>
      <c r="P89" s="397"/>
      <c r="Q89" s="198"/>
      <c r="R89" s="219"/>
      <c r="S89" s="401"/>
      <c r="T89" s="402"/>
      <c r="U89" s="198"/>
      <c r="V89" s="219"/>
      <c r="W89" s="401"/>
      <c r="X89" s="402"/>
      <c r="Y89" s="198"/>
      <c r="Z89" s="219"/>
      <c r="AA89" s="401"/>
      <c r="AB89" s="402"/>
      <c r="AC89" s="198"/>
      <c r="AD89" s="219"/>
      <c r="AE89" s="401"/>
      <c r="AF89" s="402"/>
      <c r="AG89" s="198"/>
      <c r="AH89" s="219"/>
      <c r="AI89" s="401"/>
      <c r="AJ89" s="402"/>
      <c r="AK89" s="397"/>
      <c r="AL89" s="397"/>
      <c r="AM89" s="397"/>
    </row>
    <row r="90">
      <c r="A90" s="314"/>
      <c r="B90" s="315"/>
      <c r="C90" s="316"/>
      <c r="D90" s="397"/>
      <c r="E90" s="314"/>
      <c r="F90" s="315"/>
      <c r="G90" s="316"/>
      <c r="H90" s="397"/>
      <c r="I90" s="314"/>
      <c r="J90" s="315"/>
      <c r="K90" s="316"/>
      <c r="L90" s="397"/>
      <c r="M90" s="314"/>
      <c r="N90" s="315"/>
      <c r="O90" s="316"/>
      <c r="P90" s="397"/>
      <c r="Q90" s="198"/>
      <c r="R90" s="219"/>
      <c r="S90" s="401"/>
      <c r="T90" s="402"/>
      <c r="U90" s="198"/>
      <c r="V90" s="219"/>
      <c r="W90" s="401"/>
      <c r="X90" s="402"/>
      <c r="Y90" s="198"/>
      <c r="Z90" s="219"/>
      <c r="AA90" s="401"/>
      <c r="AB90" s="402"/>
      <c r="AC90" s="198"/>
      <c r="AD90" s="219"/>
      <c r="AE90" s="401"/>
      <c r="AF90" s="402"/>
      <c r="AG90" s="198"/>
      <c r="AH90" s="219"/>
      <c r="AI90" s="401"/>
      <c r="AJ90" s="402"/>
      <c r="AK90" s="397"/>
      <c r="AL90" s="397"/>
      <c r="AM90" s="397"/>
    </row>
    <row r="91">
      <c r="A91" s="314"/>
      <c r="B91" s="315"/>
      <c r="C91" s="316"/>
      <c r="D91" s="397"/>
      <c r="E91" s="314"/>
      <c r="F91" s="315"/>
      <c r="G91" s="316"/>
      <c r="H91" s="397"/>
      <c r="I91" s="314"/>
      <c r="J91" s="315"/>
      <c r="K91" s="316"/>
      <c r="L91" s="397"/>
      <c r="M91" s="314"/>
      <c r="N91" s="315"/>
      <c r="O91" s="316"/>
      <c r="P91" s="397"/>
      <c r="Q91" s="198"/>
      <c r="R91" s="219"/>
      <c r="S91" s="401"/>
      <c r="T91" s="402"/>
      <c r="U91" s="198"/>
      <c r="V91" s="219"/>
      <c r="W91" s="401"/>
      <c r="X91" s="402"/>
      <c r="Y91" s="198"/>
      <c r="Z91" s="219"/>
      <c r="AA91" s="401"/>
      <c r="AB91" s="402"/>
      <c r="AC91" s="198"/>
      <c r="AD91" s="219"/>
      <c r="AE91" s="401"/>
      <c r="AF91" s="402"/>
      <c r="AG91" s="198"/>
      <c r="AH91" s="219"/>
      <c r="AI91" s="401"/>
      <c r="AJ91" s="402"/>
      <c r="AK91" s="397"/>
      <c r="AL91" s="397"/>
      <c r="AM91" s="397"/>
    </row>
    <row r="92">
      <c r="A92" s="314"/>
      <c r="B92" s="315"/>
      <c r="C92" s="316"/>
      <c r="D92" s="397"/>
      <c r="E92" s="314"/>
      <c r="F92" s="315"/>
      <c r="G92" s="316"/>
      <c r="H92" s="397"/>
      <c r="I92" s="314"/>
      <c r="J92" s="315"/>
      <c r="K92" s="316"/>
      <c r="L92" s="397"/>
      <c r="M92" s="314"/>
      <c r="N92" s="315"/>
      <c r="O92" s="316"/>
      <c r="P92" s="397"/>
      <c r="Q92" s="198"/>
      <c r="R92" s="219"/>
      <c r="S92" s="401"/>
      <c r="T92" s="402"/>
      <c r="U92" s="198"/>
      <c r="V92" s="219"/>
      <c r="W92" s="401"/>
      <c r="X92" s="402"/>
      <c r="Y92" s="198"/>
      <c r="Z92" s="219"/>
      <c r="AA92" s="401"/>
      <c r="AB92" s="402"/>
      <c r="AC92" s="198"/>
      <c r="AD92" s="219"/>
      <c r="AE92" s="401"/>
      <c r="AF92" s="402"/>
      <c r="AG92" s="198"/>
      <c r="AH92" s="219"/>
      <c r="AI92" s="401"/>
      <c r="AJ92" s="402"/>
      <c r="AK92" s="397"/>
      <c r="AL92" s="397"/>
      <c r="AM92" s="397"/>
    </row>
    <row r="93">
      <c r="A93" s="314"/>
      <c r="B93" s="315"/>
      <c r="C93" s="316"/>
      <c r="D93" s="397"/>
      <c r="E93" s="314"/>
      <c r="F93" s="315"/>
      <c r="G93" s="316"/>
      <c r="H93" s="397"/>
      <c r="I93" s="314"/>
      <c r="J93" s="315"/>
      <c r="K93" s="316"/>
      <c r="L93" s="397"/>
      <c r="M93" s="314"/>
      <c r="N93" s="315"/>
      <c r="O93" s="316"/>
      <c r="P93" s="397"/>
      <c r="Q93" s="198"/>
      <c r="R93" s="219"/>
      <c r="S93" s="401"/>
      <c r="T93" s="402"/>
      <c r="U93" s="198"/>
      <c r="V93" s="219"/>
      <c r="W93" s="401"/>
      <c r="X93" s="402"/>
      <c r="Y93" s="198"/>
      <c r="Z93" s="219"/>
      <c r="AA93" s="401"/>
      <c r="AB93" s="402"/>
      <c r="AC93" s="198"/>
      <c r="AD93" s="219"/>
      <c r="AE93" s="401"/>
      <c r="AF93" s="402"/>
      <c r="AG93" s="198"/>
      <c r="AH93" s="219"/>
      <c r="AI93" s="401"/>
      <c r="AJ93" s="402"/>
      <c r="AK93" s="397"/>
      <c r="AL93" s="397"/>
      <c r="AM93" s="397"/>
    </row>
    <row r="94">
      <c r="A94" s="314"/>
      <c r="B94" s="315"/>
      <c r="C94" s="316"/>
      <c r="D94" s="397"/>
      <c r="E94" s="314"/>
      <c r="F94" s="315"/>
      <c r="G94" s="316"/>
      <c r="H94" s="397"/>
      <c r="I94" s="314"/>
      <c r="J94" s="315"/>
      <c r="K94" s="316"/>
      <c r="L94" s="397"/>
      <c r="M94" s="314"/>
      <c r="N94" s="315"/>
      <c r="O94" s="316"/>
      <c r="P94" s="397"/>
      <c r="Q94" s="198"/>
      <c r="R94" s="219"/>
      <c r="S94" s="401"/>
      <c r="T94" s="402"/>
      <c r="U94" s="198"/>
      <c r="V94" s="219"/>
      <c r="W94" s="401"/>
      <c r="X94" s="402"/>
      <c r="Y94" s="198"/>
      <c r="Z94" s="219"/>
      <c r="AA94" s="401"/>
      <c r="AB94" s="402"/>
      <c r="AC94" s="198"/>
      <c r="AD94" s="219"/>
      <c r="AE94" s="401"/>
      <c r="AF94" s="402"/>
      <c r="AG94" s="198"/>
      <c r="AH94" s="219"/>
      <c r="AI94" s="401"/>
      <c r="AJ94" s="402"/>
      <c r="AK94" s="397"/>
      <c r="AL94" s="397"/>
      <c r="AM94" s="397"/>
    </row>
    <row r="95">
      <c r="A95" s="314"/>
      <c r="B95" s="315"/>
      <c r="C95" s="316"/>
      <c r="D95" s="397"/>
      <c r="E95" s="314"/>
      <c r="F95" s="315"/>
      <c r="G95" s="316"/>
      <c r="H95" s="397"/>
      <c r="I95" s="314"/>
      <c r="J95" s="315"/>
      <c r="K95" s="316"/>
      <c r="L95" s="397"/>
      <c r="M95" s="314"/>
      <c r="N95" s="315"/>
      <c r="O95" s="316"/>
      <c r="P95" s="397"/>
      <c r="Q95" s="198"/>
      <c r="R95" s="219"/>
      <c r="S95" s="401"/>
      <c r="T95" s="402"/>
      <c r="U95" s="198"/>
      <c r="V95" s="219"/>
      <c r="W95" s="401"/>
      <c r="X95" s="402"/>
      <c r="Y95" s="198"/>
      <c r="Z95" s="219"/>
      <c r="AA95" s="401"/>
      <c r="AB95" s="402"/>
      <c r="AC95" s="198"/>
      <c r="AD95" s="219"/>
      <c r="AE95" s="401"/>
      <c r="AF95" s="402"/>
      <c r="AG95" s="198"/>
      <c r="AH95" s="219"/>
      <c r="AI95" s="401"/>
      <c r="AJ95" s="402"/>
      <c r="AK95" s="397"/>
      <c r="AL95" s="397"/>
      <c r="AM95" s="397"/>
    </row>
    <row r="96">
      <c r="A96" s="314"/>
      <c r="B96" s="315"/>
      <c r="C96" s="316"/>
      <c r="D96" s="397"/>
      <c r="E96" s="314"/>
      <c r="F96" s="315"/>
      <c r="G96" s="316"/>
      <c r="H96" s="397"/>
      <c r="I96" s="314"/>
      <c r="J96" s="315"/>
      <c r="K96" s="316"/>
      <c r="L96" s="397"/>
      <c r="M96" s="314"/>
      <c r="N96" s="315"/>
      <c r="O96" s="316"/>
      <c r="P96" s="397"/>
      <c r="Q96" s="198"/>
      <c r="R96" s="219"/>
      <c r="S96" s="401"/>
      <c r="T96" s="402"/>
      <c r="U96" s="198"/>
      <c r="V96" s="219"/>
      <c r="W96" s="401"/>
      <c r="X96" s="402"/>
      <c r="Y96" s="198"/>
      <c r="Z96" s="219"/>
      <c r="AA96" s="401"/>
      <c r="AB96" s="402"/>
      <c r="AC96" s="198"/>
      <c r="AD96" s="219"/>
      <c r="AE96" s="401"/>
      <c r="AF96" s="402"/>
      <c r="AG96" s="198"/>
      <c r="AH96" s="219"/>
      <c r="AI96" s="401"/>
      <c r="AJ96" s="402"/>
      <c r="AK96" s="397"/>
      <c r="AL96" s="397"/>
      <c r="AM96" s="397"/>
    </row>
    <row r="97">
      <c r="A97" s="314"/>
      <c r="B97" s="315"/>
      <c r="C97" s="316"/>
      <c r="D97" s="397"/>
      <c r="E97" s="314"/>
      <c r="F97" s="315"/>
      <c r="G97" s="316"/>
      <c r="H97" s="397"/>
      <c r="I97" s="314"/>
      <c r="J97" s="315"/>
      <c r="K97" s="316"/>
      <c r="L97" s="397"/>
      <c r="M97" s="314"/>
      <c r="N97" s="315"/>
      <c r="O97" s="316"/>
      <c r="P97" s="397"/>
      <c r="Q97" s="198"/>
      <c r="R97" s="219"/>
      <c r="S97" s="401"/>
      <c r="T97" s="402"/>
      <c r="U97" s="198"/>
      <c r="V97" s="219"/>
      <c r="W97" s="401"/>
      <c r="X97" s="402"/>
      <c r="Y97" s="198"/>
      <c r="Z97" s="219"/>
      <c r="AA97" s="401"/>
      <c r="AB97" s="402"/>
      <c r="AC97" s="198"/>
      <c r="AD97" s="219"/>
      <c r="AE97" s="401"/>
      <c r="AF97" s="402"/>
      <c r="AG97" s="198"/>
      <c r="AH97" s="219"/>
      <c r="AI97" s="401"/>
      <c r="AJ97" s="402"/>
      <c r="AK97" s="397"/>
      <c r="AL97" s="397"/>
      <c r="AM97" s="397"/>
    </row>
    <row r="98">
      <c r="A98" s="314"/>
      <c r="B98" s="315"/>
      <c r="C98" s="316"/>
      <c r="D98" s="397"/>
      <c r="E98" s="314"/>
      <c r="F98" s="315"/>
      <c r="G98" s="316"/>
      <c r="H98" s="397"/>
      <c r="I98" s="314"/>
      <c r="J98" s="315"/>
      <c r="K98" s="316"/>
      <c r="L98" s="397"/>
      <c r="M98" s="314"/>
      <c r="N98" s="315"/>
      <c r="O98" s="316"/>
      <c r="P98" s="397"/>
      <c r="Q98" s="198"/>
      <c r="R98" s="219"/>
      <c r="S98" s="401"/>
      <c r="T98" s="402"/>
      <c r="U98" s="198"/>
      <c r="V98" s="219"/>
      <c r="W98" s="401"/>
      <c r="X98" s="402"/>
      <c r="Y98" s="198"/>
      <c r="Z98" s="219"/>
      <c r="AA98" s="401"/>
      <c r="AB98" s="402"/>
      <c r="AC98" s="198"/>
      <c r="AD98" s="219"/>
      <c r="AE98" s="401"/>
      <c r="AF98" s="402"/>
      <c r="AG98" s="198"/>
      <c r="AH98" s="219"/>
      <c r="AI98" s="401"/>
      <c r="AJ98" s="402"/>
      <c r="AK98" s="397"/>
      <c r="AL98" s="397"/>
      <c r="AM98" s="397"/>
    </row>
    <row r="99">
      <c r="A99" s="314"/>
      <c r="B99" s="315"/>
      <c r="C99" s="316"/>
      <c r="D99" s="397"/>
      <c r="E99" s="314"/>
      <c r="F99" s="315"/>
      <c r="G99" s="316"/>
      <c r="H99" s="397"/>
      <c r="I99" s="314"/>
      <c r="J99" s="315"/>
      <c r="K99" s="316"/>
      <c r="L99" s="397"/>
      <c r="M99" s="314"/>
      <c r="N99" s="315"/>
      <c r="O99" s="316"/>
      <c r="P99" s="397"/>
      <c r="Q99" s="198"/>
      <c r="R99" s="219"/>
      <c r="S99" s="401"/>
      <c r="T99" s="402"/>
      <c r="U99" s="198"/>
      <c r="V99" s="219"/>
      <c r="W99" s="401"/>
      <c r="X99" s="402"/>
      <c r="Y99" s="198"/>
      <c r="Z99" s="219"/>
      <c r="AA99" s="401"/>
      <c r="AB99" s="402"/>
      <c r="AC99" s="198"/>
      <c r="AD99" s="219"/>
      <c r="AE99" s="401"/>
      <c r="AF99" s="402"/>
      <c r="AG99" s="198"/>
      <c r="AH99" s="219"/>
      <c r="AI99" s="401"/>
      <c r="AJ99" s="402"/>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1"/>
      <c r="T100" s="402"/>
      <c r="U100" s="198"/>
      <c r="V100" s="219"/>
      <c r="W100" s="401"/>
      <c r="X100" s="402"/>
      <c r="Y100" s="198"/>
      <c r="Z100" s="219"/>
      <c r="AA100" s="401"/>
      <c r="AB100" s="402"/>
      <c r="AC100" s="198"/>
      <c r="AD100" s="219"/>
      <c r="AE100" s="401"/>
      <c r="AF100" s="402"/>
      <c r="AG100" s="198"/>
      <c r="AH100" s="219"/>
      <c r="AI100" s="401"/>
      <c r="AJ100" s="402"/>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1"/>
      <c r="T101" s="402"/>
      <c r="U101" s="198"/>
      <c r="V101" s="219"/>
      <c r="W101" s="401"/>
      <c r="X101" s="402"/>
      <c r="Y101" s="198"/>
      <c r="Z101" s="219"/>
      <c r="AA101" s="401"/>
      <c r="AB101" s="402"/>
      <c r="AC101" s="198"/>
      <c r="AD101" s="219"/>
      <c r="AE101" s="401"/>
      <c r="AF101" s="402"/>
      <c r="AG101" s="198"/>
      <c r="AH101" s="219"/>
      <c r="AI101" s="401"/>
      <c r="AJ101" s="402"/>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1"/>
      <c r="T102" s="402"/>
      <c r="U102" s="198"/>
      <c r="V102" s="219"/>
      <c r="W102" s="401"/>
      <c r="X102" s="402"/>
      <c r="Y102" s="198"/>
      <c r="Z102" s="219"/>
      <c r="AA102" s="401"/>
      <c r="AB102" s="402"/>
      <c r="AC102" s="198"/>
      <c r="AD102" s="219"/>
      <c r="AE102" s="401"/>
      <c r="AF102" s="402"/>
      <c r="AG102" s="198"/>
      <c r="AH102" s="219"/>
      <c r="AI102" s="401"/>
      <c r="AJ102" s="402"/>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1"/>
      <c r="T103" s="402"/>
      <c r="U103" s="198"/>
      <c r="V103" s="219"/>
      <c r="W103" s="401"/>
      <c r="X103" s="402"/>
      <c r="Y103" s="198"/>
      <c r="Z103" s="219"/>
      <c r="AA103" s="401"/>
      <c r="AB103" s="402"/>
      <c r="AC103" s="198"/>
      <c r="AD103" s="219"/>
      <c r="AE103" s="401"/>
      <c r="AF103" s="402"/>
      <c r="AG103" s="198"/>
      <c r="AH103" s="219"/>
      <c r="AI103" s="401"/>
      <c r="AJ103" s="402"/>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1"/>
      <c r="T104" s="402"/>
      <c r="U104" s="198"/>
      <c r="V104" s="219"/>
      <c r="W104" s="401"/>
      <c r="X104" s="402"/>
      <c r="Y104" s="198"/>
      <c r="Z104" s="219"/>
      <c r="AA104" s="401"/>
      <c r="AB104" s="402"/>
      <c r="AC104" s="198"/>
      <c r="AD104" s="219"/>
      <c r="AE104" s="401"/>
      <c r="AF104" s="402"/>
      <c r="AG104" s="198"/>
      <c r="AH104" s="219"/>
      <c r="AI104" s="401"/>
      <c r="AJ104" s="402"/>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1"/>
      <c r="T105" s="402"/>
      <c r="U105" s="198"/>
      <c r="V105" s="219"/>
      <c r="W105" s="401"/>
      <c r="X105" s="402"/>
      <c r="Y105" s="198"/>
      <c r="Z105" s="219"/>
      <c r="AA105" s="401"/>
      <c r="AB105" s="402"/>
      <c r="AC105" s="198"/>
      <c r="AD105" s="219"/>
      <c r="AE105" s="401"/>
      <c r="AF105" s="402"/>
      <c r="AG105" s="198"/>
      <c r="AH105" s="219"/>
      <c r="AI105" s="401"/>
      <c r="AJ105" s="402"/>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1"/>
      <c r="T106" s="402"/>
      <c r="U106" s="198"/>
      <c r="V106" s="219"/>
      <c r="W106" s="401"/>
      <c r="X106" s="402"/>
      <c r="Y106" s="198"/>
      <c r="Z106" s="219"/>
      <c r="AA106" s="401"/>
      <c r="AB106" s="402"/>
      <c r="AC106" s="198"/>
      <c r="AD106" s="219"/>
      <c r="AE106" s="401"/>
      <c r="AF106" s="402"/>
      <c r="AG106" s="198"/>
      <c r="AH106" s="219"/>
      <c r="AI106" s="401"/>
      <c r="AJ106" s="402"/>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1"/>
      <c r="T107" s="402"/>
      <c r="U107" s="198"/>
      <c r="V107" s="219"/>
      <c r="W107" s="401"/>
      <c r="X107" s="402"/>
      <c r="Y107" s="198"/>
      <c r="Z107" s="219"/>
      <c r="AA107" s="401"/>
      <c r="AB107" s="402"/>
      <c r="AC107" s="198"/>
      <c r="AD107" s="219"/>
      <c r="AE107" s="401"/>
      <c r="AF107" s="402"/>
      <c r="AG107" s="198"/>
      <c r="AH107" s="219"/>
      <c r="AI107" s="401"/>
      <c r="AJ107" s="402"/>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1"/>
      <c r="T108" s="402"/>
      <c r="U108" s="198"/>
      <c r="V108" s="219"/>
      <c r="W108" s="401"/>
      <c r="X108" s="402"/>
      <c r="Y108" s="198"/>
      <c r="Z108" s="219"/>
      <c r="AA108" s="401"/>
      <c r="AB108" s="402"/>
      <c r="AC108" s="198"/>
      <c r="AD108" s="219"/>
      <c r="AE108" s="401"/>
      <c r="AF108" s="402"/>
      <c r="AG108" s="198"/>
      <c r="AH108" s="219"/>
      <c r="AI108" s="401"/>
      <c r="AJ108" s="402"/>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1"/>
      <c r="T109" s="402"/>
      <c r="U109" s="198"/>
      <c r="V109" s="219"/>
      <c r="W109" s="401"/>
      <c r="X109" s="402"/>
      <c r="Y109" s="198"/>
      <c r="Z109" s="219"/>
      <c r="AA109" s="401"/>
      <c r="AB109" s="402"/>
      <c r="AC109" s="198"/>
      <c r="AD109" s="219"/>
      <c r="AE109" s="401"/>
      <c r="AF109" s="402"/>
      <c r="AG109" s="198"/>
      <c r="AH109" s="219"/>
      <c r="AI109" s="401"/>
      <c r="AJ109" s="402"/>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1"/>
      <c r="T110" s="402"/>
      <c r="U110" s="198"/>
      <c r="V110" s="219"/>
      <c r="W110" s="401"/>
      <c r="X110" s="402"/>
      <c r="Y110" s="198"/>
      <c r="Z110" s="219"/>
      <c r="AA110" s="401"/>
      <c r="AB110" s="402"/>
      <c r="AC110" s="198"/>
      <c r="AD110" s="219"/>
      <c r="AE110" s="401"/>
      <c r="AF110" s="402"/>
      <c r="AG110" s="198"/>
      <c r="AH110" s="219"/>
      <c r="AI110" s="401"/>
      <c r="AJ110" s="402"/>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1"/>
      <c r="T111" s="402"/>
      <c r="U111" s="198"/>
      <c r="V111" s="219"/>
      <c r="W111" s="401"/>
      <c r="X111" s="402"/>
      <c r="Y111" s="198"/>
      <c r="Z111" s="219"/>
      <c r="AA111" s="401"/>
      <c r="AB111" s="402"/>
      <c r="AC111" s="198"/>
      <c r="AD111" s="219"/>
      <c r="AE111" s="401"/>
      <c r="AF111" s="402"/>
      <c r="AG111" s="198"/>
      <c r="AH111" s="219"/>
      <c r="AI111" s="401"/>
      <c r="AJ111" s="402"/>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1"/>
      <c r="T112" s="402"/>
      <c r="U112" s="198"/>
      <c r="V112" s="219"/>
      <c r="W112" s="401"/>
      <c r="X112" s="402"/>
      <c r="Y112" s="198"/>
      <c r="Z112" s="219"/>
      <c r="AA112" s="401"/>
      <c r="AB112" s="402"/>
      <c r="AC112" s="198"/>
      <c r="AD112" s="219"/>
      <c r="AE112" s="401"/>
      <c r="AF112" s="402"/>
      <c r="AG112" s="198"/>
      <c r="AH112" s="219"/>
      <c r="AI112" s="401"/>
      <c r="AJ112" s="402"/>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1"/>
      <c r="T113" s="402"/>
      <c r="U113" s="198"/>
      <c r="V113" s="219"/>
      <c r="W113" s="401"/>
      <c r="X113" s="402"/>
      <c r="Y113" s="198"/>
      <c r="Z113" s="219"/>
      <c r="AA113" s="401"/>
      <c r="AB113" s="402"/>
      <c r="AC113" s="198"/>
      <c r="AD113" s="219"/>
      <c r="AE113" s="401"/>
      <c r="AF113" s="402"/>
      <c r="AG113" s="198"/>
      <c r="AH113" s="219"/>
      <c r="AI113" s="401"/>
      <c r="AJ113" s="402"/>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1"/>
      <c r="T114" s="402"/>
      <c r="U114" s="198"/>
      <c r="V114" s="219"/>
      <c r="W114" s="401"/>
      <c r="X114" s="402"/>
      <c r="Y114" s="198"/>
      <c r="Z114" s="219"/>
      <c r="AA114" s="401"/>
      <c r="AB114" s="402"/>
      <c r="AC114" s="198"/>
      <c r="AD114" s="219"/>
      <c r="AE114" s="401"/>
      <c r="AF114" s="402"/>
      <c r="AG114" s="198"/>
      <c r="AH114" s="219"/>
      <c r="AI114" s="401"/>
      <c r="AJ114" s="402"/>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1"/>
      <c r="T115" s="402"/>
      <c r="U115" s="198"/>
      <c r="V115" s="219"/>
      <c r="W115" s="401"/>
      <c r="X115" s="402"/>
      <c r="Y115" s="198"/>
      <c r="Z115" s="219"/>
      <c r="AA115" s="401"/>
      <c r="AB115" s="402"/>
      <c r="AC115" s="198"/>
      <c r="AD115" s="219"/>
      <c r="AE115" s="401"/>
      <c r="AF115" s="402"/>
      <c r="AG115" s="198"/>
      <c r="AH115" s="219"/>
      <c r="AI115" s="401"/>
      <c r="AJ115" s="402"/>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1"/>
      <c r="T116" s="402"/>
      <c r="U116" s="198"/>
      <c r="V116" s="219"/>
      <c r="W116" s="401"/>
      <c r="X116" s="402"/>
      <c r="Y116" s="198"/>
      <c r="Z116" s="219"/>
      <c r="AA116" s="401"/>
      <c r="AB116" s="402"/>
      <c r="AC116" s="198"/>
      <c r="AD116" s="219"/>
      <c r="AE116" s="401"/>
      <c r="AF116" s="402"/>
      <c r="AG116" s="198"/>
      <c r="AH116" s="219"/>
      <c r="AI116" s="401"/>
      <c r="AJ116" s="402"/>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1"/>
      <c r="T117" s="402"/>
      <c r="U117" s="198"/>
      <c r="V117" s="219"/>
      <c r="W117" s="401"/>
      <c r="X117" s="402"/>
      <c r="Y117" s="198"/>
      <c r="Z117" s="219"/>
      <c r="AA117" s="401"/>
      <c r="AB117" s="402"/>
      <c r="AC117" s="198"/>
      <c r="AD117" s="219"/>
      <c r="AE117" s="401"/>
      <c r="AF117" s="402"/>
      <c r="AG117" s="198"/>
      <c r="AH117" s="219"/>
      <c r="AI117" s="401"/>
      <c r="AJ117" s="402"/>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1"/>
      <c r="T118" s="402"/>
      <c r="U118" s="198"/>
      <c r="V118" s="219"/>
      <c r="W118" s="401"/>
      <c r="X118" s="402"/>
      <c r="Y118" s="198"/>
      <c r="Z118" s="219"/>
      <c r="AA118" s="401"/>
      <c r="AB118" s="402"/>
      <c r="AC118" s="198"/>
      <c r="AD118" s="219"/>
      <c r="AE118" s="401"/>
      <c r="AF118" s="402"/>
      <c r="AG118" s="198"/>
      <c r="AH118" s="219"/>
      <c r="AI118" s="401"/>
      <c r="AJ118" s="402"/>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1"/>
      <c r="T119" s="402"/>
      <c r="U119" s="198"/>
      <c r="V119" s="219"/>
      <c r="W119" s="401"/>
      <c r="X119" s="402"/>
      <c r="Y119" s="198"/>
      <c r="Z119" s="219"/>
      <c r="AA119" s="401"/>
      <c r="AB119" s="402"/>
      <c r="AC119" s="198"/>
      <c r="AD119" s="219"/>
      <c r="AE119" s="401"/>
      <c r="AF119" s="402"/>
      <c r="AG119" s="198"/>
      <c r="AH119" s="219"/>
      <c r="AI119" s="401"/>
      <c r="AJ119" s="402"/>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1"/>
      <c r="T120" s="402"/>
      <c r="U120" s="198"/>
      <c r="V120" s="219"/>
      <c r="W120" s="401"/>
      <c r="X120" s="402"/>
      <c r="Y120" s="198"/>
      <c r="Z120" s="219"/>
      <c r="AA120" s="401"/>
      <c r="AB120" s="402"/>
      <c r="AC120" s="198"/>
      <c r="AD120" s="219"/>
      <c r="AE120" s="401"/>
      <c r="AF120" s="402"/>
      <c r="AG120" s="198"/>
      <c r="AH120" s="219"/>
      <c r="AI120" s="401"/>
      <c r="AJ120" s="402"/>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1"/>
      <c r="T121" s="402"/>
      <c r="U121" s="198"/>
      <c r="V121" s="219"/>
      <c r="W121" s="401"/>
      <c r="X121" s="402"/>
      <c r="Y121" s="198"/>
      <c r="Z121" s="219"/>
      <c r="AA121" s="401"/>
      <c r="AB121" s="402"/>
      <c r="AC121" s="198"/>
      <c r="AD121" s="219"/>
      <c r="AE121" s="401"/>
      <c r="AF121" s="402"/>
      <c r="AG121" s="198"/>
      <c r="AH121" s="219"/>
      <c r="AI121" s="401"/>
      <c r="AJ121" s="402"/>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1"/>
      <c r="T122" s="402"/>
      <c r="U122" s="198"/>
      <c r="V122" s="219"/>
      <c r="W122" s="401"/>
      <c r="X122" s="402"/>
      <c r="Y122" s="198"/>
      <c r="Z122" s="219"/>
      <c r="AA122" s="401"/>
      <c r="AB122" s="402"/>
      <c r="AC122" s="198"/>
      <c r="AD122" s="219"/>
      <c r="AE122" s="401"/>
      <c r="AF122" s="402"/>
      <c r="AG122" s="198"/>
      <c r="AH122" s="219"/>
      <c r="AI122" s="401"/>
      <c r="AJ122" s="402"/>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1"/>
      <c r="T123" s="402"/>
      <c r="U123" s="198"/>
      <c r="V123" s="219"/>
      <c r="W123" s="401"/>
      <c r="X123" s="402"/>
      <c r="Y123" s="198"/>
      <c r="Z123" s="219"/>
      <c r="AA123" s="401"/>
      <c r="AB123" s="402"/>
      <c r="AC123" s="198"/>
      <c r="AD123" s="219"/>
      <c r="AE123" s="401"/>
      <c r="AF123" s="402"/>
      <c r="AG123" s="198"/>
      <c r="AH123" s="219"/>
      <c r="AI123" s="401"/>
      <c r="AJ123" s="402"/>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1"/>
      <c r="T124" s="402"/>
      <c r="U124" s="198"/>
      <c r="V124" s="219"/>
      <c r="W124" s="401"/>
      <c r="X124" s="402"/>
      <c r="Y124" s="198"/>
      <c r="Z124" s="219"/>
      <c r="AA124" s="401"/>
      <c r="AB124" s="402"/>
      <c r="AC124" s="198"/>
      <c r="AD124" s="219"/>
      <c r="AE124" s="401"/>
      <c r="AF124" s="402"/>
      <c r="AG124" s="198"/>
      <c r="AH124" s="219"/>
      <c r="AI124" s="401"/>
      <c r="AJ124" s="402"/>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1"/>
      <c r="T125" s="402"/>
      <c r="U125" s="198"/>
      <c r="V125" s="219"/>
      <c r="W125" s="401"/>
      <c r="X125" s="402"/>
      <c r="Y125" s="198"/>
      <c r="Z125" s="219"/>
      <c r="AA125" s="401"/>
      <c r="AB125" s="402"/>
      <c r="AC125" s="198"/>
      <c r="AD125" s="219"/>
      <c r="AE125" s="401"/>
      <c r="AF125" s="402"/>
      <c r="AG125" s="198"/>
      <c r="AH125" s="219"/>
      <c r="AI125" s="401"/>
      <c r="AJ125" s="402"/>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1"/>
      <c r="T126" s="402"/>
      <c r="U126" s="198"/>
      <c r="V126" s="219"/>
      <c r="W126" s="401"/>
      <c r="X126" s="402"/>
      <c r="Y126" s="198"/>
      <c r="Z126" s="219"/>
      <c r="AA126" s="401"/>
      <c r="AB126" s="402"/>
      <c r="AC126" s="198"/>
      <c r="AD126" s="219"/>
      <c r="AE126" s="401"/>
      <c r="AF126" s="402"/>
      <c r="AG126" s="198"/>
      <c r="AH126" s="219"/>
      <c r="AI126" s="401"/>
      <c r="AJ126" s="402"/>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1"/>
      <c r="T127" s="402"/>
      <c r="U127" s="198"/>
      <c r="V127" s="219"/>
      <c r="W127" s="401"/>
      <c r="X127" s="402"/>
      <c r="Y127" s="198"/>
      <c r="Z127" s="219"/>
      <c r="AA127" s="401"/>
      <c r="AB127" s="402"/>
      <c r="AC127" s="198"/>
      <c r="AD127" s="219"/>
      <c r="AE127" s="401"/>
      <c r="AF127" s="402"/>
      <c r="AG127" s="198"/>
      <c r="AH127" s="219"/>
      <c r="AI127" s="401"/>
      <c r="AJ127" s="402"/>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1"/>
      <c r="T128" s="402"/>
      <c r="U128" s="198"/>
      <c r="V128" s="219"/>
      <c r="W128" s="401"/>
      <c r="X128" s="402"/>
      <c r="Y128" s="198"/>
      <c r="Z128" s="219"/>
      <c r="AA128" s="401"/>
      <c r="AB128" s="402"/>
      <c r="AC128" s="198"/>
      <c r="AD128" s="219"/>
      <c r="AE128" s="401"/>
      <c r="AF128" s="402"/>
      <c r="AG128" s="198"/>
      <c r="AH128" s="219"/>
      <c r="AI128" s="401"/>
      <c r="AJ128" s="402"/>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1"/>
      <c r="T129" s="402"/>
      <c r="U129" s="198"/>
      <c r="V129" s="219"/>
      <c r="W129" s="401"/>
      <c r="X129" s="402"/>
      <c r="Y129" s="198"/>
      <c r="Z129" s="219"/>
      <c r="AA129" s="401"/>
      <c r="AB129" s="402"/>
      <c r="AC129" s="198"/>
      <c r="AD129" s="219"/>
      <c r="AE129" s="401"/>
      <c r="AF129" s="402"/>
      <c r="AG129" s="198"/>
      <c r="AH129" s="219"/>
      <c r="AI129" s="401"/>
      <c r="AJ129" s="402"/>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1"/>
      <c r="T130" s="402"/>
      <c r="U130" s="198"/>
      <c r="V130" s="219"/>
      <c r="W130" s="401"/>
      <c r="X130" s="402"/>
      <c r="Y130" s="198"/>
      <c r="Z130" s="219"/>
      <c r="AA130" s="401"/>
      <c r="AB130" s="402"/>
      <c r="AC130" s="198"/>
      <c r="AD130" s="219"/>
      <c r="AE130" s="401"/>
      <c r="AF130" s="402"/>
      <c r="AG130" s="198"/>
      <c r="AH130" s="219"/>
      <c r="AI130" s="401"/>
      <c r="AJ130" s="402"/>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1"/>
      <c r="T131" s="402"/>
      <c r="U131" s="198"/>
      <c r="V131" s="219"/>
      <c r="W131" s="401"/>
      <c r="X131" s="402"/>
      <c r="Y131" s="198"/>
      <c r="Z131" s="219"/>
      <c r="AA131" s="401"/>
      <c r="AB131" s="402"/>
      <c r="AC131" s="198"/>
      <c r="AD131" s="219"/>
      <c r="AE131" s="401"/>
      <c r="AF131" s="402"/>
      <c r="AG131" s="198"/>
      <c r="AH131" s="219"/>
      <c r="AI131" s="401"/>
      <c r="AJ131" s="402"/>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1"/>
      <c r="T132" s="402"/>
      <c r="U132" s="198"/>
      <c r="V132" s="219"/>
      <c r="W132" s="401"/>
      <c r="X132" s="402"/>
      <c r="Y132" s="198"/>
      <c r="Z132" s="219"/>
      <c r="AA132" s="401"/>
      <c r="AB132" s="402"/>
      <c r="AC132" s="198"/>
      <c r="AD132" s="219"/>
      <c r="AE132" s="401"/>
      <c r="AF132" s="402"/>
      <c r="AG132" s="198"/>
      <c r="AH132" s="219"/>
      <c r="AI132" s="401"/>
      <c r="AJ132" s="402"/>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1"/>
      <c r="T133" s="402"/>
      <c r="U133" s="198"/>
      <c r="V133" s="219"/>
      <c r="W133" s="401"/>
      <c r="X133" s="402"/>
      <c r="Y133" s="198"/>
      <c r="Z133" s="219"/>
      <c r="AA133" s="401"/>
      <c r="AB133" s="402"/>
      <c r="AC133" s="198"/>
      <c r="AD133" s="219"/>
      <c r="AE133" s="401"/>
      <c r="AF133" s="402"/>
      <c r="AG133" s="198"/>
      <c r="AH133" s="219"/>
      <c r="AI133" s="401"/>
      <c r="AJ133" s="402"/>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1"/>
      <c r="T134" s="402"/>
      <c r="U134" s="198"/>
      <c r="V134" s="219"/>
      <c r="W134" s="401"/>
      <c r="X134" s="402"/>
      <c r="Y134" s="198"/>
      <c r="Z134" s="219"/>
      <c r="AA134" s="401"/>
      <c r="AB134" s="402"/>
      <c r="AC134" s="198"/>
      <c r="AD134" s="219"/>
      <c r="AE134" s="401"/>
      <c r="AF134" s="402"/>
      <c r="AG134" s="198"/>
      <c r="AH134" s="219"/>
      <c r="AI134" s="401"/>
      <c r="AJ134" s="402"/>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1"/>
      <c r="T135" s="402"/>
      <c r="U135" s="198"/>
      <c r="V135" s="219"/>
      <c r="W135" s="401"/>
      <c r="X135" s="402"/>
      <c r="Y135" s="198"/>
      <c r="Z135" s="219"/>
      <c r="AA135" s="401"/>
      <c r="AB135" s="402"/>
      <c r="AC135" s="198"/>
      <c r="AD135" s="219"/>
      <c r="AE135" s="401"/>
      <c r="AF135" s="402"/>
      <c r="AG135" s="198"/>
      <c r="AH135" s="219"/>
      <c r="AI135" s="401"/>
      <c r="AJ135" s="402"/>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1"/>
      <c r="T136" s="402"/>
      <c r="U136" s="198"/>
      <c r="V136" s="219"/>
      <c r="W136" s="401"/>
      <c r="X136" s="402"/>
      <c r="Y136" s="198"/>
      <c r="Z136" s="219"/>
      <c r="AA136" s="401"/>
      <c r="AB136" s="402"/>
      <c r="AC136" s="198"/>
      <c r="AD136" s="219"/>
      <c r="AE136" s="401"/>
      <c r="AF136" s="402"/>
      <c r="AG136" s="198"/>
      <c r="AH136" s="219"/>
      <c r="AI136" s="401"/>
      <c r="AJ136" s="402"/>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1"/>
      <c r="T137" s="402"/>
      <c r="U137" s="198"/>
      <c r="V137" s="219"/>
      <c r="W137" s="401"/>
      <c r="X137" s="402"/>
      <c r="Y137" s="198"/>
      <c r="Z137" s="219"/>
      <c r="AA137" s="401"/>
      <c r="AB137" s="402"/>
      <c r="AC137" s="198"/>
      <c r="AD137" s="219"/>
      <c r="AE137" s="401"/>
      <c r="AF137" s="402"/>
      <c r="AG137" s="198"/>
      <c r="AH137" s="219"/>
      <c r="AI137" s="401"/>
      <c r="AJ137" s="402"/>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1"/>
      <c r="T138" s="402"/>
      <c r="U138" s="198"/>
      <c r="V138" s="219"/>
      <c r="W138" s="401"/>
      <c r="X138" s="402"/>
      <c r="Y138" s="198"/>
      <c r="Z138" s="219"/>
      <c r="AA138" s="401"/>
      <c r="AB138" s="402"/>
      <c r="AC138" s="198"/>
      <c r="AD138" s="219"/>
      <c r="AE138" s="401"/>
      <c r="AF138" s="402"/>
      <c r="AG138" s="198"/>
      <c r="AH138" s="219"/>
      <c r="AI138" s="401"/>
      <c r="AJ138" s="402"/>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1"/>
      <c r="T139" s="402"/>
      <c r="U139" s="198"/>
      <c r="V139" s="219"/>
      <c r="W139" s="401"/>
      <c r="X139" s="402"/>
      <c r="Y139" s="198"/>
      <c r="Z139" s="219"/>
      <c r="AA139" s="401"/>
      <c r="AB139" s="402"/>
      <c r="AC139" s="198"/>
      <c r="AD139" s="219"/>
      <c r="AE139" s="401"/>
      <c r="AF139" s="402"/>
      <c r="AG139" s="198"/>
      <c r="AH139" s="219"/>
      <c r="AI139" s="401"/>
      <c r="AJ139" s="402"/>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1"/>
      <c r="T140" s="402"/>
      <c r="U140" s="198"/>
      <c r="V140" s="219"/>
      <c r="W140" s="401"/>
      <c r="X140" s="402"/>
      <c r="Y140" s="198"/>
      <c r="Z140" s="219"/>
      <c r="AA140" s="401"/>
      <c r="AB140" s="402"/>
      <c r="AC140" s="198"/>
      <c r="AD140" s="219"/>
      <c r="AE140" s="401"/>
      <c r="AF140" s="402"/>
      <c r="AG140" s="198"/>
      <c r="AH140" s="219"/>
      <c r="AI140" s="401"/>
      <c r="AJ140" s="402"/>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1"/>
      <c r="T141" s="402"/>
      <c r="U141" s="198"/>
      <c r="V141" s="219"/>
      <c r="W141" s="401"/>
      <c r="X141" s="402"/>
      <c r="Y141" s="198"/>
      <c r="Z141" s="219"/>
      <c r="AA141" s="401"/>
      <c r="AB141" s="402"/>
      <c r="AC141" s="198"/>
      <c r="AD141" s="219"/>
      <c r="AE141" s="401"/>
      <c r="AF141" s="402"/>
      <c r="AG141" s="198"/>
      <c r="AH141" s="219"/>
      <c r="AI141" s="401"/>
      <c r="AJ141" s="402"/>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1"/>
      <c r="T142" s="402"/>
      <c r="U142" s="198"/>
      <c r="V142" s="219"/>
      <c r="W142" s="401"/>
      <c r="X142" s="402"/>
      <c r="Y142" s="198"/>
      <c r="Z142" s="219"/>
      <c r="AA142" s="401"/>
      <c r="AB142" s="402"/>
      <c r="AC142" s="198"/>
      <c r="AD142" s="219"/>
      <c r="AE142" s="401"/>
      <c r="AF142" s="402"/>
      <c r="AG142" s="198"/>
      <c r="AH142" s="219"/>
      <c r="AI142" s="401"/>
      <c r="AJ142" s="402"/>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1"/>
      <c r="T143" s="402"/>
      <c r="U143" s="198"/>
      <c r="V143" s="219"/>
      <c r="W143" s="401"/>
      <c r="X143" s="402"/>
      <c r="Y143" s="198"/>
      <c r="Z143" s="219"/>
      <c r="AA143" s="401"/>
      <c r="AB143" s="402"/>
      <c r="AC143" s="198"/>
      <c r="AD143" s="219"/>
      <c r="AE143" s="401"/>
      <c r="AF143" s="402"/>
      <c r="AG143" s="198"/>
      <c r="AH143" s="219"/>
      <c r="AI143" s="401"/>
      <c r="AJ143" s="402"/>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1"/>
      <c r="T144" s="402"/>
      <c r="U144" s="198"/>
      <c r="V144" s="219"/>
      <c r="W144" s="401"/>
      <c r="X144" s="402"/>
      <c r="Y144" s="198"/>
      <c r="Z144" s="219"/>
      <c r="AA144" s="401"/>
      <c r="AB144" s="402"/>
      <c r="AC144" s="198"/>
      <c r="AD144" s="219"/>
      <c r="AE144" s="401"/>
      <c r="AF144" s="402"/>
      <c r="AG144" s="198"/>
      <c r="AH144" s="219"/>
      <c r="AI144" s="401"/>
      <c r="AJ144" s="402"/>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1"/>
      <c r="T145" s="402"/>
      <c r="U145" s="198"/>
      <c r="V145" s="219"/>
      <c r="W145" s="401"/>
      <c r="X145" s="402"/>
      <c r="Y145" s="198"/>
      <c r="Z145" s="219"/>
      <c r="AA145" s="401"/>
      <c r="AB145" s="402"/>
      <c r="AC145" s="198"/>
      <c r="AD145" s="219"/>
      <c r="AE145" s="401"/>
      <c r="AF145" s="402"/>
      <c r="AG145" s="198"/>
      <c r="AH145" s="219"/>
      <c r="AI145" s="401"/>
      <c r="AJ145" s="402"/>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1"/>
      <c r="T146" s="402"/>
      <c r="U146" s="198"/>
      <c r="V146" s="219"/>
      <c r="W146" s="401"/>
      <c r="X146" s="402"/>
      <c r="Y146" s="198"/>
      <c r="Z146" s="219"/>
      <c r="AA146" s="401"/>
      <c r="AB146" s="402"/>
      <c r="AC146" s="198"/>
      <c r="AD146" s="219"/>
      <c r="AE146" s="401"/>
      <c r="AF146" s="402"/>
      <c r="AG146" s="198"/>
      <c r="AH146" s="219"/>
      <c r="AI146" s="401"/>
      <c r="AJ146" s="402"/>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1"/>
      <c r="T147" s="402"/>
      <c r="U147" s="198"/>
      <c r="V147" s="219"/>
      <c r="W147" s="401"/>
      <c r="X147" s="402"/>
      <c r="Y147" s="198"/>
      <c r="Z147" s="219"/>
      <c r="AA147" s="401"/>
      <c r="AB147" s="402"/>
      <c r="AC147" s="198"/>
      <c r="AD147" s="219"/>
      <c r="AE147" s="401"/>
      <c r="AF147" s="402"/>
      <c r="AG147" s="198"/>
      <c r="AH147" s="219"/>
      <c r="AI147" s="401"/>
      <c r="AJ147" s="402"/>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1"/>
      <c r="T148" s="402"/>
      <c r="U148" s="198"/>
      <c r="V148" s="219"/>
      <c r="W148" s="401"/>
      <c r="X148" s="402"/>
      <c r="Y148" s="198"/>
      <c r="Z148" s="219"/>
      <c r="AA148" s="401"/>
      <c r="AB148" s="402"/>
      <c r="AC148" s="198"/>
      <c r="AD148" s="219"/>
      <c r="AE148" s="401"/>
      <c r="AF148" s="402"/>
      <c r="AG148" s="198"/>
      <c r="AH148" s="219"/>
      <c r="AI148" s="401"/>
      <c r="AJ148" s="402"/>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1"/>
      <c r="T149" s="402"/>
      <c r="U149" s="198"/>
      <c r="V149" s="219"/>
      <c r="W149" s="401"/>
      <c r="X149" s="402"/>
      <c r="Y149" s="198"/>
      <c r="Z149" s="219"/>
      <c r="AA149" s="401"/>
      <c r="AB149" s="402"/>
      <c r="AC149" s="198"/>
      <c r="AD149" s="219"/>
      <c r="AE149" s="401"/>
      <c r="AF149" s="402"/>
      <c r="AG149" s="198"/>
      <c r="AH149" s="219"/>
      <c r="AI149" s="401"/>
      <c r="AJ149" s="402"/>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1"/>
      <c r="T150" s="402"/>
      <c r="U150" s="198"/>
      <c r="V150" s="219"/>
      <c r="W150" s="401"/>
      <c r="X150" s="402"/>
      <c r="Y150" s="198"/>
      <c r="Z150" s="219"/>
      <c r="AA150" s="401"/>
      <c r="AB150" s="402"/>
      <c r="AC150" s="198"/>
      <c r="AD150" s="219"/>
      <c r="AE150" s="401"/>
      <c r="AF150" s="402"/>
      <c r="AG150" s="198"/>
      <c r="AH150" s="219"/>
      <c r="AI150" s="401"/>
      <c r="AJ150" s="402"/>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1"/>
      <c r="T151" s="402"/>
      <c r="U151" s="198"/>
      <c r="V151" s="219"/>
      <c r="W151" s="401"/>
      <c r="X151" s="402"/>
      <c r="Y151" s="198"/>
      <c r="Z151" s="219"/>
      <c r="AA151" s="401"/>
      <c r="AB151" s="402"/>
      <c r="AC151" s="198"/>
      <c r="AD151" s="219"/>
      <c r="AE151" s="401"/>
      <c r="AF151" s="402"/>
      <c r="AG151" s="198"/>
      <c r="AH151" s="219"/>
      <c r="AI151" s="401"/>
      <c r="AJ151" s="402"/>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1"/>
      <c r="T152" s="402"/>
      <c r="U152" s="198"/>
      <c r="V152" s="219"/>
      <c r="W152" s="401"/>
      <c r="X152" s="402"/>
      <c r="Y152" s="198"/>
      <c r="Z152" s="219"/>
      <c r="AA152" s="401"/>
      <c r="AB152" s="402"/>
      <c r="AC152" s="198"/>
      <c r="AD152" s="219"/>
      <c r="AE152" s="401"/>
      <c r="AF152" s="402"/>
      <c r="AG152" s="198"/>
      <c r="AH152" s="219"/>
      <c r="AI152" s="401"/>
      <c r="AJ152" s="402"/>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1"/>
      <c r="T153" s="402"/>
      <c r="U153" s="198"/>
      <c r="V153" s="219"/>
      <c r="W153" s="401"/>
      <c r="X153" s="402"/>
      <c r="Y153" s="198"/>
      <c r="Z153" s="219"/>
      <c r="AA153" s="401"/>
      <c r="AB153" s="402"/>
      <c r="AC153" s="198"/>
      <c r="AD153" s="219"/>
      <c r="AE153" s="401"/>
      <c r="AF153" s="402"/>
      <c r="AG153" s="198"/>
      <c r="AH153" s="219"/>
      <c r="AI153" s="401"/>
      <c r="AJ153" s="402"/>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1"/>
      <c r="T154" s="402"/>
      <c r="U154" s="198"/>
      <c r="V154" s="219"/>
      <c r="W154" s="401"/>
      <c r="X154" s="402"/>
      <c r="Y154" s="198"/>
      <c r="Z154" s="219"/>
      <c r="AA154" s="401"/>
      <c r="AB154" s="402"/>
      <c r="AC154" s="198"/>
      <c r="AD154" s="219"/>
      <c r="AE154" s="401"/>
      <c r="AF154" s="402"/>
      <c r="AG154" s="198"/>
      <c r="AH154" s="219"/>
      <c r="AI154" s="401"/>
      <c r="AJ154" s="402"/>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1"/>
      <c r="T155" s="402"/>
      <c r="U155" s="198"/>
      <c r="V155" s="219"/>
      <c r="W155" s="401"/>
      <c r="X155" s="402"/>
      <c r="Y155" s="198"/>
      <c r="Z155" s="219"/>
      <c r="AA155" s="401"/>
      <c r="AB155" s="402"/>
      <c r="AC155" s="198"/>
      <c r="AD155" s="219"/>
      <c r="AE155" s="401"/>
      <c r="AF155" s="402"/>
      <c r="AG155" s="198"/>
      <c r="AH155" s="219"/>
      <c r="AI155" s="401"/>
      <c r="AJ155" s="402"/>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1"/>
      <c r="T156" s="402"/>
      <c r="U156" s="198"/>
      <c r="V156" s="219"/>
      <c r="W156" s="401"/>
      <c r="X156" s="402"/>
      <c r="Y156" s="198"/>
      <c r="Z156" s="219"/>
      <c r="AA156" s="401"/>
      <c r="AB156" s="402"/>
      <c r="AC156" s="198"/>
      <c r="AD156" s="219"/>
      <c r="AE156" s="401"/>
      <c r="AF156" s="402"/>
      <c r="AG156" s="198"/>
      <c r="AH156" s="219"/>
      <c r="AI156" s="401"/>
      <c r="AJ156" s="402"/>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1"/>
      <c r="T157" s="402"/>
      <c r="U157" s="198"/>
      <c r="V157" s="219"/>
      <c r="W157" s="401"/>
      <c r="X157" s="402"/>
      <c r="Y157" s="198"/>
      <c r="Z157" s="219"/>
      <c r="AA157" s="401"/>
      <c r="AB157" s="402"/>
      <c r="AC157" s="198"/>
      <c r="AD157" s="219"/>
      <c r="AE157" s="401"/>
      <c r="AF157" s="402"/>
      <c r="AG157" s="198"/>
      <c r="AH157" s="219"/>
      <c r="AI157" s="401"/>
      <c r="AJ157" s="402"/>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1"/>
      <c r="T158" s="402"/>
      <c r="U158" s="198"/>
      <c r="V158" s="219"/>
      <c r="W158" s="401"/>
      <c r="X158" s="402"/>
      <c r="Y158" s="198"/>
      <c r="Z158" s="219"/>
      <c r="AA158" s="401"/>
      <c r="AB158" s="402"/>
      <c r="AC158" s="198"/>
      <c r="AD158" s="219"/>
      <c r="AE158" s="401"/>
      <c r="AF158" s="402"/>
      <c r="AG158" s="198"/>
      <c r="AH158" s="219"/>
      <c r="AI158" s="401"/>
      <c r="AJ158" s="402"/>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1"/>
      <c r="T159" s="402"/>
      <c r="U159" s="198"/>
      <c r="V159" s="219"/>
      <c r="W159" s="401"/>
      <c r="X159" s="402"/>
      <c r="Y159" s="198"/>
      <c r="Z159" s="219"/>
      <c r="AA159" s="401"/>
      <c r="AB159" s="402"/>
      <c r="AC159" s="198"/>
      <c r="AD159" s="219"/>
      <c r="AE159" s="401"/>
      <c r="AF159" s="402"/>
      <c r="AG159" s="198"/>
      <c r="AH159" s="219"/>
      <c r="AI159" s="401"/>
      <c r="AJ159" s="402"/>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1"/>
      <c r="T160" s="402"/>
      <c r="U160" s="198"/>
      <c r="V160" s="219"/>
      <c r="W160" s="401"/>
      <c r="X160" s="402"/>
      <c r="Y160" s="198"/>
      <c r="Z160" s="219"/>
      <c r="AA160" s="401"/>
      <c r="AB160" s="402"/>
      <c r="AC160" s="198"/>
      <c r="AD160" s="219"/>
      <c r="AE160" s="401"/>
      <c r="AF160" s="402"/>
      <c r="AG160" s="198"/>
      <c r="AH160" s="219"/>
      <c r="AI160" s="401"/>
      <c r="AJ160" s="402"/>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1"/>
      <c r="T161" s="402"/>
      <c r="U161" s="198"/>
      <c r="V161" s="219"/>
      <c r="W161" s="401"/>
      <c r="X161" s="402"/>
      <c r="Y161" s="198"/>
      <c r="Z161" s="219"/>
      <c r="AA161" s="401"/>
      <c r="AB161" s="402"/>
      <c r="AC161" s="198"/>
      <c r="AD161" s="219"/>
      <c r="AE161" s="401"/>
      <c r="AF161" s="402"/>
      <c r="AG161" s="198"/>
      <c r="AH161" s="219"/>
      <c r="AI161" s="401"/>
      <c r="AJ161" s="402"/>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1"/>
      <c r="T162" s="402"/>
      <c r="U162" s="198"/>
      <c r="V162" s="219"/>
      <c r="W162" s="401"/>
      <c r="X162" s="402"/>
      <c r="Y162" s="198"/>
      <c r="Z162" s="219"/>
      <c r="AA162" s="401"/>
      <c r="AB162" s="402"/>
      <c r="AC162" s="198"/>
      <c r="AD162" s="219"/>
      <c r="AE162" s="401"/>
      <c r="AF162" s="402"/>
      <c r="AG162" s="198"/>
      <c r="AH162" s="219"/>
      <c r="AI162" s="401"/>
      <c r="AJ162" s="402"/>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1"/>
      <c r="T163" s="402"/>
      <c r="U163" s="198"/>
      <c r="V163" s="219"/>
      <c r="W163" s="401"/>
      <c r="X163" s="402"/>
      <c r="Y163" s="198"/>
      <c r="Z163" s="219"/>
      <c r="AA163" s="401"/>
      <c r="AB163" s="402"/>
      <c r="AC163" s="198"/>
      <c r="AD163" s="219"/>
      <c r="AE163" s="401"/>
      <c r="AF163" s="402"/>
      <c r="AG163" s="198"/>
      <c r="AH163" s="219"/>
      <c r="AI163" s="401"/>
      <c r="AJ163" s="402"/>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1"/>
      <c r="T164" s="402"/>
      <c r="U164" s="198"/>
      <c r="V164" s="219"/>
      <c r="W164" s="401"/>
      <c r="X164" s="402"/>
      <c r="Y164" s="198"/>
      <c r="Z164" s="219"/>
      <c r="AA164" s="401"/>
      <c r="AB164" s="402"/>
      <c r="AC164" s="198"/>
      <c r="AD164" s="219"/>
      <c r="AE164" s="401"/>
      <c r="AF164" s="402"/>
      <c r="AG164" s="198"/>
      <c r="AH164" s="219"/>
      <c r="AI164" s="401"/>
      <c r="AJ164" s="402"/>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1"/>
      <c r="T165" s="402"/>
      <c r="U165" s="198"/>
      <c r="V165" s="219"/>
      <c r="W165" s="401"/>
      <c r="X165" s="402"/>
      <c r="Y165" s="198"/>
      <c r="Z165" s="219"/>
      <c r="AA165" s="401"/>
      <c r="AB165" s="402"/>
      <c r="AC165" s="198"/>
      <c r="AD165" s="219"/>
      <c r="AE165" s="401"/>
      <c r="AF165" s="402"/>
      <c r="AG165" s="198"/>
      <c r="AH165" s="219"/>
      <c r="AI165" s="401"/>
      <c r="AJ165" s="402"/>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1"/>
      <c r="T166" s="402"/>
      <c r="U166" s="198"/>
      <c r="V166" s="219"/>
      <c r="W166" s="401"/>
      <c r="X166" s="402"/>
      <c r="Y166" s="198"/>
      <c r="Z166" s="219"/>
      <c r="AA166" s="401"/>
      <c r="AB166" s="402"/>
      <c r="AC166" s="198"/>
      <c r="AD166" s="219"/>
      <c r="AE166" s="401"/>
      <c r="AF166" s="402"/>
      <c r="AG166" s="198"/>
      <c r="AH166" s="219"/>
      <c r="AI166" s="401"/>
      <c r="AJ166" s="402"/>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1"/>
      <c r="T167" s="402"/>
      <c r="U167" s="198"/>
      <c r="V167" s="219"/>
      <c r="W167" s="401"/>
      <c r="X167" s="402"/>
      <c r="Y167" s="198"/>
      <c r="Z167" s="219"/>
      <c r="AA167" s="401"/>
      <c r="AB167" s="402"/>
      <c r="AC167" s="198"/>
      <c r="AD167" s="219"/>
      <c r="AE167" s="401"/>
      <c r="AF167" s="402"/>
      <c r="AG167" s="198"/>
      <c r="AH167" s="219"/>
      <c r="AI167" s="401"/>
      <c r="AJ167" s="402"/>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1"/>
      <c r="T168" s="402"/>
      <c r="U168" s="198"/>
      <c r="V168" s="219"/>
      <c r="W168" s="401"/>
      <c r="X168" s="402"/>
      <c r="Y168" s="198"/>
      <c r="Z168" s="219"/>
      <c r="AA168" s="401"/>
      <c r="AB168" s="402"/>
      <c r="AC168" s="198"/>
      <c r="AD168" s="219"/>
      <c r="AE168" s="401"/>
      <c r="AF168" s="402"/>
      <c r="AG168" s="198"/>
      <c r="AH168" s="219"/>
      <c r="AI168" s="401"/>
      <c r="AJ168" s="402"/>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1"/>
      <c r="T169" s="402"/>
      <c r="U169" s="198"/>
      <c r="V169" s="219"/>
      <c r="W169" s="401"/>
      <c r="X169" s="402"/>
      <c r="Y169" s="198"/>
      <c r="Z169" s="219"/>
      <c r="AA169" s="401"/>
      <c r="AB169" s="402"/>
      <c r="AC169" s="198"/>
      <c r="AD169" s="219"/>
      <c r="AE169" s="401"/>
      <c r="AF169" s="402"/>
      <c r="AG169" s="198"/>
      <c r="AH169" s="219"/>
      <c r="AI169" s="401"/>
      <c r="AJ169" s="402"/>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1"/>
      <c r="T170" s="402"/>
      <c r="U170" s="198"/>
      <c r="V170" s="219"/>
      <c r="W170" s="401"/>
      <c r="X170" s="402"/>
      <c r="Y170" s="198"/>
      <c r="Z170" s="219"/>
      <c r="AA170" s="401"/>
      <c r="AB170" s="402"/>
      <c r="AC170" s="198"/>
      <c r="AD170" s="219"/>
      <c r="AE170" s="401"/>
      <c r="AF170" s="402"/>
      <c r="AG170" s="198"/>
      <c r="AH170" s="219"/>
      <c r="AI170" s="401"/>
      <c r="AJ170" s="402"/>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1"/>
      <c r="T171" s="402"/>
      <c r="U171" s="198"/>
      <c r="V171" s="219"/>
      <c r="W171" s="401"/>
      <c r="X171" s="402"/>
      <c r="Y171" s="198"/>
      <c r="Z171" s="219"/>
      <c r="AA171" s="401"/>
      <c r="AB171" s="402"/>
      <c r="AC171" s="198"/>
      <c r="AD171" s="219"/>
      <c r="AE171" s="401"/>
      <c r="AF171" s="402"/>
      <c r="AG171" s="198"/>
      <c r="AH171" s="219"/>
      <c r="AI171" s="401"/>
      <c r="AJ171" s="402"/>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1"/>
      <c r="T172" s="402"/>
      <c r="U172" s="198"/>
      <c r="V172" s="219"/>
      <c r="W172" s="401"/>
      <c r="X172" s="402"/>
      <c r="Y172" s="198"/>
      <c r="Z172" s="219"/>
      <c r="AA172" s="401"/>
      <c r="AB172" s="402"/>
      <c r="AC172" s="198"/>
      <c r="AD172" s="219"/>
      <c r="AE172" s="401"/>
      <c r="AF172" s="402"/>
      <c r="AG172" s="198"/>
      <c r="AH172" s="219"/>
      <c r="AI172" s="401"/>
      <c r="AJ172" s="402"/>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1"/>
      <c r="T173" s="402"/>
      <c r="U173" s="198"/>
      <c r="V173" s="219"/>
      <c r="W173" s="401"/>
      <c r="X173" s="402"/>
      <c r="Y173" s="198"/>
      <c r="Z173" s="219"/>
      <c r="AA173" s="401"/>
      <c r="AB173" s="402"/>
      <c r="AC173" s="198"/>
      <c r="AD173" s="219"/>
      <c r="AE173" s="401"/>
      <c r="AF173" s="402"/>
      <c r="AG173" s="198"/>
      <c r="AH173" s="219"/>
      <c r="AI173" s="401"/>
      <c r="AJ173" s="402"/>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1"/>
      <c r="T174" s="402"/>
      <c r="U174" s="198"/>
      <c r="V174" s="219"/>
      <c r="W174" s="401"/>
      <c r="X174" s="402"/>
      <c r="Y174" s="198"/>
      <c r="Z174" s="219"/>
      <c r="AA174" s="401"/>
      <c r="AB174" s="402"/>
      <c r="AC174" s="198"/>
      <c r="AD174" s="219"/>
      <c r="AE174" s="401"/>
      <c r="AF174" s="402"/>
      <c r="AG174" s="198"/>
      <c r="AH174" s="219"/>
      <c r="AI174" s="401"/>
      <c r="AJ174" s="402"/>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1"/>
      <c r="T175" s="402"/>
      <c r="U175" s="198"/>
      <c r="V175" s="219"/>
      <c r="W175" s="401"/>
      <c r="X175" s="402"/>
      <c r="Y175" s="198"/>
      <c r="Z175" s="219"/>
      <c r="AA175" s="401"/>
      <c r="AB175" s="402"/>
      <c r="AC175" s="198"/>
      <c r="AD175" s="219"/>
      <c r="AE175" s="401"/>
      <c r="AF175" s="402"/>
      <c r="AG175" s="198"/>
      <c r="AH175" s="219"/>
      <c r="AI175" s="401"/>
      <c r="AJ175" s="402"/>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1"/>
      <c r="T176" s="402"/>
      <c r="U176" s="198"/>
      <c r="V176" s="219"/>
      <c r="W176" s="401"/>
      <c r="X176" s="402"/>
      <c r="Y176" s="198"/>
      <c r="Z176" s="219"/>
      <c r="AA176" s="401"/>
      <c r="AB176" s="402"/>
      <c r="AC176" s="198"/>
      <c r="AD176" s="219"/>
      <c r="AE176" s="401"/>
      <c r="AF176" s="402"/>
      <c r="AG176" s="198"/>
      <c r="AH176" s="219"/>
      <c r="AI176" s="401"/>
      <c r="AJ176" s="402"/>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1"/>
      <c r="T177" s="402"/>
      <c r="U177" s="198"/>
      <c r="V177" s="219"/>
      <c r="W177" s="401"/>
      <c r="X177" s="402"/>
      <c r="Y177" s="198"/>
      <c r="Z177" s="219"/>
      <c r="AA177" s="401"/>
      <c r="AB177" s="402"/>
      <c r="AC177" s="198"/>
      <c r="AD177" s="219"/>
      <c r="AE177" s="401"/>
      <c r="AF177" s="402"/>
      <c r="AG177" s="198"/>
      <c r="AH177" s="219"/>
      <c r="AI177" s="401"/>
      <c r="AJ177" s="402"/>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1"/>
      <c r="T178" s="402"/>
      <c r="U178" s="198"/>
      <c r="V178" s="219"/>
      <c r="W178" s="401"/>
      <c r="X178" s="402"/>
      <c r="Y178" s="198"/>
      <c r="Z178" s="219"/>
      <c r="AA178" s="401"/>
      <c r="AB178" s="402"/>
      <c r="AC178" s="198"/>
      <c r="AD178" s="219"/>
      <c r="AE178" s="401"/>
      <c r="AF178" s="402"/>
      <c r="AG178" s="198"/>
      <c r="AH178" s="219"/>
      <c r="AI178" s="401"/>
      <c r="AJ178" s="402"/>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1"/>
      <c r="T179" s="402"/>
      <c r="U179" s="198"/>
      <c r="V179" s="219"/>
      <c r="W179" s="401"/>
      <c r="X179" s="402"/>
      <c r="Y179" s="198"/>
      <c r="Z179" s="219"/>
      <c r="AA179" s="401"/>
      <c r="AB179" s="402"/>
      <c r="AC179" s="198"/>
      <c r="AD179" s="219"/>
      <c r="AE179" s="401"/>
      <c r="AF179" s="402"/>
      <c r="AG179" s="198"/>
      <c r="AH179" s="219"/>
      <c r="AI179" s="401"/>
      <c r="AJ179" s="402"/>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1"/>
      <c r="T180" s="402"/>
      <c r="U180" s="198"/>
      <c r="V180" s="219"/>
      <c r="W180" s="401"/>
      <c r="X180" s="402"/>
      <c r="Y180" s="198"/>
      <c r="Z180" s="219"/>
      <c r="AA180" s="401"/>
      <c r="AB180" s="402"/>
      <c r="AC180" s="198"/>
      <c r="AD180" s="219"/>
      <c r="AE180" s="401"/>
      <c r="AF180" s="402"/>
      <c r="AG180" s="198"/>
      <c r="AH180" s="219"/>
      <c r="AI180" s="401"/>
      <c r="AJ180" s="402"/>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1"/>
      <c r="T181" s="402"/>
      <c r="U181" s="198"/>
      <c r="V181" s="219"/>
      <c r="W181" s="401"/>
      <c r="X181" s="402"/>
      <c r="Y181" s="198"/>
      <c r="Z181" s="219"/>
      <c r="AA181" s="401"/>
      <c r="AB181" s="402"/>
      <c r="AC181" s="198"/>
      <c r="AD181" s="219"/>
      <c r="AE181" s="401"/>
      <c r="AF181" s="402"/>
      <c r="AG181" s="198"/>
      <c r="AH181" s="219"/>
      <c r="AI181" s="401"/>
      <c r="AJ181" s="402"/>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1"/>
      <c r="T182" s="402"/>
      <c r="U182" s="198"/>
      <c r="V182" s="219"/>
      <c r="W182" s="401"/>
      <c r="X182" s="402"/>
      <c r="Y182" s="198"/>
      <c r="Z182" s="219"/>
      <c r="AA182" s="401"/>
      <c r="AB182" s="402"/>
      <c r="AC182" s="198"/>
      <c r="AD182" s="219"/>
      <c r="AE182" s="401"/>
      <c r="AF182" s="402"/>
      <c r="AG182" s="198"/>
      <c r="AH182" s="219"/>
      <c r="AI182" s="401"/>
      <c r="AJ182" s="402"/>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1"/>
      <c r="T183" s="402"/>
      <c r="U183" s="198"/>
      <c r="V183" s="219"/>
      <c r="W183" s="401"/>
      <c r="X183" s="402"/>
      <c r="Y183" s="198"/>
      <c r="Z183" s="219"/>
      <c r="AA183" s="401"/>
      <c r="AB183" s="402"/>
      <c r="AC183" s="198"/>
      <c r="AD183" s="219"/>
      <c r="AE183" s="401"/>
      <c r="AF183" s="402"/>
      <c r="AG183" s="198"/>
      <c r="AH183" s="219"/>
      <c r="AI183" s="401"/>
      <c r="AJ183" s="402"/>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1"/>
      <c r="T184" s="402"/>
      <c r="U184" s="198"/>
      <c r="V184" s="219"/>
      <c r="W184" s="401"/>
      <c r="X184" s="402"/>
      <c r="Y184" s="198"/>
      <c r="Z184" s="219"/>
      <c r="AA184" s="401"/>
      <c r="AB184" s="402"/>
      <c r="AC184" s="198"/>
      <c r="AD184" s="219"/>
      <c r="AE184" s="401"/>
      <c r="AF184" s="402"/>
      <c r="AG184" s="198"/>
      <c r="AH184" s="219"/>
      <c r="AI184" s="401"/>
      <c r="AJ184" s="402"/>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1"/>
      <c r="T185" s="402"/>
      <c r="U185" s="198"/>
      <c r="V185" s="219"/>
      <c r="W185" s="401"/>
      <c r="X185" s="402"/>
      <c r="Y185" s="198"/>
      <c r="Z185" s="219"/>
      <c r="AA185" s="401"/>
      <c r="AB185" s="402"/>
      <c r="AC185" s="198"/>
      <c r="AD185" s="219"/>
      <c r="AE185" s="401"/>
      <c r="AF185" s="402"/>
      <c r="AG185" s="198"/>
      <c r="AH185" s="219"/>
      <c r="AI185" s="401"/>
      <c r="AJ185" s="402"/>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1"/>
      <c r="T186" s="402"/>
      <c r="U186" s="198"/>
      <c r="V186" s="219"/>
      <c r="W186" s="401"/>
      <c r="X186" s="402"/>
      <c r="Y186" s="198"/>
      <c r="Z186" s="219"/>
      <c r="AA186" s="401"/>
      <c r="AB186" s="402"/>
      <c r="AC186" s="198"/>
      <c r="AD186" s="219"/>
      <c r="AE186" s="401"/>
      <c r="AF186" s="402"/>
      <c r="AG186" s="198"/>
      <c r="AH186" s="219"/>
      <c r="AI186" s="401"/>
      <c r="AJ186" s="402"/>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1"/>
      <c r="T187" s="402"/>
      <c r="U187" s="198"/>
      <c r="V187" s="219"/>
      <c r="W187" s="401"/>
      <c r="X187" s="402"/>
      <c r="Y187" s="198"/>
      <c r="Z187" s="219"/>
      <c r="AA187" s="401"/>
      <c r="AB187" s="402"/>
      <c r="AC187" s="198"/>
      <c r="AD187" s="219"/>
      <c r="AE187" s="401"/>
      <c r="AF187" s="402"/>
      <c r="AG187" s="198"/>
      <c r="AH187" s="219"/>
      <c r="AI187" s="401"/>
      <c r="AJ187" s="402"/>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1"/>
      <c r="T188" s="402"/>
      <c r="U188" s="198"/>
      <c r="V188" s="219"/>
      <c r="W188" s="401"/>
      <c r="X188" s="402"/>
      <c r="Y188" s="198"/>
      <c r="Z188" s="219"/>
      <c r="AA188" s="401"/>
      <c r="AB188" s="402"/>
      <c r="AC188" s="198"/>
      <c r="AD188" s="219"/>
      <c r="AE188" s="401"/>
      <c r="AF188" s="402"/>
      <c r="AG188" s="198"/>
      <c r="AH188" s="219"/>
      <c r="AI188" s="401"/>
      <c r="AJ188" s="402"/>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1"/>
      <c r="T189" s="402"/>
      <c r="U189" s="198"/>
      <c r="V189" s="219"/>
      <c r="W189" s="401"/>
      <c r="X189" s="402"/>
      <c r="Y189" s="198"/>
      <c r="Z189" s="219"/>
      <c r="AA189" s="401"/>
      <c r="AB189" s="402"/>
      <c r="AC189" s="198"/>
      <c r="AD189" s="219"/>
      <c r="AE189" s="401"/>
      <c r="AF189" s="402"/>
      <c r="AG189" s="198"/>
      <c r="AH189" s="219"/>
      <c r="AI189" s="401"/>
      <c r="AJ189" s="402"/>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1"/>
      <c r="T190" s="402"/>
      <c r="U190" s="198"/>
      <c r="V190" s="219"/>
      <c r="W190" s="401"/>
      <c r="X190" s="402"/>
      <c r="Y190" s="198"/>
      <c r="Z190" s="219"/>
      <c r="AA190" s="401"/>
      <c r="AB190" s="402"/>
      <c r="AC190" s="198"/>
      <c r="AD190" s="219"/>
      <c r="AE190" s="401"/>
      <c r="AF190" s="402"/>
      <c r="AG190" s="198"/>
      <c r="AH190" s="219"/>
      <c r="AI190" s="401"/>
      <c r="AJ190" s="402"/>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1"/>
      <c r="T191" s="402"/>
      <c r="U191" s="198"/>
      <c r="V191" s="219"/>
      <c r="W191" s="401"/>
      <c r="X191" s="402"/>
      <c r="Y191" s="198"/>
      <c r="Z191" s="219"/>
      <c r="AA191" s="401"/>
      <c r="AB191" s="402"/>
      <c r="AC191" s="198"/>
      <c r="AD191" s="219"/>
      <c r="AE191" s="401"/>
      <c r="AF191" s="402"/>
      <c r="AG191" s="198"/>
      <c r="AH191" s="219"/>
      <c r="AI191" s="401"/>
      <c r="AJ191" s="402"/>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1"/>
      <c r="T192" s="402"/>
      <c r="U192" s="198"/>
      <c r="V192" s="219"/>
      <c r="W192" s="401"/>
      <c r="X192" s="402"/>
      <c r="Y192" s="198"/>
      <c r="Z192" s="219"/>
      <c r="AA192" s="401"/>
      <c r="AB192" s="402"/>
      <c r="AC192" s="198"/>
      <c r="AD192" s="219"/>
      <c r="AE192" s="401"/>
      <c r="AF192" s="402"/>
      <c r="AG192" s="198"/>
      <c r="AH192" s="219"/>
      <c r="AI192" s="401"/>
      <c r="AJ192" s="402"/>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1"/>
      <c r="T193" s="402"/>
      <c r="U193" s="198"/>
      <c r="V193" s="219"/>
      <c r="W193" s="401"/>
      <c r="X193" s="402"/>
      <c r="Y193" s="198"/>
      <c r="Z193" s="219"/>
      <c r="AA193" s="401"/>
      <c r="AB193" s="402"/>
      <c r="AC193" s="198"/>
      <c r="AD193" s="219"/>
      <c r="AE193" s="401"/>
      <c r="AF193" s="402"/>
      <c r="AG193" s="198"/>
      <c r="AH193" s="219"/>
      <c r="AI193" s="401"/>
      <c r="AJ193" s="402"/>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1"/>
      <c r="T194" s="402"/>
      <c r="U194" s="198"/>
      <c r="V194" s="219"/>
      <c r="W194" s="401"/>
      <c r="X194" s="402"/>
      <c r="Y194" s="198"/>
      <c r="Z194" s="219"/>
      <c r="AA194" s="401"/>
      <c r="AB194" s="402"/>
      <c r="AC194" s="198"/>
      <c r="AD194" s="219"/>
      <c r="AE194" s="401"/>
      <c r="AF194" s="402"/>
      <c r="AG194" s="198"/>
      <c r="AH194" s="219"/>
      <c r="AI194" s="401"/>
      <c r="AJ194" s="402"/>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1"/>
      <c r="T195" s="402"/>
      <c r="U195" s="198"/>
      <c r="V195" s="219"/>
      <c r="W195" s="401"/>
      <c r="X195" s="402"/>
      <c r="Y195" s="198"/>
      <c r="Z195" s="219"/>
      <c r="AA195" s="401"/>
      <c r="AB195" s="402"/>
      <c r="AC195" s="198"/>
      <c r="AD195" s="219"/>
      <c r="AE195" s="401"/>
      <c r="AF195" s="402"/>
      <c r="AG195" s="198"/>
      <c r="AH195" s="219"/>
      <c r="AI195" s="401"/>
      <c r="AJ195" s="402"/>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1"/>
      <c r="T196" s="402"/>
      <c r="U196" s="198"/>
      <c r="V196" s="219"/>
      <c r="W196" s="401"/>
      <c r="X196" s="402"/>
      <c r="Y196" s="198"/>
      <c r="Z196" s="219"/>
      <c r="AA196" s="401"/>
      <c r="AB196" s="402"/>
      <c r="AC196" s="198"/>
      <c r="AD196" s="219"/>
      <c r="AE196" s="401"/>
      <c r="AF196" s="402"/>
      <c r="AG196" s="198"/>
      <c r="AH196" s="219"/>
      <c r="AI196" s="401"/>
      <c r="AJ196" s="402"/>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1"/>
      <c r="T197" s="402"/>
      <c r="U197" s="198"/>
      <c r="V197" s="219"/>
      <c r="W197" s="401"/>
      <c r="X197" s="402"/>
      <c r="Y197" s="198"/>
      <c r="Z197" s="219"/>
      <c r="AA197" s="401"/>
      <c r="AB197" s="402"/>
      <c r="AC197" s="198"/>
      <c r="AD197" s="219"/>
      <c r="AE197" s="401"/>
      <c r="AF197" s="402"/>
      <c r="AG197" s="198"/>
      <c r="AH197" s="219"/>
      <c r="AI197" s="401"/>
      <c r="AJ197" s="402"/>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1"/>
      <c r="T198" s="402"/>
      <c r="U198" s="198"/>
      <c r="V198" s="219"/>
      <c r="W198" s="401"/>
      <c r="X198" s="402"/>
      <c r="Y198" s="198"/>
      <c r="Z198" s="219"/>
      <c r="AA198" s="401"/>
      <c r="AB198" s="402"/>
      <c r="AC198" s="198"/>
      <c r="AD198" s="219"/>
      <c r="AE198" s="401"/>
      <c r="AF198" s="402"/>
      <c r="AG198" s="198"/>
      <c r="AH198" s="219"/>
      <c r="AI198" s="401"/>
      <c r="AJ198" s="402"/>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1"/>
      <c r="T199" s="402"/>
      <c r="U199" s="198"/>
      <c r="V199" s="219"/>
      <c r="W199" s="401"/>
      <c r="X199" s="402"/>
      <c r="Y199" s="198"/>
      <c r="Z199" s="219"/>
      <c r="AA199" s="401"/>
      <c r="AB199" s="402"/>
      <c r="AC199" s="198"/>
      <c r="AD199" s="219"/>
      <c r="AE199" s="401"/>
      <c r="AF199" s="402"/>
      <c r="AG199" s="198"/>
      <c r="AH199" s="219"/>
      <c r="AI199" s="401"/>
      <c r="AJ199" s="402"/>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1"/>
      <c r="T200" s="402"/>
      <c r="U200" s="198"/>
      <c r="V200" s="219"/>
      <c r="W200" s="401"/>
      <c r="X200" s="402"/>
      <c r="Y200" s="198"/>
      <c r="Z200" s="219"/>
      <c r="AA200" s="401"/>
      <c r="AB200" s="402"/>
      <c r="AC200" s="198"/>
      <c r="AD200" s="219"/>
      <c r="AE200" s="401"/>
      <c r="AF200" s="402"/>
      <c r="AG200" s="198"/>
      <c r="AH200" s="219"/>
      <c r="AI200" s="401"/>
      <c r="AJ200" s="402"/>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1"/>
      <c r="T201" s="402"/>
      <c r="U201" s="198"/>
      <c r="V201" s="219"/>
      <c r="W201" s="401"/>
      <c r="X201" s="402"/>
      <c r="Y201" s="198"/>
      <c r="Z201" s="219"/>
      <c r="AA201" s="401"/>
      <c r="AB201" s="402"/>
      <c r="AC201" s="198"/>
      <c r="AD201" s="219"/>
      <c r="AE201" s="401"/>
      <c r="AF201" s="402"/>
      <c r="AG201" s="198"/>
      <c r="AH201" s="219"/>
      <c r="AI201" s="401"/>
      <c r="AJ201" s="402"/>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1"/>
      <c r="T202" s="402"/>
      <c r="U202" s="198"/>
      <c r="V202" s="219"/>
      <c r="W202" s="401"/>
      <c r="X202" s="402"/>
      <c r="Y202" s="198"/>
      <c r="Z202" s="219"/>
      <c r="AA202" s="401"/>
      <c r="AB202" s="402"/>
      <c r="AC202" s="198"/>
      <c r="AD202" s="219"/>
      <c r="AE202" s="401"/>
      <c r="AF202" s="402"/>
      <c r="AG202" s="198"/>
      <c r="AH202" s="219"/>
      <c r="AI202" s="401"/>
      <c r="AJ202" s="402"/>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1"/>
      <c r="T203" s="402"/>
      <c r="U203" s="198"/>
      <c r="V203" s="219"/>
      <c r="W203" s="401"/>
      <c r="X203" s="402"/>
      <c r="Y203" s="198"/>
      <c r="Z203" s="219"/>
      <c r="AA203" s="401"/>
      <c r="AB203" s="402"/>
      <c r="AC203" s="198"/>
      <c r="AD203" s="219"/>
      <c r="AE203" s="401"/>
      <c r="AF203" s="402"/>
      <c r="AG203" s="198"/>
      <c r="AH203" s="219"/>
      <c r="AI203" s="401"/>
      <c r="AJ203" s="402"/>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1"/>
      <c r="T204" s="402"/>
      <c r="U204" s="198"/>
      <c r="V204" s="219"/>
      <c r="W204" s="401"/>
      <c r="X204" s="402"/>
      <c r="Y204" s="198"/>
      <c r="Z204" s="219"/>
      <c r="AA204" s="401"/>
      <c r="AB204" s="402"/>
      <c r="AC204" s="198"/>
      <c r="AD204" s="219"/>
      <c r="AE204" s="401"/>
      <c r="AF204" s="402"/>
      <c r="AG204" s="198"/>
      <c r="AH204" s="219"/>
      <c r="AI204" s="401"/>
      <c r="AJ204" s="402"/>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1"/>
      <c r="T205" s="402"/>
      <c r="U205" s="198"/>
      <c r="V205" s="219"/>
      <c r="W205" s="401"/>
      <c r="X205" s="402"/>
      <c r="Y205" s="198"/>
      <c r="Z205" s="219"/>
      <c r="AA205" s="401"/>
      <c r="AB205" s="402"/>
      <c r="AC205" s="198"/>
      <c r="AD205" s="219"/>
      <c r="AE205" s="401"/>
      <c r="AF205" s="402"/>
      <c r="AG205" s="198"/>
      <c r="AH205" s="219"/>
      <c r="AI205" s="401"/>
      <c r="AJ205" s="402"/>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1"/>
      <c r="T206" s="402"/>
      <c r="U206" s="198"/>
      <c r="V206" s="219"/>
      <c r="W206" s="401"/>
      <c r="X206" s="402"/>
      <c r="Y206" s="198"/>
      <c r="Z206" s="219"/>
      <c r="AA206" s="401"/>
      <c r="AB206" s="402"/>
      <c r="AC206" s="198"/>
      <c r="AD206" s="219"/>
      <c r="AE206" s="401"/>
      <c r="AF206" s="402"/>
      <c r="AG206" s="198"/>
      <c r="AH206" s="219"/>
      <c r="AI206" s="401"/>
      <c r="AJ206" s="402"/>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1"/>
      <c r="T207" s="402"/>
      <c r="U207" s="198"/>
      <c r="V207" s="219"/>
      <c r="W207" s="401"/>
      <c r="X207" s="402"/>
      <c r="Y207" s="198"/>
      <c r="Z207" s="219"/>
      <c r="AA207" s="401"/>
      <c r="AB207" s="402"/>
      <c r="AC207" s="198"/>
      <c r="AD207" s="219"/>
      <c r="AE207" s="401"/>
      <c r="AF207" s="402"/>
      <c r="AG207" s="198"/>
      <c r="AH207" s="219"/>
      <c r="AI207" s="401"/>
      <c r="AJ207" s="402"/>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1"/>
      <c r="T208" s="402"/>
      <c r="U208" s="198"/>
      <c r="V208" s="219"/>
      <c r="W208" s="401"/>
      <c r="X208" s="402"/>
      <c r="Y208" s="198"/>
      <c r="Z208" s="219"/>
      <c r="AA208" s="401"/>
      <c r="AB208" s="402"/>
      <c r="AC208" s="198"/>
      <c r="AD208" s="219"/>
      <c r="AE208" s="401"/>
      <c r="AF208" s="402"/>
      <c r="AG208" s="198"/>
      <c r="AH208" s="219"/>
      <c r="AI208" s="401"/>
      <c r="AJ208" s="402"/>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1"/>
      <c r="T209" s="402"/>
      <c r="U209" s="198"/>
      <c r="V209" s="219"/>
      <c r="W209" s="401"/>
      <c r="X209" s="402"/>
      <c r="Y209" s="198"/>
      <c r="Z209" s="219"/>
      <c r="AA209" s="401"/>
      <c r="AB209" s="402"/>
      <c r="AC209" s="198"/>
      <c r="AD209" s="219"/>
      <c r="AE209" s="401"/>
      <c r="AF209" s="402"/>
      <c r="AG209" s="198"/>
      <c r="AH209" s="219"/>
      <c r="AI209" s="401"/>
      <c r="AJ209" s="402"/>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1"/>
      <c r="T210" s="402"/>
      <c r="U210" s="198"/>
      <c r="V210" s="219"/>
      <c r="W210" s="401"/>
      <c r="X210" s="402"/>
      <c r="Y210" s="198"/>
      <c r="Z210" s="219"/>
      <c r="AA210" s="401"/>
      <c r="AB210" s="402"/>
      <c r="AC210" s="198"/>
      <c r="AD210" s="219"/>
      <c r="AE210" s="401"/>
      <c r="AF210" s="402"/>
      <c r="AG210" s="198"/>
      <c r="AH210" s="219"/>
      <c r="AI210" s="401"/>
      <c r="AJ210" s="402"/>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1"/>
      <c r="T211" s="402"/>
      <c r="U211" s="198"/>
      <c r="V211" s="219"/>
      <c r="W211" s="401"/>
      <c r="X211" s="402"/>
      <c r="Y211" s="198"/>
      <c r="Z211" s="219"/>
      <c r="AA211" s="401"/>
      <c r="AB211" s="402"/>
      <c r="AC211" s="198"/>
      <c r="AD211" s="219"/>
      <c r="AE211" s="401"/>
      <c r="AF211" s="402"/>
      <c r="AG211" s="198"/>
      <c r="AH211" s="219"/>
      <c r="AI211" s="401"/>
      <c r="AJ211" s="402"/>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1"/>
      <c r="T212" s="402"/>
      <c r="U212" s="198"/>
      <c r="V212" s="219"/>
      <c r="W212" s="401"/>
      <c r="X212" s="402"/>
      <c r="Y212" s="198"/>
      <c r="Z212" s="219"/>
      <c r="AA212" s="401"/>
      <c r="AB212" s="402"/>
      <c r="AC212" s="198"/>
      <c r="AD212" s="219"/>
      <c r="AE212" s="401"/>
      <c r="AF212" s="402"/>
      <c r="AG212" s="198"/>
      <c r="AH212" s="219"/>
      <c r="AI212" s="401"/>
      <c r="AJ212" s="402"/>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1"/>
      <c r="T213" s="402"/>
      <c r="U213" s="198"/>
      <c r="V213" s="219"/>
      <c r="W213" s="401"/>
      <c r="X213" s="402"/>
      <c r="Y213" s="198"/>
      <c r="Z213" s="219"/>
      <c r="AA213" s="401"/>
      <c r="AB213" s="402"/>
      <c r="AC213" s="198"/>
      <c r="AD213" s="219"/>
      <c r="AE213" s="401"/>
      <c r="AF213" s="402"/>
      <c r="AG213" s="198"/>
      <c r="AH213" s="219"/>
      <c r="AI213" s="401"/>
      <c r="AJ213" s="402"/>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1"/>
      <c r="T214" s="402"/>
      <c r="U214" s="198"/>
      <c r="V214" s="219"/>
      <c r="W214" s="401"/>
      <c r="X214" s="402"/>
      <c r="Y214" s="198"/>
      <c r="Z214" s="219"/>
      <c r="AA214" s="401"/>
      <c r="AB214" s="402"/>
      <c r="AC214" s="198"/>
      <c r="AD214" s="219"/>
      <c r="AE214" s="401"/>
      <c r="AF214" s="402"/>
      <c r="AG214" s="198"/>
      <c r="AH214" s="219"/>
      <c r="AI214" s="401"/>
      <c r="AJ214" s="402"/>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1"/>
      <c r="T215" s="402"/>
      <c r="U215" s="198"/>
      <c r="V215" s="219"/>
      <c r="W215" s="401"/>
      <c r="X215" s="402"/>
      <c r="Y215" s="198"/>
      <c r="Z215" s="219"/>
      <c r="AA215" s="401"/>
      <c r="AB215" s="402"/>
      <c r="AC215" s="198"/>
      <c r="AD215" s="219"/>
      <c r="AE215" s="401"/>
      <c r="AF215" s="402"/>
      <c r="AG215" s="198"/>
      <c r="AH215" s="219"/>
      <c r="AI215" s="401"/>
      <c r="AJ215" s="402"/>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1"/>
      <c r="T216" s="402"/>
      <c r="U216" s="198"/>
      <c r="V216" s="219"/>
      <c r="W216" s="401"/>
      <c r="X216" s="402"/>
      <c r="Y216" s="198"/>
      <c r="Z216" s="219"/>
      <c r="AA216" s="401"/>
      <c r="AB216" s="402"/>
      <c r="AC216" s="198"/>
      <c r="AD216" s="219"/>
      <c r="AE216" s="401"/>
      <c r="AF216" s="402"/>
      <c r="AG216" s="198"/>
      <c r="AH216" s="219"/>
      <c r="AI216" s="401"/>
      <c r="AJ216" s="402"/>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1"/>
      <c r="T217" s="402"/>
      <c r="U217" s="198"/>
      <c r="V217" s="219"/>
      <c r="W217" s="401"/>
      <c r="X217" s="402"/>
      <c r="Y217" s="198"/>
      <c r="Z217" s="219"/>
      <c r="AA217" s="401"/>
      <c r="AB217" s="402"/>
      <c r="AC217" s="198"/>
      <c r="AD217" s="219"/>
      <c r="AE217" s="401"/>
      <c r="AF217" s="402"/>
      <c r="AG217" s="198"/>
      <c r="AH217" s="219"/>
      <c r="AI217" s="401"/>
      <c r="AJ217" s="402"/>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1"/>
      <c r="T218" s="402"/>
      <c r="U218" s="198"/>
      <c r="V218" s="219"/>
      <c r="W218" s="401"/>
      <c r="X218" s="402"/>
      <c r="Y218" s="198"/>
      <c r="Z218" s="219"/>
      <c r="AA218" s="401"/>
      <c r="AB218" s="402"/>
      <c r="AC218" s="198"/>
      <c r="AD218" s="219"/>
      <c r="AE218" s="401"/>
      <c r="AF218" s="402"/>
      <c r="AG218" s="198"/>
      <c r="AH218" s="219"/>
      <c r="AI218" s="401"/>
      <c r="AJ218" s="402"/>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1"/>
      <c r="T219" s="402"/>
      <c r="U219" s="198"/>
      <c r="V219" s="219"/>
      <c r="W219" s="401"/>
      <c r="X219" s="402"/>
      <c r="Y219" s="198"/>
      <c r="Z219" s="219"/>
      <c r="AA219" s="401"/>
      <c r="AB219" s="402"/>
      <c r="AC219" s="198"/>
      <c r="AD219" s="219"/>
      <c r="AE219" s="401"/>
      <c r="AF219" s="402"/>
      <c r="AG219" s="198"/>
      <c r="AH219" s="219"/>
      <c r="AI219" s="401"/>
      <c r="AJ219" s="402"/>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1"/>
      <c r="T220" s="402"/>
      <c r="U220" s="198"/>
      <c r="V220" s="219"/>
      <c r="W220" s="401"/>
      <c r="X220" s="402"/>
      <c r="Y220" s="198"/>
      <c r="Z220" s="219"/>
      <c r="AA220" s="401"/>
      <c r="AB220" s="402"/>
      <c r="AC220" s="198"/>
      <c r="AD220" s="219"/>
      <c r="AE220" s="401"/>
      <c r="AF220" s="402"/>
      <c r="AG220" s="198"/>
      <c r="AH220" s="219"/>
      <c r="AI220" s="401"/>
      <c r="AJ220" s="402"/>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1"/>
      <c r="T221" s="402"/>
      <c r="U221" s="198"/>
      <c r="V221" s="219"/>
      <c r="W221" s="401"/>
      <c r="X221" s="402"/>
      <c r="Y221" s="198"/>
      <c r="Z221" s="219"/>
      <c r="AA221" s="401"/>
      <c r="AB221" s="402"/>
      <c r="AC221" s="198"/>
      <c r="AD221" s="219"/>
      <c r="AE221" s="401"/>
      <c r="AF221" s="402"/>
      <c r="AG221" s="198"/>
      <c r="AH221" s="219"/>
      <c r="AI221" s="401"/>
      <c r="AJ221" s="402"/>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1"/>
      <c r="T222" s="402"/>
      <c r="U222" s="198"/>
      <c r="V222" s="219"/>
      <c r="W222" s="401"/>
      <c r="X222" s="402"/>
      <c r="Y222" s="198"/>
      <c r="Z222" s="219"/>
      <c r="AA222" s="401"/>
      <c r="AB222" s="402"/>
      <c r="AC222" s="198"/>
      <c r="AD222" s="219"/>
      <c r="AE222" s="401"/>
      <c r="AF222" s="402"/>
      <c r="AG222" s="198"/>
      <c r="AH222" s="219"/>
      <c r="AI222" s="401"/>
      <c r="AJ222" s="402"/>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1"/>
      <c r="T223" s="402"/>
      <c r="U223" s="198"/>
      <c r="V223" s="219"/>
      <c r="W223" s="401"/>
      <c r="X223" s="402"/>
      <c r="Y223" s="198"/>
      <c r="Z223" s="219"/>
      <c r="AA223" s="401"/>
      <c r="AB223" s="402"/>
      <c r="AC223" s="198"/>
      <c r="AD223" s="219"/>
      <c r="AE223" s="401"/>
      <c r="AF223" s="402"/>
      <c r="AG223" s="198"/>
      <c r="AH223" s="219"/>
      <c r="AI223" s="401"/>
      <c r="AJ223" s="402"/>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1"/>
      <c r="T224" s="402"/>
      <c r="U224" s="198"/>
      <c r="V224" s="219"/>
      <c r="W224" s="401"/>
      <c r="X224" s="402"/>
      <c r="Y224" s="198"/>
      <c r="Z224" s="219"/>
      <c r="AA224" s="401"/>
      <c r="AB224" s="402"/>
      <c r="AC224" s="198"/>
      <c r="AD224" s="219"/>
      <c r="AE224" s="401"/>
      <c r="AF224" s="402"/>
      <c r="AG224" s="198"/>
      <c r="AH224" s="219"/>
      <c r="AI224" s="401"/>
      <c r="AJ224" s="402"/>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1"/>
      <c r="T225" s="402"/>
      <c r="U225" s="198"/>
      <c r="V225" s="219"/>
      <c r="W225" s="401"/>
      <c r="X225" s="402"/>
      <c r="Y225" s="198"/>
      <c r="Z225" s="219"/>
      <c r="AA225" s="401"/>
      <c r="AB225" s="402"/>
      <c r="AC225" s="198"/>
      <c r="AD225" s="219"/>
      <c r="AE225" s="401"/>
      <c r="AF225" s="402"/>
      <c r="AG225" s="198"/>
      <c r="AH225" s="219"/>
      <c r="AI225" s="401"/>
      <c r="AJ225" s="402"/>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1"/>
      <c r="T226" s="402"/>
      <c r="U226" s="198"/>
      <c r="V226" s="219"/>
      <c r="W226" s="401"/>
      <c r="X226" s="402"/>
      <c r="Y226" s="198"/>
      <c r="Z226" s="219"/>
      <c r="AA226" s="401"/>
      <c r="AB226" s="402"/>
      <c r="AC226" s="198"/>
      <c r="AD226" s="219"/>
      <c r="AE226" s="401"/>
      <c r="AF226" s="402"/>
      <c r="AG226" s="198"/>
      <c r="AH226" s="219"/>
      <c r="AI226" s="401"/>
      <c r="AJ226" s="402"/>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1"/>
      <c r="T227" s="402"/>
      <c r="U227" s="198"/>
      <c r="V227" s="219"/>
      <c r="W227" s="401"/>
      <c r="X227" s="402"/>
      <c r="Y227" s="198"/>
      <c r="Z227" s="219"/>
      <c r="AA227" s="401"/>
      <c r="AB227" s="402"/>
      <c r="AC227" s="198"/>
      <c r="AD227" s="219"/>
      <c r="AE227" s="401"/>
      <c r="AF227" s="402"/>
      <c r="AG227" s="198"/>
      <c r="AH227" s="219"/>
      <c r="AI227" s="401"/>
      <c r="AJ227" s="402"/>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1"/>
      <c r="T228" s="402"/>
      <c r="U228" s="198"/>
      <c r="V228" s="219"/>
      <c r="W228" s="401"/>
      <c r="X228" s="402"/>
      <c r="Y228" s="198"/>
      <c r="Z228" s="219"/>
      <c r="AA228" s="401"/>
      <c r="AB228" s="402"/>
      <c r="AC228" s="198"/>
      <c r="AD228" s="219"/>
      <c r="AE228" s="401"/>
      <c r="AF228" s="402"/>
      <c r="AG228" s="198"/>
      <c r="AH228" s="219"/>
      <c r="AI228" s="401"/>
      <c r="AJ228" s="402"/>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1"/>
      <c r="T229" s="402"/>
      <c r="U229" s="198"/>
      <c r="V229" s="219"/>
      <c r="W229" s="401"/>
      <c r="X229" s="402"/>
      <c r="Y229" s="198"/>
      <c r="Z229" s="219"/>
      <c r="AA229" s="401"/>
      <c r="AB229" s="402"/>
      <c r="AC229" s="198"/>
      <c r="AD229" s="219"/>
      <c r="AE229" s="401"/>
      <c r="AF229" s="402"/>
      <c r="AG229" s="198"/>
      <c r="AH229" s="219"/>
      <c r="AI229" s="401"/>
      <c r="AJ229" s="402"/>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1"/>
      <c r="T230" s="402"/>
      <c r="U230" s="198"/>
      <c r="V230" s="219"/>
      <c r="W230" s="401"/>
      <c r="X230" s="402"/>
      <c r="Y230" s="198"/>
      <c r="Z230" s="219"/>
      <c r="AA230" s="401"/>
      <c r="AB230" s="402"/>
      <c r="AC230" s="198"/>
      <c r="AD230" s="219"/>
      <c r="AE230" s="401"/>
      <c r="AF230" s="402"/>
      <c r="AG230" s="198"/>
      <c r="AH230" s="219"/>
      <c r="AI230" s="401"/>
      <c r="AJ230" s="402"/>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1"/>
      <c r="T231" s="402"/>
      <c r="U231" s="198"/>
      <c r="V231" s="219"/>
      <c r="W231" s="401"/>
      <c r="X231" s="402"/>
      <c r="Y231" s="198"/>
      <c r="Z231" s="219"/>
      <c r="AA231" s="401"/>
      <c r="AB231" s="402"/>
      <c r="AC231" s="198"/>
      <c r="AD231" s="219"/>
      <c r="AE231" s="401"/>
      <c r="AF231" s="402"/>
      <c r="AG231" s="198"/>
      <c r="AH231" s="219"/>
      <c r="AI231" s="401"/>
      <c r="AJ231" s="402"/>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1"/>
      <c r="T232" s="402"/>
      <c r="U232" s="198"/>
      <c r="V232" s="219"/>
      <c r="W232" s="401"/>
      <c r="X232" s="402"/>
      <c r="Y232" s="198"/>
      <c r="Z232" s="219"/>
      <c r="AA232" s="401"/>
      <c r="AB232" s="402"/>
      <c r="AC232" s="198"/>
      <c r="AD232" s="219"/>
      <c r="AE232" s="401"/>
      <c r="AF232" s="402"/>
      <c r="AG232" s="198"/>
      <c r="AH232" s="219"/>
      <c r="AI232" s="401"/>
      <c r="AJ232" s="402"/>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1"/>
      <c r="T233" s="402"/>
      <c r="U233" s="198"/>
      <c r="V233" s="219"/>
      <c r="W233" s="401"/>
      <c r="X233" s="402"/>
      <c r="Y233" s="198"/>
      <c r="Z233" s="219"/>
      <c r="AA233" s="401"/>
      <c r="AB233" s="402"/>
      <c r="AC233" s="198"/>
      <c r="AD233" s="219"/>
      <c r="AE233" s="401"/>
      <c r="AF233" s="402"/>
      <c r="AG233" s="198"/>
      <c r="AH233" s="219"/>
      <c r="AI233" s="401"/>
      <c r="AJ233" s="402"/>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1"/>
      <c r="T234" s="402"/>
      <c r="U234" s="198"/>
      <c r="V234" s="219"/>
      <c r="W234" s="401"/>
      <c r="X234" s="402"/>
      <c r="Y234" s="198"/>
      <c r="Z234" s="219"/>
      <c r="AA234" s="401"/>
      <c r="AB234" s="402"/>
      <c r="AC234" s="198"/>
      <c r="AD234" s="219"/>
      <c r="AE234" s="401"/>
      <c r="AF234" s="402"/>
      <c r="AG234" s="198"/>
      <c r="AH234" s="219"/>
      <c r="AI234" s="401"/>
      <c r="AJ234" s="402"/>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1"/>
      <c r="T235" s="402"/>
      <c r="U235" s="198"/>
      <c r="V235" s="219"/>
      <c r="W235" s="401"/>
      <c r="X235" s="402"/>
      <c r="Y235" s="198"/>
      <c r="Z235" s="219"/>
      <c r="AA235" s="401"/>
      <c r="AB235" s="402"/>
      <c r="AC235" s="198"/>
      <c r="AD235" s="219"/>
      <c r="AE235" s="401"/>
      <c r="AF235" s="402"/>
      <c r="AG235" s="198"/>
      <c r="AH235" s="219"/>
      <c r="AI235" s="401"/>
      <c r="AJ235" s="402"/>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1"/>
      <c r="T236" s="402"/>
      <c r="U236" s="198"/>
      <c r="V236" s="219"/>
      <c r="W236" s="401"/>
      <c r="X236" s="402"/>
      <c r="Y236" s="198"/>
      <c r="Z236" s="219"/>
      <c r="AA236" s="401"/>
      <c r="AB236" s="402"/>
      <c r="AC236" s="198"/>
      <c r="AD236" s="219"/>
      <c r="AE236" s="401"/>
      <c r="AF236" s="402"/>
      <c r="AG236" s="198"/>
      <c r="AH236" s="219"/>
      <c r="AI236" s="401"/>
      <c r="AJ236" s="402"/>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1"/>
      <c r="T237" s="402"/>
      <c r="U237" s="198"/>
      <c r="V237" s="219"/>
      <c r="W237" s="401"/>
      <c r="X237" s="402"/>
      <c r="Y237" s="198"/>
      <c r="Z237" s="219"/>
      <c r="AA237" s="401"/>
      <c r="AB237" s="402"/>
      <c r="AC237" s="198"/>
      <c r="AD237" s="219"/>
      <c r="AE237" s="401"/>
      <c r="AF237" s="402"/>
      <c r="AG237" s="198"/>
      <c r="AH237" s="219"/>
      <c r="AI237" s="401"/>
      <c r="AJ237" s="402"/>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1"/>
      <c r="T238" s="402"/>
      <c r="U238" s="198"/>
      <c r="V238" s="219"/>
      <c r="W238" s="401"/>
      <c r="X238" s="402"/>
      <c r="Y238" s="198"/>
      <c r="Z238" s="219"/>
      <c r="AA238" s="401"/>
      <c r="AB238" s="402"/>
      <c r="AC238" s="198"/>
      <c r="AD238" s="219"/>
      <c r="AE238" s="401"/>
      <c r="AF238" s="402"/>
      <c r="AG238" s="198"/>
      <c r="AH238" s="219"/>
      <c r="AI238" s="401"/>
      <c r="AJ238" s="402"/>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1"/>
      <c r="T239" s="402"/>
      <c r="U239" s="198"/>
      <c r="V239" s="219"/>
      <c r="W239" s="401"/>
      <c r="X239" s="402"/>
      <c r="Y239" s="198"/>
      <c r="Z239" s="219"/>
      <c r="AA239" s="401"/>
      <c r="AB239" s="402"/>
      <c r="AC239" s="198"/>
      <c r="AD239" s="219"/>
      <c r="AE239" s="401"/>
      <c r="AF239" s="402"/>
      <c r="AG239" s="198"/>
      <c r="AH239" s="219"/>
      <c r="AI239" s="401"/>
      <c r="AJ239" s="402"/>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1"/>
      <c r="T240" s="402"/>
      <c r="U240" s="198"/>
      <c r="V240" s="219"/>
      <c r="W240" s="401"/>
      <c r="X240" s="402"/>
      <c r="Y240" s="198"/>
      <c r="Z240" s="219"/>
      <c r="AA240" s="401"/>
      <c r="AB240" s="402"/>
      <c r="AC240" s="198"/>
      <c r="AD240" s="219"/>
      <c r="AE240" s="401"/>
      <c r="AF240" s="402"/>
      <c r="AG240" s="198"/>
      <c r="AH240" s="219"/>
      <c r="AI240" s="401"/>
      <c r="AJ240" s="402"/>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1"/>
      <c r="T241" s="402"/>
      <c r="U241" s="198"/>
      <c r="V241" s="219"/>
      <c r="W241" s="401"/>
      <c r="X241" s="402"/>
      <c r="Y241" s="198"/>
      <c r="Z241" s="219"/>
      <c r="AA241" s="401"/>
      <c r="AB241" s="402"/>
      <c r="AC241" s="198"/>
      <c r="AD241" s="219"/>
      <c r="AE241" s="401"/>
      <c r="AF241" s="402"/>
      <c r="AG241" s="198"/>
      <c r="AH241" s="219"/>
      <c r="AI241" s="401"/>
      <c r="AJ241" s="402"/>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1"/>
      <c r="T242" s="402"/>
      <c r="U242" s="198"/>
      <c r="V242" s="219"/>
      <c r="W242" s="401"/>
      <c r="X242" s="402"/>
      <c r="Y242" s="198"/>
      <c r="Z242" s="219"/>
      <c r="AA242" s="401"/>
      <c r="AB242" s="402"/>
      <c r="AC242" s="198"/>
      <c r="AD242" s="219"/>
      <c r="AE242" s="401"/>
      <c r="AF242" s="402"/>
      <c r="AG242" s="198"/>
      <c r="AH242" s="219"/>
      <c r="AI242" s="401"/>
      <c r="AJ242" s="402"/>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1"/>
      <c r="T243" s="402"/>
      <c r="U243" s="198"/>
      <c r="V243" s="219"/>
      <c r="W243" s="401"/>
      <c r="X243" s="402"/>
      <c r="Y243" s="198"/>
      <c r="Z243" s="219"/>
      <c r="AA243" s="401"/>
      <c r="AB243" s="402"/>
      <c r="AC243" s="198"/>
      <c r="AD243" s="219"/>
      <c r="AE243" s="401"/>
      <c r="AF243" s="402"/>
      <c r="AG243" s="198"/>
      <c r="AH243" s="219"/>
      <c r="AI243" s="401"/>
      <c r="AJ243" s="402"/>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1"/>
      <c r="T244" s="402"/>
      <c r="U244" s="198"/>
      <c r="V244" s="219"/>
      <c r="W244" s="401"/>
      <c r="X244" s="402"/>
      <c r="Y244" s="198"/>
      <c r="Z244" s="219"/>
      <c r="AA244" s="401"/>
      <c r="AB244" s="402"/>
      <c r="AC244" s="198"/>
      <c r="AD244" s="219"/>
      <c r="AE244" s="401"/>
      <c r="AF244" s="402"/>
      <c r="AG244" s="198"/>
      <c r="AH244" s="219"/>
      <c r="AI244" s="401"/>
      <c r="AJ244" s="402"/>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1"/>
      <c r="T245" s="402"/>
      <c r="U245" s="198"/>
      <c r="V245" s="219"/>
      <c r="W245" s="401"/>
      <c r="X245" s="402"/>
      <c r="Y245" s="198"/>
      <c r="Z245" s="219"/>
      <c r="AA245" s="401"/>
      <c r="AB245" s="402"/>
      <c r="AC245" s="198"/>
      <c r="AD245" s="219"/>
      <c r="AE245" s="401"/>
      <c r="AF245" s="402"/>
      <c r="AG245" s="198"/>
      <c r="AH245" s="219"/>
      <c r="AI245" s="401"/>
      <c r="AJ245" s="402"/>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1"/>
      <c r="T246" s="402"/>
      <c r="U246" s="198"/>
      <c r="V246" s="219"/>
      <c r="W246" s="401"/>
      <c r="X246" s="402"/>
      <c r="Y246" s="198"/>
      <c r="Z246" s="219"/>
      <c r="AA246" s="401"/>
      <c r="AB246" s="402"/>
      <c r="AC246" s="198"/>
      <c r="AD246" s="219"/>
      <c r="AE246" s="401"/>
      <c r="AF246" s="402"/>
      <c r="AG246" s="198"/>
      <c r="AH246" s="219"/>
      <c r="AI246" s="401"/>
      <c r="AJ246" s="402"/>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1"/>
      <c r="T247" s="402"/>
      <c r="U247" s="198"/>
      <c r="V247" s="219"/>
      <c r="W247" s="401"/>
      <c r="X247" s="402"/>
      <c r="Y247" s="198"/>
      <c r="Z247" s="219"/>
      <c r="AA247" s="401"/>
      <c r="AB247" s="402"/>
      <c r="AC247" s="198"/>
      <c r="AD247" s="219"/>
      <c r="AE247" s="401"/>
      <c r="AF247" s="402"/>
      <c r="AG247" s="198"/>
      <c r="AH247" s="219"/>
      <c r="AI247" s="401"/>
      <c r="AJ247" s="402"/>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1"/>
      <c r="T248" s="402"/>
      <c r="U248" s="198"/>
      <c r="V248" s="219"/>
      <c r="W248" s="401"/>
      <c r="X248" s="402"/>
      <c r="Y248" s="198"/>
      <c r="Z248" s="219"/>
      <c r="AA248" s="401"/>
      <c r="AB248" s="402"/>
      <c r="AC248" s="198"/>
      <c r="AD248" s="219"/>
      <c r="AE248" s="401"/>
      <c r="AF248" s="402"/>
      <c r="AG248" s="198"/>
      <c r="AH248" s="219"/>
      <c r="AI248" s="401"/>
      <c r="AJ248" s="402"/>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1"/>
      <c r="T249" s="402"/>
      <c r="U249" s="198"/>
      <c r="V249" s="219"/>
      <c r="W249" s="401"/>
      <c r="X249" s="402"/>
      <c r="Y249" s="198"/>
      <c r="Z249" s="219"/>
      <c r="AA249" s="401"/>
      <c r="AB249" s="402"/>
      <c r="AC249" s="198"/>
      <c r="AD249" s="219"/>
      <c r="AE249" s="401"/>
      <c r="AF249" s="402"/>
      <c r="AG249" s="198"/>
      <c r="AH249" s="219"/>
      <c r="AI249" s="401"/>
      <c r="AJ249" s="402"/>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1"/>
      <c r="T250" s="402"/>
      <c r="U250" s="198"/>
      <c r="V250" s="219"/>
      <c r="W250" s="401"/>
      <c r="X250" s="402"/>
      <c r="Y250" s="198"/>
      <c r="Z250" s="219"/>
      <c r="AA250" s="401"/>
      <c r="AB250" s="402"/>
      <c r="AC250" s="198"/>
      <c r="AD250" s="219"/>
      <c r="AE250" s="401"/>
      <c r="AF250" s="402"/>
      <c r="AG250" s="198"/>
      <c r="AH250" s="219"/>
      <c r="AI250" s="401"/>
      <c r="AJ250" s="402"/>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1"/>
      <c r="T251" s="402"/>
      <c r="U251" s="198"/>
      <c r="V251" s="219"/>
      <c r="W251" s="401"/>
      <c r="X251" s="402"/>
      <c r="Y251" s="198"/>
      <c r="Z251" s="219"/>
      <c r="AA251" s="401"/>
      <c r="AB251" s="402"/>
      <c r="AC251" s="198"/>
      <c r="AD251" s="219"/>
      <c r="AE251" s="401"/>
      <c r="AF251" s="402"/>
      <c r="AG251" s="198"/>
      <c r="AH251" s="219"/>
      <c r="AI251" s="401"/>
      <c r="AJ251" s="402"/>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1"/>
      <c r="T252" s="402"/>
      <c r="U252" s="198"/>
      <c r="V252" s="219"/>
      <c r="W252" s="401"/>
      <c r="X252" s="402"/>
      <c r="Y252" s="198"/>
      <c r="Z252" s="219"/>
      <c r="AA252" s="401"/>
      <c r="AB252" s="402"/>
      <c r="AC252" s="198"/>
      <c r="AD252" s="219"/>
      <c r="AE252" s="401"/>
      <c r="AF252" s="402"/>
      <c r="AG252" s="198"/>
      <c r="AH252" s="219"/>
      <c r="AI252" s="401"/>
      <c r="AJ252" s="402"/>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1"/>
      <c r="T253" s="402"/>
      <c r="U253" s="198"/>
      <c r="V253" s="219"/>
      <c r="W253" s="401"/>
      <c r="X253" s="402"/>
      <c r="Y253" s="198"/>
      <c r="Z253" s="219"/>
      <c r="AA253" s="401"/>
      <c r="AB253" s="402"/>
      <c r="AC253" s="198"/>
      <c r="AD253" s="219"/>
      <c r="AE253" s="401"/>
      <c r="AF253" s="402"/>
      <c r="AG253" s="198"/>
      <c r="AH253" s="219"/>
      <c r="AI253" s="401"/>
      <c r="AJ253" s="402"/>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1"/>
      <c r="T254" s="402"/>
      <c r="U254" s="198"/>
      <c r="V254" s="219"/>
      <c r="W254" s="401"/>
      <c r="X254" s="402"/>
      <c r="Y254" s="198"/>
      <c r="Z254" s="219"/>
      <c r="AA254" s="401"/>
      <c r="AB254" s="402"/>
      <c r="AC254" s="198"/>
      <c r="AD254" s="219"/>
      <c r="AE254" s="401"/>
      <c r="AF254" s="402"/>
      <c r="AG254" s="198"/>
      <c r="AH254" s="219"/>
      <c r="AI254" s="401"/>
      <c r="AJ254" s="402"/>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1"/>
      <c r="T255" s="402"/>
      <c r="U255" s="198"/>
      <c r="V255" s="219"/>
      <c r="W255" s="401"/>
      <c r="X255" s="402"/>
      <c r="Y255" s="198"/>
      <c r="Z255" s="219"/>
      <c r="AA255" s="401"/>
      <c r="AB255" s="402"/>
      <c r="AC255" s="198"/>
      <c r="AD255" s="219"/>
      <c r="AE255" s="401"/>
      <c r="AF255" s="402"/>
      <c r="AG255" s="198"/>
      <c r="AH255" s="219"/>
      <c r="AI255" s="401"/>
      <c r="AJ255" s="402"/>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1"/>
      <c r="T256" s="402"/>
      <c r="U256" s="198"/>
      <c r="V256" s="219"/>
      <c r="W256" s="401"/>
      <c r="X256" s="402"/>
      <c r="Y256" s="198"/>
      <c r="Z256" s="219"/>
      <c r="AA256" s="401"/>
      <c r="AB256" s="402"/>
      <c r="AC256" s="198"/>
      <c r="AD256" s="219"/>
      <c r="AE256" s="401"/>
      <c r="AF256" s="402"/>
      <c r="AG256" s="198"/>
      <c r="AH256" s="219"/>
      <c r="AI256" s="401"/>
      <c r="AJ256" s="402"/>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1"/>
      <c r="T257" s="402"/>
      <c r="U257" s="198"/>
      <c r="V257" s="219"/>
      <c r="W257" s="401"/>
      <c r="X257" s="402"/>
      <c r="Y257" s="198"/>
      <c r="Z257" s="219"/>
      <c r="AA257" s="401"/>
      <c r="AB257" s="402"/>
      <c r="AC257" s="198"/>
      <c r="AD257" s="219"/>
      <c r="AE257" s="401"/>
      <c r="AF257" s="402"/>
      <c r="AG257" s="198"/>
      <c r="AH257" s="219"/>
      <c r="AI257" s="401"/>
      <c r="AJ257" s="402"/>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1"/>
      <c r="T258" s="402"/>
      <c r="U258" s="198"/>
      <c r="V258" s="219"/>
      <c r="W258" s="401"/>
      <c r="X258" s="402"/>
      <c r="Y258" s="198"/>
      <c r="Z258" s="219"/>
      <c r="AA258" s="401"/>
      <c r="AB258" s="402"/>
      <c r="AC258" s="198"/>
      <c r="AD258" s="219"/>
      <c r="AE258" s="401"/>
      <c r="AF258" s="402"/>
      <c r="AG258" s="198"/>
      <c r="AH258" s="219"/>
      <c r="AI258" s="401"/>
      <c r="AJ258" s="402"/>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1"/>
      <c r="T259" s="402"/>
      <c r="U259" s="198"/>
      <c r="V259" s="219"/>
      <c r="W259" s="401"/>
      <c r="X259" s="402"/>
      <c r="Y259" s="198"/>
      <c r="Z259" s="219"/>
      <c r="AA259" s="401"/>
      <c r="AB259" s="402"/>
      <c r="AC259" s="198"/>
      <c r="AD259" s="219"/>
      <c r="AE259" s="401"/>
      <c r="AF259" s="402"/>
      <c r="AG259" s="198"/>
      <c r="AH259" s="219"/>
      <c r="AI259" s="401"/>
      <c r="AJ259" s="402"/>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1"/>
      <c r="T260" s="402"/>
      <c r="U260" s="198"/>
      <c r="V260" s="219"/>
      <c r="W260" s="401"/>
      <c r="X260" s="402"/>
      <c r="Y260" s="198"/>
      <c r="Z260" s="219"/>
      <c r="AA260" s="401"/>
      <c r="AB260" s="402"/>
      <c r="AC260" s="198"/>
      <c r="AD260" s="219"/>
      <c r="AE260" s="401"/>
      <c r="AF260" s="402"/>
      <c r="AG260" s="198"/>
      <c r="AH260" s="219"/>
      <c r="AI260" s="401"/>
      <c r="AJ260" s="402"/>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1"/>
      <c r="T261" s="402"/>
      <c r="U261" s="198"/>
      <c r="V261" s="219"/>
      <c r="W261" s="401"/>
      <c r="X261" s="402"/>
      <c r="Y261" s="198"/>
      <c r="Z261" s="219"/>
      <c r="AA261" s="401"/>
      <c r="AB261" s="402"/>
      <c r="AC261" s="198"/>
      <c r="AD261" s="219"/>
      <c r="AE261" s="401"/>
      <c r="AF261" s="402"/>
      <c r="AG261" s="198"/>
      <c r="AH261" s="219"/>
      <c r="AI261" s="401"/>
      <c r="AJ261" s="402"/>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1"/>
      <c r="T262" s="402"/>
      <c r="U262" s="198"/>
      <c r="V262" s="219"/>
      <c r="W262" s="401"/>
      <c r="X262" s="402"/>
      <c r="Y262" s="198"/>
      <c r="Z262" s="219"/>
      <c r="AA262" s="401"/>
      <c r="AB262" s="402"/>
      <c r="AC262" s="198"/>
      <c r="AD262" s="219"/>
      <c r="AE262" s="401"/>
      <c r="AF262" s="402"/>
      <c r="AG262" s="198"/>
      <c r="AH262" s="219"/>
      <c r="AI262" s="401"/>
      <c r="AJ262" s="402"/>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1"/>
      <c r="T263" s="402"/>
      <c r="U263" s="198"/>
      <c r="V263" s="219"/>
      <c r="W263" s="401"/>
      <c r="X263" s="402"/>
      <c r="Y263" s="198"/>
      <c r="Z263" s="219"/>
      <c r="AA263" s="401"/>
      <c r="AB263" s="402"/>
      <c r="AC263" s="198"/>
      <c r="AD263" s="219"/>
      <c r="AE263" s="401"/>
      <c r="AF263" s="402"/>
      <c r="AG263" s="198"/>
      <c r="AH263" s="219"/>
      <c r="AI263" s="401"/>
      <c r="AJ263" s="402"/>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1"/>
      <c r="T264" s="402"/>
      <c r="U264" s="198"/>
      <c r="V264" s="219"/>
      <c r="W264" s="401"/>
      <c r="X264" s="402"/>
      <c r="Y264" s="198"/>
      <c r="Z264" s="219"/>
      <c r="AA264" s="401"/>
      <c r="AB264" s="402"/>
      <c r="AC264" s="198"/>
      <c r="AD264" s="219"/>
      <c r="AE264" s="401"/>
      <c r="AF264" s="402"/>
      <c r="AG264" s="198"/>
      <c r="AH264" s="219"/>
      <c r="AI264" s="401"/>
      <c r="AJ264" s="402"/>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1"/>
      <c r="T265" s="402"/>
      <c r="U265" s="198"/>
      <c r="V265" s="219"/>
      <c r="W265" s="401"/>
      <c r="X265" s="402"/>
      <c r="Y265" s="198"/>
      <c r="Z265" s="219"/>
      <c r="AA265" s="401"/>
      <c r="AB265" s="402"/>
      <c r="AC265" s="198"/>
      <c r="AD265" s="219"/>
      <c r="AE265" s="401"/>
      <c r="AF265" s="402"/>
      <c r="AG265" s="198"/>
      <c r="AH265" s="219"/>
      <c r="AI265" s="401"/>
      <c r="AJ265" s="402"/>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1"/>
      <c r="T266" s="402"/>
      <c r="U266" s="198"/>
      <c r="V266" s="219"/>
      <c r="W266" s="401"/>
      <c r="X266" s="402"/>
      <c r="Y266" s="198"/>
      <c r="Z266" s="219"/>
      <c r="AA266" s="401"/>
      <c r="AB266" s="402"/>
      <c r="AC266" s="198"/>
      <c r="AD266" s="219"/>
      <c r="AE266" s="401"/>
      <c r="AF266" s="402"/>
      <c r="AG266" s="198"/>
      <c r="AH266" s="219"/>
      <c r="AI266" s="401"/>
      <c r="AJ266" s="402"/>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1"/>
      <c r="T267" s="402"/>
      <c r="U267" s="198"/>
      <c r="V267" s="219"/>
      <c r="W267" s="401"/>
      <c r="X267" s="402"/>
      <c r="Y267" s="198"/>
      <c r="Z267" s="219"/>
      <c r="AA267" s="401"/>
      <c r="AB267" s="402"/>
      <c r="AC267" s="198"/>
      <c r="AD267" s="219"/>
      <c r="AE267" s="401"/>
      <c r="AF267" s="402"/>
      <c r="AG267" s="198"/>
      <c r="AH267" s="219"/>
      <c r="AI267" s="401"/>
      <c r="AJ267" s="402"/>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1"/>
      <c r="T268" s="402"/>
      <c r="U268" s="198"/>
      <c r="V268" s="219"/>
      <c r="W268" s="401"/>
      <c r="X268" s="402"/>
      <c r="Y268" s="198"/>
      <c r="Z268" s="219"/>
      <c r="AA268" s="401"/>
      <c r="AB268" s="402"/>
      <c r="AC268" s="198"/>
      <c r="AD268" s="219"/>
      <c r="AE268" s="401"/>
      <c r="AF268" s="402"/>
      <c r="AG268" s="198"/>
      <c r="AH268" s="219"/>
      <c r="AI268" s="401"/>
      <c r="AJ268" s="402"/>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1"/>
      <c r="T269" s="402"/>
      <c r="U269" s="198"/>
      <c r="V269" s="219"/>
      <c r="W269" s="401"/>
      <c r="X269" s="402"/>
      <c r="Y269" s="198"/>
      <c r="Z269" s="219"/>
      <c r="AA269" s="401"/>
      <c r="AB269" s="402"/>
      <c r="AC269" s="198"/>
      <c r="AD269" s="219"/>
      <c r="AE269" s="401"/>
      <c r="AF269" s="402"/>
      <c r="AG269" s="198"/>
      <c r="AH269" s="219"/>
      <c r="AI269" s="401"/>
      <c r="AJ269" s="402"/>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1"/>
      <c r="T270" s="402"/>
      <c r="U270" s="198"/>
      <c r="V270" s="219"/>
      <c r="W270" s="401"/>
      <c r="X270" s="402"/>
      <c r="Y270" s="198"/>
      <c r="Z270" s="219"/>
      <c r="AA270" s="401"/>
      <c r="AB270" s="402"/>
      <c r="AC270" s="198"/>
      <c r="AD270" s="219"/>
      <c r="AE270" s="401"/>
      <c r="AF270" s="402"/>
      <c r="AG270" s="198"/>
      <c r="AH270" s="219"/>
      <c r="AI270" s="401"/>
      <c r="AJ270" s="402"/>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1"/>
      <c r="T271" s="402"/>
      <c r="U271" s="198"/>
      <c r="V271" s="219"/>
      <c r="W271" s="401"/>
      <c r="X271" s="402"/>
      <c r="Y271" s="198"/>
      <c r="Z271" s="219"/>
      <c r="AA271" s="401"/>
      <c r="AB271" s="402"/>
      <c r="AC271" s="198"/>
      <c r="AD271" s="219"/>
      <c r="AE271" s="401"/>
      <c r="AF271" s="402"/>
      <c r="AG271" s="198"/>
      <c r="AH271" s="219"/>
      <c r="AI271" s="401"/>
      <c r="AJ271" s="402"/>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1"/>
      <c r="T272" s="402"/>
      <c r="U272" s="198"/>
      <c r="V272" s="219"/>
      <c r="W272" s="401"/>
      <c r="X272" s="402"/>
      <c r="Y272" s="198"/>
      <c r="Z272" s="219"/>
      <c r="AA272" s="401"/>
      <c r="AB272" s="402"/>
      <c r="AC272" s="198"/>
      <c r="AD272" s="219"/>
      <c r="AE272" s="401"/>
      <c r="AF272" s="402"/>
      <c r="AG272" s="198"/>
      <c r="AH272" s="219"/>
      <c r="AI272" s="401"/>
      <c r="AJ272" s="402"/>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1"/>
      <c r="T273" s="402"/>
      <c r="U273" s="198"/>
      <c r="V273" s="219"/>
      <c r="W273" s="401"/>
      <c r="X273" s="402"/>
      <c r="Y273" s="198"/>
      <c r="Z273" s="219"/>
      <c r="AA273" s="401"/>
      <c r="AB273" s="402"/>
      <c r="AC273" s="198"/>
      <c r="AD273" s="219"/>
      <c r="AE273" s="401"/>
      <c r="AF273" s="402"/>
      <c r="AG273" s="198"/>
      <c r="AH273" s="219"/>
      <c r="AI273" s="401"/>
      <c r="AJ273" s="402"/>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1"/>
      <c r="T274" s="402"/>
      <c r="U274" s="198"/>
      <c r="V274" s="219"/>
      <c r="W274" s="401"/>
      <c r="X274" s="402"/>
      <c r="Y274" s="198"/>
      <c r="Z274" s="219"/>
      <c r="AA274" s="401"/>
      <c r="AB274" s="402"/>
      <c r="AC274" s="198"/>
      <c r="AD274" s="219"/>
      <c r="AE274" s="401"/>
      <c r="AF274" s="402"/>
      <c r="AG274" s="198"/>
      <c r="AH274" s="219"/>
      <c r="AI274" s="401"/>
      <c r="AJ274" s="402"/>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1"/>
      <c r="T275" s="402"/>
      <c r="U275" s="198"/>
      <c r="V275" s="219"/>
      <c r="W275" s="401"/>
      <c r="X275" s="402"/>
      <c r="Y275" s="198"/>
      <c r="Z275" s="219"/>
      <c r="AA275" s="401"/>
      <c r="AB275" s="402"/>
      <c r="AC275" s="198"/>
      <c r="AD275" s="219"/>
      <c r="AE275" s="401"/>
      <c r="AF275" s="402"/>
      <c r="AG275" s="198"/>
      <c r="AH275" s="219"/>
      <c r="AI275" s="401"/>
      <c r="AJ275" s="402"/>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1"/>
      <c r="T276" s="402"/>
      <c r="U276" s="198"/>
      <c r="V276" s="219"/>
      <c r="W276" s="401"/>
      <c r="X276" s="402"/>
      <c r="Y276" s="198"/>
      <c r="Z276" s="219"/>
      <c r="AA276" s="401"/>
      <c r="AB276" s="402"/>
      <c r="AC276" s="198"/>
      <c r="AD276" s="219"/>
      <c r="AE276" s="401"/>
      <c r="AF276" s="402"/>
      <c r="AG276" s="198"/>
      <c r="AH276" s="219"/>
      <c r="AI276" s="401"/>
      <c r="AJ276" s="402"/>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1"/>
      <c r="T277" s="402"/>
      <c r="U277" s="198"/>
      <c r="V277" s="219"/>
      <c r="W277" s="401"/>
      <c r="X277" s="402"/>
      <c r="Y277" s="198"/>
      <c r="Z277" s="219"/>
      <c r="AA277" s="401"/>
      <c r="AB277" s="402"/>
      <c r="AC277" s="198"/>
      <c r="AD277" s="219"/>
      <c r="AE277" s="401"/>
      <c r="AF277" s="402"/>
      <c r="AG277" s="198"/>
      <c r="AH277" s="219"/>
      <c r="AI277" s="401"/>
      <c r="AJ277" s="402"/>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1"/>
      <c r="T278" s="402"/>
      <c r="U278" s="198"/>
      <c r="V278" s="219"/>
      <c r="W278" s="401"/>
      <c r="X278" s="402"/>
      <c r="Y278" s="198"/>
      <c r="Z278" s="219"/>
      <c r="AA278" s="401"/>
      <c r="AB278" s="402"/>
      <c r="AC278" s="198"/>
      <c r="AD278" s="219"/>
      <c r="AE278" s="401"/>
      <c r="AF278" s="402"/>
      <c r="AG278" s="198"/>
      <c r="AH278" s="219"/>
      <c r="AI278" s="401"/>
      <c r="AJ278" s="402"/>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1"/>
      <c r="T279" s="402"/>
      <c r="U279" s="198"/>
      <c r="V279" s="219"/>
      <c r="W279" s="401"/>
      <c r="X279" s="402"/>
      <c r="Y279" s="198"/>
      <c r="Z279" s="219"/>
      <c r="AA279" s="401"/>
      <c r="AB279" s="402"/>
      <c r="AC279" s="198"/>
      <c r="AD279" s="219"/>
      <c r="AE279" s="401"/>
      <c r="AF279" s="402"/>
      <c r="AG279" s="198"/>
      <c r="AH279" s="219"/>
      <c r="AI279" s="401"/>
      <c r="AJ279" s="402"/>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1"/>
      <c r="T280" s="402"/>
      <c r="U280" s="198"/>
      <c r="V280" s="219"/>
      <c r="W280" s="401"/>
      <c r="X280" s="402"/>
      <c r="Y280" s="198"/>
      <c r="Z280" s="219"/>
      <c r="AA280" s="401"/>
      <c r="AB280" s="402"/>
      <c r="AC280" s="198"/>
      <c r="AD280" s="219"/>
      <c r="AE280" s="401"/>
      <c r="AF280" s="402"/>
      <c r="AG280" s="198"/>
      <c r="AH280" s="219"/>
      <c r="AI280" s="401"/>
      <c r="AJ280" s="402"/>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1"/>
      <c r="T281" s="402"/>
      <c r="U281" s="198"/>
      <c r="V281" s="219"/>
      <c r="W281" s="401"/>
      <c r="X281" s="402"/>
      <c r="Y281" s="198"/>
      <c r="Z281" s="219"/>
      <c r="AA281" s="401"/>
      <c r="AB281" s="402"/>
      <c r="AC281" s="198"/>
      <c r="AD281" s="219"/>
      <c r="AE281" s="401"/>
      <c r="AF281" s="402"/>
      <c r="AG281" s="198"/>
      <c r="AH281" s="219"/>
      <c r="AI281" s="401"/>
      <c r="AJ281" s="402"/>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1"/>
      <c r="T282" s="402"/>
      <c r="U282" s="198"/>
      <c r="V282" s="219"/>
      <c r="W282" s="401"/>
      <c r="X282" s="402"/>
      <c r="Y282" s="198"/>
      <c r="Z282" s="219"/>
      <c r="AA282" s="401"/>
      <c r="AB282" s="402"/>
      <c r="AC282" s="198"/>
      <c r="AD282" s="219"/>
      <c r="AE282" s="401"/>
      <c r="AF282" s="402"/>
      <c r="AG282" s="198"/>
      <c r="AH282" s="219"/>
      <c r="AI282" s="401"/>
      <c r="AJ282" s="402"/>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1"/>
      <c r="T283" s="402"/>
      <c r="U283" s="198"/>
      <c r="V283" s="219"/>
      <c r="W283" s="401"/>
      <c r="X283" s="402"/>
      <c r="Y283" s="198"/>
      <c r="Z283" s="219"/>
      <c r="AA283" s="401"/>
      <c r="AB283" s="402"/>
      <c r="AC283" s="198"/>
      <c r="AD283" s="219"/>
      <c r="AE283" s="401"/>
      <c r="AF283" s="402"/>
      <c r="AG283" s="200"/>
      <c r="AH283" s="219"/>
      <c r="AI283" s="401"/>
      <c r="AJ283" s="402"/>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1"/>
      <c r="T284" s="402"/>
      <c r="U284" s="198"/>
      <c r="V284" s="219"/>
      <c r="W284" s="401"/>
      <c r="X284" s="402"/>
      <c r="Y284" s="198"/>
      <c r="Z284" s="219"/>
      <c r="AA284" s="401"/>
      <c r="AB284" s="402"/>
      <c r="AC284" s="198"/>
      <c r="AD284" s="219"/>
      <c r="AE284" s="401"/>
      <c r="AF284" s="402"/>
      <c r="AG284" s="200"/>
      <c r="AH284" s="219"/>
      <c r="AI284" s="401"/>
      <c r="AJ284" s="402"/>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1"/>
      <c r="T285" s="402"/>
      <c r="U285" s="198"/>
      <c r="V285" s="219"/>
      <c r="W285" s="401"/>
      <c r="X285" s="402"/>
      <c r="Y285" s="198"/>
      <c r="Z285" s="219"/>
      <c r="AA285" s="401"/>
      <c r="AB285" s="402"/>
      <c r="AC285" s="198"/>
      <c r="AD285" s="219"/>
      <c r="AE285" s="401"/>
      <c r="AF285" s="402"/>
      <c r="AG285" s="200"/>
      <c r="AH285" s="219"/>
      <c r="AI285" s="401"/>
      <c r="AJ285" s="402"/>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1"/>
      <c r="T286" s="402"/>
      <c r="U286" s="198"/>
      <c r="V286" s="219"/>
      <c r="W286" s="401"/>
      <c r="X286" s="402"/>
      <c r="Y286" s="198"/>
      <c r="Z286" s="219"/>
      <c r="AA286" s="401"/>
      <c r="AB286" s="402"/>
      <c r="AC286" s="198"/>
      <c r="AD286" s="219"/>
      <c r="AE286" s="401"/>
      <c r="AF286" s="402"/>
      <c r="AG286" s="200"/>
      <c r="AH286" s="219"/>
      <c r="AI286" s="401"/>
      <c r="AJ286" s="402"/>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1"/>
      <c r="T287" s="402"/>
      <c r="U287" s="198"/>
      <c r="V287" s="219"/>
      <c r="W287" s="401"/>
      <c r="X287" s="402"/>
      <c r="Y287" s="198"/>
      <c r="Z287" s="219"/>
      <c r="AA287" s="401"/>
      <c r="AB287" s="402"/>
      <c r="AC287" s="198"/>
      <c r="AD287" s="219"/>
      <c r="AE287" s="401"/>
      <c r="AF287" s="402"/>
      <c r="AG287" s="200"/>
      <c r="AH287" s="219"/>
      <c r="AI287" s="401"/>
      <c r="AJ287" s="402"/>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1"/>
      <c r="T288" s="402"/>
      <c r="U288" s="198"/>
      <c r="V288" s="219"/>
      <c r="W288" s="401"/>
      <c r="X288" s="402"/>
      <c r="Y288" s="198"/>
      <c r="Z288" s="219"/>
      <c r="AA288" s="401"/>
      <c r="AB288" s="402"/>
      <c r="AC288" s="198"/>
      <c r="AD288" s="219"/>
      <c r="AE288" s="401"/>
      <c r="AF288" s="402"/>
      <c r="AG288" s="200"/>
      <c r="AH288" s="219"/>
      <c r="AI288" s="401"/>
      <c r="AJ288" s="402"/>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1"/>
      <c r="T289" s="402"/>
      <c r="U289" s="198"/>
      <c r="V289" s="219"/>
      <c r="W289" s="401"/>
      <c r="X289" s="402"/>
      <c r="Y289" s="198"/>
      <c r="Z289" s="219"/>
      <c r="AA289" s="401"/>
      <c r="AB289" s="402"/>
      <c r="AC289" s="198"/>
      <c r="AD289" s="219"/>
      <c r="AE289" s="401"/>
      <c r="AF289" s="402"/>
      <c r="AG289" s="200"/>
      <c r="AH289" s="219"/>
      <c r="AI289" s="401"/>
      <c r="AJ289" s="402"/>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1"/>
      <c r="T290" s="402"/>
      <c r="U290" s="198"/>
      <c r="V290" s="219"/>
      <c r="W290" s="401"/>
      <c r="X290" s="402"/>
      <c r="Y290" s="198"/>
      <c r="Z290" s="219"/>
      <c r="AA290" s="401"/>
      <c r="AB290" s="402"/>
      <c r="AC290" s="198"/>
      <c r="AD290" s="219"/>
      <c r="AE290" s="401"/>
      <c r="AF290" s="402"/>
      <c r="AG290" s="200"/>
      <c r="AH290" s="219"/>
      <c r="AI290" s="401"/>
      <c r="AJ290" s="402"/>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1"/>
      <c r="T291" s="402"/>
      <c r="U291" s="198"/>
      <c r="V291" s="219"/>
      <c r="W291" s="401"/>
      <c r="X291" s="402"/>
      <c r="Y291" s="198"/>
      <c r="Z291" s="219"/>
      <c r="AA291" s="401"/>
      <c r="AB291" s="402"/>
      <c r="AC291" s="198"/>
      <c r="AD291" s="219"/>
      <c r="AE291" s="401"/>
      <c r="AF291" s="402"/>
      <c r="AG291" s="200"/>
      <c r="AH291" s="219"/>
      <c r="AI291" s="401"/>
      <c r="AJ291" s="402"/>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1"/>
      <c r="T292" s="402"/>
      <c r="U292" s="198"/>
      <c r="V292" s="219"/>
      <c r="W292" s="401"/>
      <c r="X292" s="402"/>
      <c r="Y292" s="198"/>
      <c r="Z292" s="219"/>
      <c r="AA292" s="401"/>
      <c r="AB292" s="402"/>
      <c r="AC292" s="198"/>
      <c r="AD292" s="219"/>
      <c r="AE292" s="401"/>
      <c r="AF292" s="402"/>
      <c r="AG292" s="200"/>
      <c r="AH292" s="219"/>
      <c r="AI292" s="401"/>
      <c r="AJ292" s="402"/>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1"/>
      <c r="T293" s="402"/>
      <c r="U293" s="198"/>
      <c r="V293" s="219"/>
      <c r="W293" s="401"/>
      <c r="X293" s="402"/>
      <c r="Y293" s="198"/>
      <c r="Z293" s="219"/>
      <c r="AA293" s="401"/>
      <c r="AB293" s="402"/>
      <c r="AC293" s="198"/>
      <c r="AD293" s="219"/>
      <c r="AE293" s="401"/>
      <c r="AF293" s="402"/>
      <c r="AG293" s="200"/>
      <c r="AH293" s="219"/>
      <c r="AI293" s="401"/>
      <c r="AJ293" s="402"/>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1"/>
      <c r="T294" s="402"/>
      <c r="U294" s="198"/>
      <c r="V294" s="219"/>
      <c r="W294" s="401"/>
      <c r="X294" s="402"/>
      <c r="Y294" s="198"/>
      <c r="Z294" s="219"/>
      <c r="AA294" s="401"/>
      <c r="AB294" s="402"/>
      <c r="AC294" s="198"/>
      <c r="AD294" s="219"/>
      <c r="AE294" s="401"/>
      <c r="AF294" s="402"/>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1"/>
      <c r="T295" s="402"/>
      <c r="U295" s="198"/>
      <c r="V295" s="219"/>
      <c r="W295" s="401"/>
      <c r="X295" s="402"/>
      <c r="Y295" s="198"/>
      <c r="Z295" s="219"/>
      <c r="AA295" s="401"/>
      <c r="AB295" s="402"/>
      <c r="AC295" s="198"/>
      <c r="AD295" s="219"/>
      <c r="AE295" s="401"/>
      <c r="AF295" s="402"/>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1"/>
      <c r="T296" s="402"/>
      <c r="U296" s="198"/>
      <c r="V296" s="219"/>
      <c r="W296" s="401"/>
      <c r="X296" s="402"/>
      <c r="Y296" s="198"/>
      <c r="Z296" s="219"/>
      <c r="AA296" s="401"/>
      <c r="AB296" s="402"/>
      <c r="AC296" s="198"/>
      <c r="AD296" s="219"/>
      <c r="AE296" s="401"/>
      <c r="AF296" s="402"/>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1"/>
      <c r="T297" s="402"/>
      <c r="U297" s="198"/>
      <c r="V297" s="219"/>
      <c r="W297" s="401"/>
      <c r="X297" s="402"/>
      <c r="Y297" s="198"/>
      <c r="Z297" s="219"/>
      <c r="AA297" s="401"/>
      <c r="AB297" s="402"/>
      <c r="AC297" s="198"/>
      <c r="AD297" s="219"/>
      <c r="AE297" s="401"/>
      <c r="AF297" s="402"/>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1"/>
      <c r="T298" s="402"/>
      <c r="U298" s="198"/>
      <c r="V298" s="219"/>
      <c r="W298" s="401"/>
      <c r="X298" s="402"/>
      <c r="Y298" s="198"/>
      <c r="Z298" s="219"/>
      <c r="AA298" s="401"/>
      <c r="AB298" s="402"/>
      <c r="AC298" s="198"/>
      <c r="AD298" s="219"/>
      <c r="AE298" s="401"/>
      <c r="AF298" s="402"/>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1"/>
      <c r="T299" s="402"/>
      <c r="U299" s="198"/>
      <c r="V299" s="219"/>
      <c r="W299" s="401"/>
      <c r="X299" s="402"/>
      <c r="Y299" s="198"/>
      <c r="Z299" s="219"/>
      <c r="AA299" s="401"/>
      <c r="AB299" s="402"/>
      <c r="AC299" s="198"/>
      <c r="AD299" s="219"/>
      <c r="AE299" s="401"/>
      <c r="AF299" s="402"/>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1"/>
      <c r="T300" s="402"/>
      <c r="U300" s="198"/>
      <c r="V300" s="219"/>
      <c r="W300" s="401"/>
      <c r="X300" s="402"/>
      <c r="Y300" s="198"/>
      <c r="Z300" s="219"/>
      <c r="AA300" s="401"/>
      <c r="AB300" s="402"/>
      <c r="AC300" s="198"/>
      <c r="AD300" s="219"/>
      <c r="AE300" s="401"/>
      <c r="AF300" s="402"/>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1"/>
      <c r="T301" s="402"/>
      <c r="U301" s="198"/>
      <c r="V301" s="219"/>
      <c r="W301" s="401"/>
      <c r="X301" s="402"/>
      <c r="Y301" s="198"/>
      <c r="Z301" s="219"/>
      <c r="AA301" s="401"/>
      <c r="AB301" s="402"/>
      <c r="AC301" s="198"/>
      <c r="AD301" s="219"/>
      <c r="AE301" s="401"/>
      <c r="AF301" s="402"/>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1"/>
      <c r="T302" s="402"/>
      <c r="U302" s="198"/>
      <c r="V302" s="219"/>
      <c r="W302" s="401"/>
      <c r="X302" s="402"/>
      <c r="Y302" s="198"/>
      <c r="Z302" s="219"/>
      <c r="AA302" s="401"/>
      <c r="AB302" s="402"/>
      <c r="AC302" s="198"/>
      <c r="AD302" s="219"/>
      <c r="AE302" s="401"/>
      <c r="AF302" s="402"/>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1"/>
      <c r="T303" s="402"/>
      <c r="U303" s="198"/>
      <c r="V303" s="219"/>
      <c r="W303" s="401"/>
      <c r="X303" s="402"/>
      <c r="Y303" s="198"/>
      <c r="Z303" s="219"/>
      <c r="AA303" s="401"/>
      <c r="AB303" s="402"/>
      <c r="AC303" s="198"/>
      <c r="AD303" s="219"/>
      <c r="AE303" s="401"/>
      <c r="AF303" s="402"/>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1"/>
      <c r="T304" s="402"/>
      <c r="U304" s="198"/>
      <c r="V304" s="219"/>
      <c r="W304" s="401"/>
      <c r="X304" s="402"/>
      <c r="Y304" s="198"/>
      <c r="Z304" s="219"/>
      <c r="AA304" s="401"/>
      <c r="AB304" s="402"/>
      <c r="AC304" s="198"/>
      <c r="AD304" s="219"/>
      <c r="AE304" s="401"/>
      <c r="AF304" s="402"/>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1"/>
      <c r="T305" s="402"/>
      <c r="U305" s="198"/>
      <c r="V305" s="219"/>
      <c r="W305" s="401"/>
      <c r="X305" s="402"/>
      <c r="Y305" s="198"/>
      <c r="Z305" s="219"/>
      <c r="AA305" s="401"/>
      <c r="AB305" s="402"/>
      <c r="AC305" s="198"/>
      <c r="AD305" s="219"/>
      <c r="AE305" s="401"/>
      <c r="AF305" s="402"/>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1"/>
      <c r="T306" s="402"/>
      <c r="U306" s="198"/>
      <c r="V306" s="219"/>
      <c r="W306" s="401"/>
      <c r="X306" s="402"/>
      <c r="Y306" s="198"/>
      <c r="Z306" s="219"/>
      <c r="AA306" s="401"/>
      <c r="AB306" s="402"/>
      <c r="AC306" s="198"/>
      <c r="AD306" s="219"/>
      <c r="AE306" s="401"/>
      <c r="AF306" s="402"/>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1"/>
      <c r="T307" s="402"/>
      <c r="U307" s="198"/>
      <c r="V307" s="219"/>
      <c r="W307" s="401"/>
      <c r="X307" s="402"/>
      <c r="Y307" s="198"/>
      <c r="Z307" s="219"/>
      <c r="AA307" s="401"/>
      <c r="AB307" s="402"/>
      <c r="AC307" s="198"/>
      <c r="AD307" s="219"/>
      <c r="AE307" s="401"/>
      <c r="AF307" s="402"/>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1"/>
      <c r="T308" s="402"/>
      <c r="U308" s="198"/>
      <c r="V308" s="219"/>
      <c r="W308" s="401"/>
      <c r="X308" s="402"/>
      <c r="Y308" s="198"/>
      <c r="Z308" s="219"/>
      <c r="AA308" s="401"/>
      <c r="AB308" s="402"/>
      <c r="AC308" s="198"/>
      <c r="AD308" s="219"/>
      <c r="AE308" s="401"/>
      <c r="AF308" s="402"/>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1"/>
      <c r="T309" s="402"/>
      <c r="U309" s="198"/>
      <c r="V309" s="219"/>
      <c r="W309" s="401"/>
      <c r="X309" s="402"/>
      <c r="Y309" s="198"/>
      <c r="Z309" s="219"/>
      <c r="AA309" s="401"/>
      <c r="AB309" s="402"/>
      <c r="AC309" s="198"/>
      <c r="AD309" s="219"/>
      <c r="AE309" s="401"/>
      <c r="AF309" s="402"/>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1"/>
      <c r="T310" s="402"/>
      <c r="U310" s="198"/>
      <c r="V310" s="219"/>
      <c r="W310" s="401"/>
      <c r="X310" s="402"/>
      <c r="Y310" s="198"/>
      <c r="Z310" s="219"/>
      <c r="AA310" s="401"/>
      <c r="AB310" s="402"/>
      <c r="AC310" s="198"/>
      <c r="AD310" s="219"/>
      <c r="AE310" s="401"/>
      <c r="AF310" s="402"/>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1"/>
      <c r="T311" s="402"/>
      <c r="U311" s="198"/>
      <c r="V311" s="219"/>
      <c r="W311" s="401"/>
      <c r="X311" s="402"/>
      <c r="Y311" s="198"/>
      <c r="Z311" s="219"/>
      <c r="AA311" s="401"/>
      <c r="AB311" s="402"/>
      <c r="AC311" s="198"/>
      <c r="AD311" s="219"/>
      <c r="AE311" s="401"/>
      <c r="AF311" s="402"/>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1"/>
      <c r="T312" s="402"/>
      <c r="U312" s="198"/>
      <c r="V312" s="219"/>
      <c r="W312" s="401"/>
      <c r="X312" s="402"/>
      <c r="Y312" s="198"/>
      <c r="Z312" s="219"/>
      <c r="AA312" s="401"/>
      <c r="AB312" s="402"/>
      <c r="AC312" s="198"/>
      <c r="AD312" s="219"/>
      <c r="AE312" s="401"/>
      <c r="AF312" s="402"/>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1"/>
      <c r="T313" s="402"/>
      <c r="U313" s="198"/>
      <c r="V313" s="219"/>
      <c r="W313" s="401"/>
      <c r="X313" s="402"/>
      <c r="Y313" s="198"/>
      <c r="Z313" s="219"/>
      <c r="AA313" s="401"/>
      <c r="AB313" s="402"/>
      <c r="AC313" s="198"/>
      <c r="AD313" s="219"/>
      <c r="AE313" s="401"/>
      <c r="AF313" s="402"/>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1"/>
      <c r="T314" s="402"/>
      <c r="U314" s="198"/>
      <c r="V314" s="219"/>
      <c r="W314" s="401"/>
      <c r="X314" s="402"/>
      <c r="Y314" s="198"/>
      <c r="Z314" s="219"/>
      <c r="AA314" s="401"/>
      <c r="AB314" s="402"/>
      <c r="AC314" s="198"/>
      <c r="AD314" s="219"/>
      <c r="AE314" s="401"/>
      <c r="AF314" s="402"/>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1"/>
      <c r="T315" s="402"/>
      <c r="U315" s="198"/>
      <c r="V315" s="219"/>
      <c r="W315" s="401"/>
      <c r="X315" s="402"/>
      <c r="Y315" s="198"/>
      <c r="Z315" s="219"/>
      <c r="AA315" s="401"/>
      <c r="AB315" s="402"/>
      <c r="AC315" s="198"/>
      <c r="AD315" s="219"/>
      <c r="AE315" s="401"/>
      <c r="AF315" s="402"/>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1"/>
      <c r="T316" s="402"/>
      <c r="U316" s="198"/>
      <c r="V316" s="219"/>
      <c r="W316" s="401"/>
      <c r="X316" s="402"/>
      <c r="Y316" s="198"/>
      <c r="Z316" s="219"/>
      <c r="AA316" s="401"/>
      <c r="AB316" s="402"/>
      <c r="AC316" s="198"/>
      <c r="AD316" s="219"/>
      <c r="AE316" s="401"/>
      <c r="AF316" s="402"/>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1"/>
      <c r="T317" s="402"/>
      <c r="U317" s="198"/>
      <c r="V317" s="219"/>
      <c r="W317" s="401"/>
      <c r="X317" s="402"/>
      <c r="Y317" s="198"/>
      <c r="Z317" s="219"/>
      <c r="AA317" s="401"/>
      <c r="AB317" s="402"/>
      <c r="AC317" s="198"/>
      <c r="AD317" s="219"/>
      <c r="AE317" s="401"/>
      <c r="AF317" s="402"/>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1"/>
      <c r="T318" s="402"/>
      <c r="U318" s="198"/>
      <c r="V318" s="219"/>
      <c r="W318" s="401"/>
      <c r="X318" s="402"/>
      <c r="Y318" s="198"/>
      <c r="Z318" s="219"/>
      <c r="AA318" s="401"/>
      <c r="AB318" s="402"/>
      <c r="AC318" s="198"/>
      <c r="AD318" s="219"/>
      <c r="AE318" s="401"/>
      <c r="AF318" s="402"/>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1"/>
      <c r="T319" s="402"/>
      <c r="U319" s="198"/>
      <c r="V319" s="219"/>
      <c r="W319" s="401"/>
      <c r="X319" s="402"/>
      <c r="Y319" s="198"/>
      <c r="Z319" s="219"/>
      <c r="AA319" s="401"/>
      <c r="AB319" s="402"/>
      <c r="AC319" s="198"/>
      <c r="AD319" s="219"/>
      <c r="AE319" s="401"/>
      <c r="AF319" s="402"/>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1"/>
      <c r="T320" s="402"/>
      <c r="U320" s="198"/>
      <c r="V320" s="219"/>
      <c r="W320" s="401"/>
      <c r="X320" s="402"/>
      <c r="Y320" s="198"/>
      <c r="Z320" s="219"/>
      <c r="AA320" s="401"/>
      <c r="AB320" s="402"/>
      <c r="AC320" s="198"/>
      <c r="AD320" s="219"/>
      <c r="AE320" s="401"/>
      <c r="AF320" s="402"/>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1"/>
      <c r="T321" s="402"/>
      <c r="U321" s="198"/>
      <c r="V321" s="219"/>
      <c r="W321" s="401"/>
      <c r="X321" s="402"/>
      <c r="Y321" s="198"/>
      <c r="Z321" s="219"/>
      <c r="AA321" s="401"/>
      <c r="AB321" s="402"/>
      <c r="AC321" s="198"/>
      <c r="AD321" s="219"/>
      <c r="AE321" s="401"/>
      <c r="AF321" s="402"/>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1"/>
      <c r="T322" s="402"/>
      <c r="U322" s="198"/>
      <c r="V322" s="219"/>
      <c r="W322" s="401"/>
      <c r="X322" s="402"/>
      <c r="Y322" s="198"/>
      <c r="Z322" s="219"/>
      <c r="AA322" s="401"/>
      <c r="AB322" s="402"/>
      <c r="AC322" s="198"/>
      <c r="AD322" s="219"/>
      <c r="AE322" s="401"/>
      <c r="AF322" s="402"/>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1"/>
      <c r="T323" s="402"/>
      <c r="U323" s="198"/>
      <c r="V323" s="219"/>
      <c r="W323" s="401"/>
      <c r="X323" s="402"/>
      <c r="Y323" s="198"/>
      <c r="Z323" s="219"/>
      <c r="AA323" s="401"/>
      <c r="AB323" s="402"/>
      <c r="AC323" s="198"/>
      <c r="AD323" s="219"/>
      <c r="AE323" s="401"/>
      <c r="AF323" s="402"/>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1"/>
      <c r="T324" s="402"/>
      <c r="U324" s="198"/>
      <c r="V324" s="219"/>
      <c r="W324" s="401"/>
      <c r="X324" s="402"/>
      <c r="Y324" s="198"/>
      <c r="Z324" s="219"/>
      <c r="AA324" s="401"/>
      <c r="AB324" s="402"/>
      <c r="AC324" s="198"/>
      <c r="AD324" s="219"/>
      <c r="AE324" s="401"/>
      <c r="AF324" s="402"/>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1"/>
      <c r="T325" s="402"/>
      <c r="U325" s="198"/>
      <c r="V325" s="219"/>
      <c r="W325" s="401"/>
      <c r="X325" s="402"/>
      <c r="Y325" s="198"/>
      <c r="Z325" s="219"/>
      <c r="AA325" s="401"/>
      <c r="AB325" s="402"/>
      <c r="AC325" s="198"/>
      <c r="AD325" s="219"/>
      <c r="AE325" s="401"/>
      <c r="AF325" s="402"/>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1"/>
      <c r="T326" s="402"/>
      <c r="U326" s="198"/>
      <c r="V326" s="219"/>
      <c r="W326" s="401"/>
      <c r="X326" s="402"/>
      <c r="Y326" s="198"/>
      <c r="Z326" s="219"/>
      <c r="AA326" s="401"/>
      <c r="AB326" s="402"/>
      <c r="AC326" s="198"/>
      <c r="AD326" s="219"/>
      <c r="AE326" s="401"/>
      <c r="AF326" s="402"/>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1"/>
      <c r="T327" s="402"/>
      <c r="U327" s="198"/>
      <c r="V327" s="219"/>
      <c r="W327" s="401"/>
      <c r="X327" s="402"/>
      <c r="Y327" s="198"/>
      <c r="Z327" s="219"/>
      <c r="AA327" s="401"/>
      <c r="AB327" s="402"/>
      <c r="AC327" s="198"/>
      <c r="AD327" s="219"/>
      <c r="AE327" s="401"/>
      <c r="AF327" s="402"/>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1"/>
      <c r="T328" s="402"/>
      <c r="U328" s="198"/>
      <c r="V328" s="219"/>
      <c r="W328" s="401"/>
      <c r="X328" s="402"/>
      <c r="Y328" s="198"/>
      <c r="Z328" s="219"/>
      <c r="AA328" s="401"/>
      <c r="AB328" s="402"/>
      <c r="AC328" s="198"/>
      <c r="AD328" s="219"/>
      <c r="AE328" s="401"/>
      <c r="AF328" s="402"/>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1"/>
      <c r="T329" s="402"/>
      <c r="U329" s="198"/>
      <c r="V329" s="219"/>
      <c r="W329" s="401"/>
      <c r="X329" s="402"/>
      <c r="Y329" s="198"/>
      <c r="Z329" s="219"/>
      <c r="AA329" s="401"/>
      <c r="AB329" s="402"/>
      <c r="AC329" s="198"/>
      <c r="AD329" s="219"/>
      <c r="AE329" s="401"/>
      <c r="AF329" s="402"/>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1"/>
      <c r="T330" s="402"/>
      <c r="U330" s="198"/>
      <c r="V330" s="219"/>
      <c r="W330" s="401"/>
      <c r="X330" s="402"/>
      <c r="Y330" s="198"/>
      <c r="Z330" s="219"/>
      <c r="AA330" s="401"/>
      <c r="AB330" s="402"/>
      <c r="AC330" s="198"/>
      <c r="AD330" s="219"/>
      <c r="AE330" s="401"/>
      <c r="AF330" s="402"/>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1"/>
      <c r="T331" s="402"/>
      <c r="U331" s="198"/>
      <c r="V331" s="219"/>
      <c r="W331" s="401"/>
      <c r="X331" s="402"/>
      <c r="Y331" s="198"/>
      <c r="Z331" s="219"/>
      <c r="AA331" s="401"/>
      <c r="AB331" s="402"/>
      <c r="AC331" s="198"/>
      <c r="AD331" s="219"/>
      <c r="AE331" s="401"/>
      <c r="AF331" s="402"/>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1"/>
      <c r="T332" s="402"/>
      <c r="U332" s="198"/>
      <c r="V332" s="219"/>
      <c r="W332" s="401"/>
      <c r="X332" s="402"/>
      <c r="Y332" s="198"/>
      <c r="Z332" s="219"/>
      <c r="AA332" s="401"/>
      <c r="AB332" s="402"/>
      <c r="AC332" s="198"/>
      <c r="AD332" s="219"/>
      <c r="AE332" s="401"/>
      <c r="AF332" s="402"/>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1"/>
      <c r="T333" s="402"/>
      <c r="U333" s="198"/>
      <c r="V333" s="219"/>
      <c r="W333" s="401"/>
      <c r="X333" s="402"/>
      <c r="Y333" s="198"/>
      <c r="Z333" s="219"/>
      <c r="AA333" s="401"/>
      <c r="AB333" s="402"/>
      <c r="AC333" s="198"/>
      <c r="AD333" s="219"/>
      <c r="AE333" s="401"/>
      <c r="AF333" s="402"/>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1"/>
      <c r="T334" s="402"/>
      <c r="U334" s="198"/>
      <c r="V334" s="219"/>
      <c r="W334" s="401"/>
      <c r="X334" s="402"/>
      <c r="Y334" s="198"/>
      <c r="Z334" s="219"/>
      <c r="AA334" s="401"/>
      <c r="AB334" s="402"/>
      <c r="AC334" s="198"/>
      <c r="AD334" s="219"/>
      <c r="AE334" s="401"/>
      <c r="AF334" s="402"/>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1"/>
      <c r="T335" s="402"/>
      <c r="U335" s="198"/>
      <c r="V335" s="219"/>
      <c r="W335" s="401"/>
      <c r="X335" s="402"/>
      <c r="Y335" s="198"/>
      <c r="Z335" s="219"/>
      <c r="AA335" s="401"/>
      <c r="AB335" s="402"/>
      <c r="AC335" s="198"/>
      <c r="AD335" s="219"/>
      <c r="AE335" s="401"/>
      <c r="AF335" s="402"/>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1"/>
      <c r="T336" s="402"/>
      <c r="U336" s="198"/>
      <c r="V336" s="219"/>
      <c r="W336" s="401"/>
      <c r="X336" s="402"/>
      <c r="Y336" s="198"/>
      <c r="Z336" s="219"/>
      <c r="AA336" s="401"/>
      <c r="AB336" s="402"/>
      <c r="AC336" s="198"/>
      <c r="AD336" s="219"/>
      <c r="AE336" s="401"/>
      <c r="AF336" s="402"/>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1"/>
      <c r="T337" s="402"/>
      <c r="U337" s="198"/>
      <c r="V337" s="219"/>
      <c r="W337" s="401"/>
      <c r="X337" s="402"/>
      <c r="Y337" s="198"/>
      <c r="Z337" s="219"/>
      <c r="AA337" s="401"/>
      <c r="AB337" s="402"/>
      <c r="AC337" s="198"/>
      <c r="AD337" s="219"/>
      <c r="AE337" s="401"/>
      <c r="AF337" s="402"/>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1"/>
      <c r="T338" s="402"/>
      <c r="U338" s="198"/>
      <c r="V338" s="219"/>
      <c r="W338" s="401"/>
      <c r="X338" s="402"/>
      <c r="Y338" s="198"/>
      <c r="Z338" s="219"/>
      <c r="AA338" s="401"/>
      <c r="AB338" s="402"/>
      <c r="AC338" s="198"/>
      <c r="AD338" s="219"/>
      <c r="AE338" s="401"/>
      <c r="AF338" s="402"/>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1"/>
      <c r="T339" s="402"/>
      <c r="U339" s="198"/>
      <c r="V339" s="219"/>
      <c r="W339" s="401"/>
      <c r="X339" s="402"/>
      <c r="Y339" s="198"/>
      <c r="Z339" s="219"/>
      <c r="AA339" s="401"/>
      <c r="AB339" s="402"/>
      <c r="AC339" s="198"/>
      <c r="AD339" s="219"/>
      <c r="AE339" s="401"/>
      <c r="AF339" s="402"/>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1"/>
      <c r="T340" s="402"/>
      <c r="U340" s="198"/>
      <c r="V340" s="219"/>
      <c r="W340" s="401"/>
      <c r="X340" s="402"/>
      <c r="Y340" s="198"/>
      <c r="Z340" s="219"/>
      <c r="AA340" s="401"/>
      <c r="AB340" s="402"/>
      <c r="AC340" s="198"/>
      <c r="AD340" s="219"/>
      <c r="AE340" s="401"/>
      <c r="AF340" s="402"/>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1"/>
      <c r="T341" s="402"/>
      <c r="U341" s="198"/>
      <c r="V341" s="219"/>
      <c r="W341" s="401"/>
      <c r="X341" s="402"/>
      <c r="Y341" s="198"/>
      <c r="Z341" s="219"/>
      <c r="AA341" s="401"/>
      <c r="AB341" s="402"/>
      <c r="AC341" s="198"/>
      <c r="AD341" s="219"/>
      <c r="AE341" s="401"/>
      <c r="AF341" s="402"/>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1"/>
      <c r="T342" s="402"/>
      <c r="U342" s="198"/>
      <c r="V342" s="219"/>
      <c r="W342" s="401"/>
      <c r="X342" s="402"/>
      <c r="Y342" s="198"/>
      <c r="Z342" s="219"/>
      <c r="AA342" s="401"/>
      <c r="AB342" s="402"/>
      <c r="AC342" s="198"/>
      <c r="AD342" s="219"/>
      <c r="AE342" s="401"/>
      <c r="AF342" s="402"/>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1"/>
      <c r="T343" s="402"/>
      <c r="U343" s="198"/>
      <c r="V343" s="219"/>
      <c r="W343" s="401"/>
      <c r="X343" s="402"/>
      <c r="Y343" s="198"/>
      <c r="Z343" s="219"/>
      <c r="AA343" s="401"/>
      <c r="AB343" s="402"/>
      <c r="AC343" s="198"/>
      <c r="AD343" s="219"/>
      <c r="AE343" s="401"/>
      <c r="AF343" s="402"/>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1"/>
      <c r="T344" s="402"/>
      <c r="U344" s="198"/>
      <c r="V344" s="219"/>
      <c r="W344" s="401"/>
      <c r="X344" s="402"/>
      <c r="Y344" s="198"/>
      <c r="Z344" s="219"/>
      <c r="AA344" s="401"/>
      <c r="AB344" s="402"/>
      <c r="AC344" s="198"/>
      <c r="AD344" s="219"/>
      <c r="AE344" s="401"/>
      <c r="AF344" s="402"/>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1"/>
      <c r="T345" s="402"/>
      <c r="U345" s="198"/>
      <c r="V345" s="219"/>
      <c r="W345" s="401"/>
      <c r="X345" s="402"/>
      <c r="Y345" s="198"/>
      <c r="Z345" s="219"/>
      <c r="AA345" s="401"/>
      <c r="AB345" s="402"/>
      <c r="AC345" s="198"/>
      <c r="AD345" s="219"/>
      <c r="AE345" s="401"/>
      <c r="AF345" s="402"/>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1"/>
      <c r="T346" s="402"/>
      <c r="U346" s="198"/>
      <c r="V346" s="219"/>
      <c r="W346" s="401"/>
      <c r="X346" s="402"/>
      <c r="Y346" s="198"/>
      <c r="Z346" s="219"/>
      <c r="AA346" s="401"/>
      <c r="AB346" s="402"/>
      <c r="AC346" s="198"/>
      <c r="AD346" s="219"/>
      <c r="AE346" s="401"/>
      <c r="AF346" s="402"/>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1"/>
      <c r="T347" s="402"/>
      <c r="U347" s="198"/>
      <c r="V347" s="219"/>
      <c r="W347" s="401"/>
      <c r="X347" s="402"/>
      <c r="Y347" s="198"/>
      <c r="Z347" s="219"/>
      <c r="AA347" s="401"/>
      <c r="AB347" s="402"/>
      <c r="AC347" s="198"/>
      <c r="AD347" s="219"/>
      <c r="AE347" s="401"/>
      <c r="AF347" s="402"/>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1"/>
      <c r="T348" s="402"/>
      <c r="U348" s="198"/>
      <c r="V348" s="219"/>
      <c r="W348" s="401"/>
      <c r="X348" s="402"/>
      <c r="Y348" s="198"/>
      <c r="Z348" s="219"/>
      <c r="AA348" s="401"/>
      <c r="AB348" s="402"/>
      <c r="AC348" s="198"/>
      <c r="AD348" s="219"/>
      <c r="AE348" s="401"/>
      <c r="AF348" s="402"/>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1"/>
      <c r="T349" s="402"/>
      <c r="U349" s="198"/>
      <c r="V349" s="219"/>
      <c r="W349" s="401"/>
      <c r="X349" s="402"/>
      <c r="Y349" s="198"/>
      <c r="Z349" s="219"/>
      <c r="AA349" s="401"/>
      <c r="AB349" s="402"/>
      <c r="AC349" s="198"/>
      <c r="AD349" s="219"/>
      <c r="AE349" s="401"/>
      <c r="AF349" s="402"/>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1"/>
      <c r="T350" s="402"/>
      <c r="U350" s="198"/>
      <c r="V350" s="219"/>
      <c r="W350" s="401"/>
      <c r="X350" s="402"/>
      <c r="Y350" s="198"/>
      <c r="Z350" s="219"/>
      <c r="AA350" s="401"/>
      <c r="AB350" s="402"/>
      <c r="AC350" s="198"/>
      <c r="AD350" s="219"/>
      <c r="AE350" s="401"/>
      <c r="AF350" s="402"/>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1"/>
      <c r="T351" s="402"/>
      <c r="U351" s="198"/>
      <c r="V351" s="219"/>
      <c r="W351" s="401"/>
      <c r="X351" s="402"/>
      <c r="Y351" s="198"/>
      <c r="Z351" s="219"/>
      <c r="AA351" s="401"/>
      <c r="AB351" s="402"/>
      <c r="AC351" s="198"/>
      <c r="AD351" s="219"/>
      <c r="AE351" s="401"/>
      <c r="AF351" s="402"/>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1"/>
      <c r="T352" s="402"/>
      <c r="U352" s="198"/>
      <c r="V352" s="219"/>
      <c r="W352" s="401"/>
      <c r="X352" s="402"/>
      <c r="Y352" s="198"/>
      <c r="Z352" s="219"/>
      <c r="AA352" s="401"/>
      <c r="AB352" s="402"/>
      <c r="AC352" s="198"/>
      <c r="AD352" s="219"/>
      <c r="AE352" s="401"/>
      <c r="AF352" s="402"/>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1"/>
      <c r="T353" s="402"/>
      <c r="U353" s="198"/>
      <c r="V353" s="219"/>
      <c r="W353" s="401"/>
      <c r="X353" s="402"/>
      <c r="Y353" s="198"/>
      <c r="Z353" s="219"/>
      <c r="AA353" s="401"/>
      <c r="AB353" s="402"/>
      <c r="AC353" s="198"/>
      <c r="AD353" s="219"/>
      <c r="AE353" s="401"/>
      <c r="AF353" s="402"/>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1"/>
      <c r="T354" s="402"/>
      <c r="U354" s="198"/>
      <c r="V354" s="219"/>
      <c r="W354" s="401"/>
      <c r="X354" s="402"/>
      <c r="Y354" s="198"/>
      <c r="Z354" s="219"/>
      <c r="AA354" s="401"/>
      <c r="AB354" s="402"/>
      <c r="AC354" s="198"/>
      <c r="AD354" s="219"/>
      <c r="AE354" s="401"/>
      <c r="AF354" s="402"/>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1"/>
      <c r="T355" s="402"/>
      <c r="U355" s="198"/>
      <c r="V355" s="219"/>
      <c r="W355" s="401"/>
      <c r="X355" s="402"/>
      <c r="Y355" s="198"/>
      <c r="Z355" s="219"/>
      <c r="AA355" s="401"/>
      <c r="AB355" s="402"/>
      <c r="AC355" s="198"/>
      <c r="AD355" s="219"/>
      <c r="AE355" s="401"/>
      <c r="AF355" s="402"/>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1"/>
      <c r="T356" s="402"/>
      <c r="U356" s="198"/>
      <c r="V356" s="219"/>
      <c r="W356" s="401"/>
      <c r="X356" s="402"/>
      <c r="Y356" s="198"/>
      <c r="Z356" s="219"/>
      <c r="AA356" s="401"/>
      <c r="AB356" s="402"/>
      <c r="AC356" s="198"/>
      <c r="AD356" s="219"/>
      <c r="AE356" s="401"/>
      <c r="AF356" s="402"/>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1"/>
      <c r="T357" s="402"/>
      <c r="U357" s="198"/>
      <c r="V357" s="219"/>
      <c r="W357" s="401"/>
      <c r="X357" s="402"/>
      <c r="Y357" s="198"/>
      <c r="Z357" s="219"/>
      <c r="AA357" s="401"/>
      <c r="AB357" s="402"/>
      <c r="AC357" s="198"/>
      <c r="AD357" s="219"/>
      <c r="AE357" s="401"/>
      <c r="AF357" s="402"/>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1"/>
      <c r="T358" s="402"/>
      <c r="U358" s="198"/>
      <c r="V358" s="219"/>
      <c r="W358" s="401"/>
      <c r="X358" s="402"/>
      <c r="Y358" s="198"/>
      <c r="Z358" s="219"/>
      <c r="AA358" s="401"/>
      <c r="AB358" s="402"/>
      <c r="AC358" s="198"/>
      <c r="AD358" s="219"/>
      <c r="AE358" s="401"/>
      <c r="AF358" s="402"/>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1"/>
      <c r="T359" s="402"/>
      <c r="U359" s="198"/>
      <c r="V359" s="219"/>
      <c r="W359" s="401"/>
      <c r="X359" s="402"/>
      <c r="Y359" s="198"/>
      <c r="Z359" s="219"/>
      <c r="AA359" s="401"/>
      <c r="AB359" s="402"/>
      <c r="AC359" s="198"/>
      <c r="AD359" s="219"/>
      <c r="AE359" s="401"/>
      <c r="AF359" s="402"/>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1"/>
      <c r="T360" s="402"/>
      <c r="U360" s="198"/>
      <c r="V360" s="219"/>
      <c r="W360" s="401"/>
      <c r="X360" s="402"/>
      <c r="Y360" s="198"/>
      <c r="Z360" s="219"/>
      <c r="AA360" s="401"/>
      <c r="AB360" s="402"/>
      <c r="AC360" s="198"/>
      <c r="AD360" s="219"/>
      <c r="AE360" s="401"/>
      <c r="AF360" s="402"/>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1"/>
      <c r="T361" s="402"/>
      <c r="U361" s="198"/>
      <c r="V361" s="219"/>
      <c r="W361" s="401"/>
      <c r="X361" s="402"/>
      <c r="Y361" s="198"/>
      <c r="Z361" s="219"/>
      <c r="AA361" s="401"/>
      <c r="AB361" s="402"/>
      <c r="AC361" s="198"/>
      <c r="AD361" s="219"/>
      <c r="AE361" s="401"/>
      <c r="AF361" s="402"/>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1"/>
      <c r="T362" s="402"/>
      <c r="U362" s="198"/>
      <c r="V362" s="219"/>
      <c r="W362" s="401"/>
      <c r="X362" s="402"/>
      <c r="Y362" s="198"/>
      <c r="Z362" s="219"/>
      <c r="AA362" s="401"/>
      <c r="AB362" s="402"/>
      <c r="AC362" s="198"/>
      <c r="AD362" s="219"/>
      <c r="AE362" s="401"/>
      <c r="AF362" s="402"/>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1"/>
      <c r="T363" s="402"/>
      <c r="U363" s="198"/>
      <c r="V363" s="219"/>
      <c r="W363" s="401"/>
      <c r="X363" s="402"/>
      <c r="Y363" s="198"/>
      <c r="Z363" s="219"/>
      <c r="AA363" s="401"/>
      <c r="AB363" s="402"/>
      <c r="AC363" s="198"/>
      <c r="AD363" s="219"/>
      <c r="AE363" s="401"/>
      <c r="AF363" s="402"/>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1"/>
      <c r="T364" s="402"/>
      <c r="U364" s="198"/>
      <c r="V364" s="219"/>
      <c r="W364" s="401"/>
      <c r="X364" s="402"/>
      <c r="Y364" s="198"/>
      <c r="Z364" s="219"/>
      <c r="AA364" s="401"/>
      <c r="AB364" s="402"/>
      <c r="AC364" s="198"/>
      <c r="AD364" s="219"/>
      <c r="AE364" s="401"/>
      <c r="AF364" s="402"/>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1"/>
      <c r="T365" s="402"/>
      <c r="U365" s="198"/>
      <c r="V365" s="219"/>
      <c r="W365" s="401"/>
      <c r="X365" s="402"/>
      <c r="Y365" s="198"/>
      <c r="Z365" s="219"/>
      <c r="AA365" s="401"/>
      <c r="AB365" s="402"/>
      <c r="AC365" s="198"/>
      <c r="AD365" s="219"/>
      <c r="AE365" s="401"/>
      <c r="AF365" s="402"/>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1"/>
      <c r="T366" s="402"/>
      <c r="U366" s="198"/>
      <c r="V366" s="219"/>
      <c r="W366" s="401"/>
      <c r="X366" s="402"/>
      <c r="Y366" s="198"/>
      <c r="Z366" s="219"/>
      <c r="AA366" s="401"/>
      <c r="AB366" s="402"/>
      <c r="AC366" s="198"/>
      <c r="AD366" s="219"/>
      <c r="AE366" s="401"/>
      <c r="AF366" s="402"/>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1"/>
      <c r="T367" s="402"/>
      <c r="U367" s="198"/>
      <c r="V367" s="219"/>
      <c r="W367" s="401"/>
      <c r="X367" s="402"/>
      <c r="Y367" s="198"/>
      <c r="Z367" s="219"/>
      <c r="AA367" s="401"/>
      <c r="AB367" s="402"/>
      <c r="AC367" s="198"/>
      <c r="AD367" s="219"/>
      <c r="AE367" s="401"/>
      <c r="AF367" s="402"/>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1"/>
      <c r="T368" s="402"/>
      <c r="U368" s="198"/>
      <c r="V368" s="219"/>
      <c r="W368" s="401"/>
      <c r="X368" s="402"/>
      <c r="Y368" s="198"/>
      <c r="Z368" s="219"/>
      <c r="AA368" s="401"/>
      <c r="AB368" s="402"/>
      <c r="AC368" s="198"/>
      <c r="AD368" s="219"/>
      <c r="AE368" s="401"/>
      <c r="AF368" s="402"/>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1"/>
      <c r="T369" s="402"/>
      <c r="U369" s="198"/>
      <c r="V369" s="219"/>
      <c r="W369" s="401"/>
      <c r="X369" s="402"/>
      <c r="Y369" s="198"/>
      <c r="Z369" s="219"/>
      <c r="AA369" s="401"/>
      <c r="AB369" s="402"/>
      <c r="AC369" s="198"/>
      <c r="AD369" s="219"/>
      <c r="AE369" s="401"/>
      <c r="AF369" s="402"/>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1"/>
      <c r="T370" s="402"/>
      <c r="U370" s="198"/>
      <c r="V370" s="219"/>
      <c r="W370" s="401"/>
      <c r="X370" s="402"/>
      <c r="Y370" s="198"/>
      <c r="Z370" s="219"/>
      <c r="AA370" s="401"/>
      <c r="AB370" s="402"/>
      <c r="AC370" s="198"/>
      <c r="AD370" s="219"/>
      <c r="AE370" s="401"/>
      <c r="AF370" s="402"/>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1"/>
      <c r="T371" s="402"/>
      <c r="U371" s="198"/>
      <c r="V371" s="219"/>
      <c r="W371" s="401"/>
      <c r="X371" s="402"/>
      <c r="Y371" s="198"/>
      <c r="Z371" s="219"/>
      <c r="AA371" s="401"/>
      <c r="AB371" s="402"/>
      <c r="AC371" s="198"/>
      <c r="AD371" s="219"/>
      <c r="AE371" s="401"/>
      <c r="AF371" s="402"/>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1"/>
      <c r="T372" s="402"/>
      <c r="U372" s="198"/>
      <c r="V372" s="219"/>
      <c r="W372" s="401"/>
      <c r="X372" s="402"/>
      <c r="Y372" s="198"/>
      <c r="Z372" s="219"/>
      <c r="AA372" s="401"/>
      <c r="AB372" s="402"/>
      <c r="AC372" s="198"/>
      <c r="AD372" s="219"/>
      <c r="AE372" s="401"/>
      <c r="AF372" s="402"/>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1"/>
      <c r="T373" s="402"/>
      <c r="U373" s="198"/>
      <c r="V373" s="219"/>
      <c r="W373" s="401"/>
      <c r="X373" s="402"/>
      <c r="Y373" s="198"/>
      <c r="Z373" s="219"/>
      <c r="AA373" s="401"/>
      <c r="AB373" s="402"/>
      <c r="AC373" s="198"/>
      <c r="AD373" s="219"/>
      <c r="AE373" s="401"/>
      <c r="AF373" s="402"/>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1"/>
      <c r="T374" s="402"/>
      <c r="U374" s="198"/>
      <c r="V374" s="219"/>
      <c r="W374" s="401"/>
      <c r="X374" s="402"/>
      <c r="Y374" s="198"/>
      <c r="Z374" s="219"/>
      <c r="AA374" s="401"/>
      <c r="AB374" s="402"/>
      <c r="AC374" s="198"/>
      <c r="AD374" s="219"/>
      <c r="AE374" s="401"/>
      <c r="AF374" s="402"/>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1"/>
      <c r="T375" s="402"/>
      <c r="U375" s="198"/>
      <c r="V375" s="219"/>
      <c r="W375" s="401"/>
      <c r="X375" s="402"/>
      <c r="Y375" s="198"/>
      <c r="Z375" s="219"/>
      <c r="AA375" s="401"/>
      <c r="AB375" s="402"/>
      <c r="AC375" s="198"/>
      <c r="AD375" s="219"/>
      <c r="AE375" s="401"/>
      <c r="AF375" s="402"/>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1"/>
      <c r="T376" s="402"/>
      <c r="U376" s="198"/>
      <c r="V376" s="219"/>
      <c r="W376" s="401"/>
      <c r="X376" s="402"/>
      <c r="Y376" s="198"/>
      <c r="Z376" s="219"/>
      <c r="AA376" s="401"/>
      <c r="AB376" s="402"/>
      <c r="AC376" s="198"/>
      <c r="AD376" s="219"/>
      <c r="AE376" s="401"/>
      <c r="AF376" s="402"/>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1"/>
      <c r="T377" s="402"/>
      <c r="U377" s="198"/>
      <c r="V377" s="219"/>
      <c r="W377" s="401"/>
      <c r="X377" s="402"/>
      <c r="Y377" s="198"/>
      <c r="Z377" s="219"/>
      <c r="AA377" s="401"/>
      <c r="AB377" s="402"/>
      <c r="AC377" s="198"/>
      <c r="AD377" s="219"/>
      <c r="AE377" s="401"/>
      <c r="AF377" s="402"/>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1"/>
      <c r="T378" s="402"/>
      <c r="U378" s="198"/>
      <c r="V378" s="219"/>
      <c r="W378" s="401"/>
      <c r="X378" s="402"/>
      <c r="Y378" s="198"/>
      <c r="Z378" s="219"/>
      <c r="AA378" s="401"/>
      <c r="AB378" s="402"/>
      <c r="AC378" s="198"/>
      <c r="AD378" s="219"/>
      <c r="AE378" s="401"/>
      <c r="AF378" s="402"/>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1"/>
      <c r="T379" s="402"/>
      <c r="U379" s="198"/>
      <c r="V379" s="219"/>
      <c r="W379" s="401"/>
      <c r="X379" s="402"/>
      <c r="Y379" s="198"/>
      <c r="Z379" s="219"/>
      <c r="AA379" s="401"/>
      <c r="AB379" s="402"/>
      <c r="AC379" s="198"/>
      <c r="AD379" s="219"/>
      <c r="AE379" s="401"/>
      <c r="AF379" s="402"/>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1"/>
      <c r="T380" s="402"/>
      <c r="U380" s="198"/>
      <c r="V380" s="219"/>
      <c r="W380" s="401"/>
      <c r="X380" s="402"/>
      <c r="Y380" s="198"/>
      <c r="Z380" s="219"/>
      <c r="AA380" s="401"/>
      <c r="AB380" s="402"/>
      <c r="AC380" s="198"/>
      <c r="AD380" s="219"/>
      <c r="AE380" s="401"/>
      <c r="AF380" s="402"/>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1"/>
      <c r="T381" s="402"/>
      <c r="U381" s="198"/>
      <c r="V381" s="219"/>
      <c r="W381" s="401"/>
      <c r="X381" s="402"/>
      <c r="Y381" s="198"/>
      <c r="Z381" s="219"/>
      <c r="AA381" s="401"/>
      <c r="AB381" s="402"/>
      <c r="AC381" s="198"/>
      <c r="AD381" s="219"/>
      <c r="AE381" s="401"/>
      <c r="AF381" s="402"/>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1"/>
      <c r="T382" s="402"/>
      <c r="U382" s="198"/>
      <c r="V382" s="219"/>
      <c r="W382" s="401"/>
      <c r="X382" s="402"/>
      <c r="Y382" s="198"/>
      <c r="Z382" s="219"/>
      <c r="AA382" s="401"/>
      <c r="AB382" s="402"/>
      <c r="AC382" s="198"/>
      <c r="AD382" s="219"/>
      <c r="AE382" s="401"/>
      <c r="AF382" s="402"/>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1"/>
      <c r="T383" s="402"/>
      <c r="U383" s="198"/>
      <c r="V383" s="219"/>
      <c r="W383" s="401"/>
      <c r="X383" s="402"/>
      <c r="Y383" s="198"/>
      <c r="Z383" s="219"/>
      <c r="AA383" s="401"/>
      <c r="AB383" s="402"/>
      <c r="AC383" s="198"/>
      <c r="AD383" s="219"/>
      <c r="AE383" s="401"/>
      <c r="AF383" s="402"/>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1"/>
      <c r="T384" s="402"/>
      <c r="U384" s="198"/>
      <c r="V384" s="219"/>
      <c r="W384" s="401"/>
      <c r="X384" s="402"/>
      <c r="Y384" s="198"/>
      <c r="Z384" s="219"/>
      <c r="AA384" s="401"/>
      <c r="AB384" s="402"/>
      <c r="AC384" s="198"/>
      <c r="AD384" s="219"/>
      <c r="AE384" s="401"/>
      <c r="AF384" s="402"/>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1"/>
      <c r="T385" s="402"/>
      <c r="U385" s="198"/>
      <c r="V385" s="219"/>
      <c r="W385" s="401"/>
      <c r="X385" s="402"/>
      <c r="Y385" s="198"/>
      <c r="Z385" s="219"/>
      <c r="AA385" s="401"/>
      <c r="AB385" s="402"/>
      <c r="AC385" s="198"/>
      <c r="AD385" s="219"/>
      <c r="AE385" s="401"/>
      <c r="AF385" s="402"/>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1"/>
      <c r="T386" s="402"/>
      <c r="U386" s="198"/>
      <c r="V386" s="219"/>
      <c r="W386" s="401"/>
      <c r="X386" s="402"/>
      <c r="Y386" s="198"/>
      <c r="Z386" s="219"/>
      <c r="AA386" s="401"/>
      <c r="AB386" s="402"/>
      <c r="AC386" s="198"/>
      <c r="AD386" s="219"/>
      <c r="AE386" s="401"/>
      <c r="AF386" s="402"/>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1"/>
      <c r="T387" s="402"/>
      <c r="U387" s="198"/>
      <c r="V387" s="219"/>
      <c r="W387" s="401"/>
      <c r="X387" s="402"/>
      <c r="Y387" s="198"/>
      <c r="Z387" s="219"/>
      <c r="AA387" s="401"/>
      <c r="AB387" s="402"/>
      <c r="AC387" s="198"/>
      <c r="AD387" s="219"/>
      <c r="AE387" s="401"/>
      <c r="AF387" s="402"/>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1"/>
      <c r="T388" s="402"/>
      <c r="U388" s="198"/>
      <c r="V388" s="219"/>
      <c r="W388" s="401"/>
      <c r="X388" s="402"/>
      <c r="Y388" s="198"/>
      <c r="Z388" s="219"/>
      <c r="AA388" s="401"/>
      <c r="AB388" s="402"/>
      <c r="AC388" s="198"/>
      <c r="AD388" s="219"/>
      <c r="AE388" s="401"/>
      <c r="AF388" s="402"/>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1"/>
      <c r="T389" s="402"/>
      <c r="U389" s="198"/>
      <c r="V389" s="219"/>
      <c r="W389" s="401"/>
      <c r="X389" s="402"/>
      <c r="Y389" s="198"/>
      <c r="Z389" s="219"/>
      <c r="AA389" s="401"/>
      <c r="AB389" s="402"/>
      <c r="AC389" s="198"/>
      <c r="AD389" s="219"/>
      <c r="AE389" s="401"/>
      <c r="AF389" s="402"/>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1"/>
      <c r="T390" s="402"/>
      <c r="U390" s="198"/>
      <c r="V390" s="219"/>
      <c r="W390" s="401"/>
      <c r="X390" s="402"/>
      <c r="Y390" s="198"/>
      <c r="Z390" s="219"/>
      <c r="AA390" s="401"/>
      <c r="AB390" s="402"/>
      <c r="AC390" s="198"/>
      <c r="AD390" s="219"/>
      <c r="AE390" s="401"/>
      <c r="AF390" s="402"/>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1"/>
      <c r="T391" s="402"/>
      <c r="U391" s="198"/>
      <c r="V391" s="219"/>
      <c r="W391" s="401"/>
      <c r="X391" s="402"/>
      <c r="Y391" s="198"/>
      <c r="Z391" s="219"/>
      <c r="AA391" s="401"/>
      <c r="AB391" s="402"/>
      <c r="AC391" s="198"/>
      <c r="AD391" s="219"/>
      <c r="AE391" s="401"/>
      <c r="AF391" s="402"/>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1"/>
      <c r="T392" s="402"/>
      <c r="U392" s="198"/>
      <c r="V392" s="219"/>
      <c r="W392" s="401"/>
      <c r="X392" s="402"/>
      <c r="Y392" s="198"/>
      <c r="Z392" s="219"/>
      <c r="AA392" s="401"/>
      <c r="AB392" s="402"/>
      <c r="AC392" s="198"/>
      <c r="AD392" s="219"/>
      <c r="AE392" s="401"/>
      <c r="AF392" s="402"/>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1"/>
      <c r="T393" s="402"/>
      <c r="U393" s="198"/>
      <c r="V393" s="219"/>
      <c r="W393" s="401"/>
      <c r="X393" s="402"/>
      <c r="Y393" s="198"/>
      <c r="Z393" s="219"/>
      <c r="AA393" s="401"/>
      <c r="AB393" s="402"/>
      <c r="AC393" s="198"/>
      <c r="AD393" s="219"/>
      <c r="AE393" s="401"/>
      <c r="AF393" s="402"/>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1"/>
      <c r="T394" s="402"/>
      <c r="U394" s="198"/>
      <c r="V394" s="219"/>
      <c r="W394" s="401"/>
      <c r="X394" s="402"/>
      <c r="Y394" s="198"/>
      <c r="Z394" s="219"/>
      <c r="AA394" s="401"/>
      <c r="AB394" s="402"/>
      <c r="AC394" s="198"/>
      <c r="AD394" s="219"/>
      <c r="AE394" s="401"/>
      <c r="AF394" s="402"/>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1"/>
      <c r="T395" s="402"/>
      <c r="U395" s="198"/>
      <c r="V395" s="219"/>
      <c r="W395" s="401"/>
      <c r="X395" s="402"/>
      <c r="Y395" s="198"/>
      <c r="Z395" s="219"/>
      <c r="AA395" s="401"/>
      <c r="AB395" s="402"/>
      <c r="AC395" s="198"/>
      <c r="AD395" s="219"/>
      <c r="AE395" s="401"/>
      <c r="AF395" s="402"/>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1"/>
      <c r="T396" s="402"/>
      <c r="U396" s="198"/>
      <c r="V396" s="219"/>
      <c r="W396" s="401"/>
      <c r="X396" s="402"/>
      <c r="Y396" s="198"/>
      <c r="Z396" s="219"/>
      <c r="AA396" s="401"/>
      <c r="AB396" s="402"/>
      <c r="AC396" s="198"/>
      <c r="AD396" s="219"/>
      <c r="AE396" s="401"/>
      <c r="AF396" s="402"/>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1"/>
      <c r="T397" s="402"/>
      <c r="U397" s="198"/>
      <c r="V397" s="219"/>
      <c r="W397" s="401"/>
      <c r="X397" s="402"/>
      <c r="Y397" s="198"/>
      <c r="Z397" s="219"/>
      <c r="AA397" s="401"/>
      <c r="AB397" s="402"/>
      <c r="AC397" s="198"/>
      <c r="AD397" s="219"/>
      <c r="AE397" s="401"/>
      <c r="AF397" s="402"/>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1"/>
      <c r="T398" s="402"/>
      <c r="U398" s="198"/>
      <c r="V398" s="219"/>
      <c r="W398" s="401"/>
      <c r="X398" s="402"/>
      <c r="Y398" s="198"/>
      <c r="Z398" s="219"/>
      <c r="AA398" s="401"/>
      <c r="AB398" s="402"/>
      <c r="AC398" s="198"/>
      <c r="AD398" s="219"/>
      <c r="AE398" s="401"/>
      <c r="AF398" s="402"/>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1"/>
      <c r="T399" s="402"/>
      <c r="U399" s="198"/>
      <c r="V399" s="219"/>
      <c r="W399" s="401"/>
      <c r="X399" s="402"/>
      <c r="Y399" s="198"/>
      <c r="Z399" s="219"/>
      <c r="AA399" s="401"/>
      <c r="AB399" s="402"/>
      <c r="AC399" s="198"/>
      <c r="AD399" s="219"/>
      <c r="AE399" s="401"/>
      <c r="AF399" s="402"/>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1"/>
      <c r="T400" s="402"/>
      <c r="U400" s="198"/>
      <c r="V400" s="219"/>
      <c r="W400" s="401"/>
      <c r="X400" s="402"/>
      <c r="Y400" s="198"/>
      <c r="Z400" s="219"/>
      <c r="AA400" s="401"/>
      <c r="AB400" s="402"/>
      <c r="AC400" s="198"/>
      <c r="AD400" s="219"/>
      <c r="AE400" s="401"/>
      <c r="AF400" s="402"/>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1"/>
      <c r="T401" s="402"/>
      <c r="U401" s="198"/>
      <c r="V401" s="219"/>
      <c r="W401" s="401"/>
      <c r="X401" s="402"/>
      <c r="Y401" s="198"/>
      <c r="Z401" s="219"/>
      <c r="AA401" s="401"/>
      <c r="AB401" s="402"/>
      <c r="AC401" s="198"/>
      <c r="AD401" s="219"/>
      <c r="AE401" s="401"/>
      <c r="AF401" s="402"/>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1"/>
      <c r="T402" s="402"/>
      <c r="U402" s="198"/>
      <c r="V402" s="219"/>
      <c r="W402" s="401"/>
      <c r="X402" s="402"/>
      <c r="Y402" s="198"/>
      <c r="Z402" s="219"/>
      <c r="AA402" s="401"/>
      <c r="AB402" s="402"/>
      <c r="AC402" s="198"/>
      <c r="AD402" s="219"/>
      <c r="AE402" s="401"/>
      <c r="AF402" s="402"/>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1"/>
      <c r="T403" s="402"/>
      <c r="U403" s="198"/>
      <c r="V403" s="219"/>
      <c r="W403" s="401"/>
      <c r="X403" s="402"/>
      <c r="Y403" s="198"/>
      <c r="Z403" s="219"/>
      <c r="AA403" s="401"/>
      <c r="AB403" s="402"/>
      <c r="AC403" s="198"/>
      <c r="AD403" s="219"/>
      <c r="AE403" s="401"/>
      <c r="AF403" s="402"/>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1"/>
      <c r="T404" s="402"/>
      <c r="U404" s="198"/>
      <c r="V404" s="219"/>
      <c r="W404" s="401"/>
      <c r="X404" s="402"/>
      <c r="Y404" s="198"/>
      <c r="Z404" s="219"/>
      <c r="AA404" s="401"/>
      <c r="AB404" s="402"/>
      <c r="AC404" s="198"/>
      <c r="AD404" s="219"/>
      <c r="AE404" s="401"/>
      <c r="AF404" s="402"/>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1"/>
      <c r="T405" s="402"/>
      <c r="U405" s="198"/>
      <c r="V405" s="219"/>
      <c r="W405" s="401"/>
      <c r="X405" s="402"/>
      <c r="Y405" s="198"/>
      <c r="Z405" s="219"/>
      <c r="AA405" s="401"/>
      <c r="AB405" s="402"/>
      <c r="AC405" s="198"/>
      <c r="AD405" s="219"/>
      <c r="AE405" s="401"/>
      <c r="AF405" s="402"/>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1"/>
      <c r="T406" s="402"/>
      <c r="U406" s="198"/>
      <c r="V406" s="219"/>
      <c r="W406" s="401"/>
      <c r="X406" s="402"/>
      <c r="Y406" s="198"/>
      <c r="Z406" s="219"/>
      <c r="AA406" s="401"/>
      <c r="AB406" s="402"/>
      <c r="AC406" s="198"/>
      <c r="AD406" s="219"/>
      <c r="AE406" s="401"/>
      <c r="AF406" s="402"/>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1"/>
      <c r="T407" s="402"/>
      <c r="U407" s="198"/>
      <c r="V407" s="219"/>
      <c r="W407" s="401"/>
      <c r="X407" s="402"/>
      <c r="Y407" s="198"/>
      <c r="Z407" s="219"/>
      <c r="AA407" s="401"/>
      <c r="AB407" s="402"/>
      <c r="AC407" s="198"/>
      <c r="AD407" s="219"/>
      <c r="AE407" s="401"/>
      <c r="AF407" s="402"/>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1"/>
      <c r="T408" s="402"/>
      <c r="U408" s="198"/>
      <c r="V408" s="219"/>
      <c r="W408" s="401"/>
      <c r="X408" s="402"/>
      <c r="Y408" s="198"/>
      <c r="Z408" s="219"/>
      <c r="AA408" s="401"/>
      <c r="AB408" s="402"/>
      <c r="AC408" s="198"/>
      <c r="AD408" s="219"/>
      <c r="AE408" s="401"/>
      <c r="AF408" s="402"/>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1"/>
      <c r="T409" s="402"/>
      <c r="U409" s="198"/>
      <c r="V409" s="219"/>
      <c r="W409" s="401"/>
      <c r="X409" s="402"/>
      <c r="Y409" s="198"/>
      <c r="Z409" s="219"/>
      <c r="AA409" s="401"/>
      <c r="AB409" s="402"/>
      <c r="AC409" s="198"/>
      <c r="AD409" s="219"/>
      <c r="AE409" s="401"/>
      <c r="AF409" s="402"/>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1"/>
      <c r="T410" s="402"/>
      <c r="U410" s="198"/>
      <c r="V410" s="219"/>
      <c r="W410" s="401"/>
      <c r="X410" s="402"/>
      <c r="Y410" s="198"/>
      <c r="Z410" s="219"/>
      <c r="AA410" s="401"/>
      <c r="AB410" s="402"/>
      <c r="AC410" s="198"/>
      <c r="AD410" s="219"/>
      <c r="AE410" s="401"/>
      <c r="AF410" s="402"/>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1"/>
      <c r="T411" s="402"/>
      <c r="U411" s="198"/>
      <c r="V411" s="219"/>
      <c r="W411" s="401"/>
      <c r="X411" s="402"/>
      <c r="Y411" s="198"/>
      <c r="Z411" s="219"/>
      <c r="AA411" s="401"/>
      <c r="AB411" s="402"/>
      <c r="AC411" s="198"/>
      <c r="AD411" s="219"/>
      <c r="AE411" s="401"/>
      <c r="AF411" s="402"/>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1"/>
      <c r="T412" s="402"/>
      <c r="U412" s="198"/>
      <c r="V412" s="219"/>
      <c r="W412" s="401"/>
      <c r="X412" s="402"/>
      <c r="Y412" s="198"/>
      <c r="Z412" s="219"/>
      <c r="AA412" s="401"/>
      <c r="AB412" s="402"/>
      <c r="AC412" s="198"/>
      <c r="AD412" s="219"/>
      <c r="AE412" s="401"/>
      <c r="AF412" s="402"/>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1"/>
      <c r="T413" s="402"/>
      <c r="U413" s="198"/>
      <c r="V413" s="219"/>
      <c r="W413" s="401"/>
      <c r="X413" s="402"/>
      <c r="Y413" s="198"/>
      <c r="Z413" s="219"/>
      <c r="AA413" s="401"/>
      <c r="AB413" s="402"/>
      <c r="AC413" s="198"/>
      <c r="AD413" s="219"/>
      <c r="AE413" s="401"/>
      <c r="AF413" s="402"/>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1"/>
      <c r="T414" s="402"/>
      <c r="U414" s="198"/>
      <c r="V414" s="219"/>
      <c r="W414" s="401"/>
      <c r="X414" s="402"/>
      <c r="Y414" s="198"/>
      <c r="Z414" s="219"/>
      <c r="AA414" s="401"/>
      <c r="AB414" s="402"/>
      <c r="AC414" s="198"/>
      <c r="AD414" s="219"/>
      <c r="AE414" s="401"/>
      <c r="AF414" s="402"/>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1"/>
      <c r="T415" s="402"/>
      <c r="U415" s="198"/>
      <c r="V415" s="219"/>
      <c r="W415" s="401"/>
      <c r="X415" s="402"/>
      <c r="Y415" s="198"/>
      <c r="Z415" s="219"/>
      <c r="AA415" s="401"/>
      <c r="AB415" s="402"/>
      <c r="AC415" s="198"/>
      <c r="AD415" s="219"/>
      <c r="AE415" s="401"/>
      <c r="AF415" s="402"/>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1"/>
      <c r="T416" s="402"/>
      <c r="U416" s="198"/>
      <c r="V416" s="219"/>
      <c r="W416" s="401"/>
      <c r="X416" s="402"/>
      <c r="Y416" s="198"/>
      <c r="Z416" s="219"/>
      <c r="AA416" s="401"/>
      <c r="AB416" s="402"/>
      <c r="AC416" s="198"/>
      <c r="AD416" s="219"/>
      <c r="AE416" s="401"/>
      <c r="AF416" s="402"/>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1"/>
      <c r="T417" s="402"/>
      <c r="U417" s="198"/>
      <c r="V417" s="219"/>
      <c r="W417" s="401"/>
      <c r="X417" s="402"/>
      <c r="Y417" s="198"/>
      <c r="Z417" s="219"/>
      <c r="AA417" s="401"/>
      <c r="AB417" s="402"/>
      <c r="AC417" s="198"/>
      <c r="AD417" s="219"/>
      <c r="AE417" s="401"/>
      <c r="AF417" s="402"/>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1"/>
      <c r="T418" s="402"/>
      <c r="U418" s="198"/>
      <c r="V418" s="219"/>
      <c r="W418" s="401"/>
      <c r="X418" s="402"/>
      <c r="Y418" s="198"/>
      <c r="Z418" s="219"/>
      <c r="AA418" s="401"/>
      <c r="AB418" s="402"/>
      <c r="AC418" s="198"/>
      <c r="AD418" s="219"/>
      <c r="AE418" s="401"/>
      <c r="AF418" s="402"/>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1"/>
      <c r="T419" s="402"/>
      <c r="U419" s="198"/>
      <c r="V419" s="219"/>
      <c r="W419" s="401"/>
      <c r="X419" s="402"/>
      <c r="Y419" s="198"/>
      <c r="Z419" s="219"/>
      <c r="AA419" s="401"/>
      <c r="AB419" s="402"/>
      <c r="AC419" s="198"/>
      <c r="AD419" s="219"/>
      <c r="AE419" s="401"/>
      <c r="AF419" s="402"/>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1"/>
      <c r="T420" s="402"/>
      <c r="U420" s="198"/>
      <c r="V420" s="219"/>
      <c r="W420" s="401"/>
      <c r="X420" s="402"/>
      <c r="Y420" s="198"/>
      <c r="Z420" s="219"/>
      <c r="AA420" s="401"/>
      <c r="AB420" s="402"/>
      <c r="AC420" s="198"/>
      <c r="AD420" s="219"/>
      <c r="AE420" s="401"/>
      <c r="AF420" s="402"/>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1"/>
      <c r="T421" s="402"/>
      <c r="U421" s="198"/>
      <c r="V421" s="219"/>
      <c r="W421" s="401"/>
      <c r="X421" s="402"/>
      <c r="Y421" s="198"/>
      <c r="Z421" s="219"/>
      <c r="AA421" s="401"/>
      <c r="AB421" s="402"/>
      <c r="AC421" s="198"/>
      <c r="AD421" s="219"/>
      <c r="AE421" s="401"/>
      <c r="AF421" s="402"/>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1"/>
      <c r="T422" s="402"/>
      <c r="U422" s="198"/>
      <c r="V422" s="219"/>
      <c r="W422" s="401"/>
      <c r="X422" s="402"/>
      <c r="Y422" s="198"/>
      <c r="Z422" s="219"/>
      <c r="AA422" s="401"/>
      <c r="AB422" s="402"/>
      <c r="AC422" s="198"/>
      <c r="AD422" s="219"/>
      <c r="AE422" s="401"/>
      <c r="AF422" s="402"/>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1"/>
      <c r="T423" s="402"/>
      <c r="U423" s="198"/>
      <c r="V423" s="219"/>
      <c r="W423" s="401"/>
      <c r="X423" s="402"/>
      <c r="Y423" s="198"/>
      <c r="Z423" s="219"/>
      <c r="AA423" s="401"/>
      <c r="AB423" s="402"/>
      <c r="AC423" s="198"/>
      <c r="AD423" s="219"/>
      <c r="AE423" s="401"/>
      <c r="AF423" s="402"/>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1"/>
      <c r="T424" s="402"/>
      <c r="U424" s="198"/>
      <c r="V424" s="219"/>
      <c r="W424" s="401"/>
      <c r="X424" s="402"/>
      <c r="Y424" s="198"/>
      <c r="Z424" s="219"/>
      <c r="AA424" s="401"/>
      <c r="AB424" s="402"/>
      <c r="AC424" s="198"/>
      <c r="AD424" s="219"/>
      <c r="AE424" s="401"/>
      <c r="AF424" s="402"/>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1"/>
      <c r="T425" s="402"/>
      <c r="U425" s="198"/>
      <c r="V425" s="219"/>
      <c r="W425" s="401"/>
      <c r="X425" s="402"/>
      <c r="Y425" s="198"/>
      <c r="Z425" s="219"/>
      <c r="AA425" s="401"/>
      <c r="AB425" s="402"/>
      <c r="AC425" s="198"/>
      <c r="AD425" s="219"/>
      <c r="AE425" s="401"/>
      <c r="AF425" s="402"/>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1"/>
      <c r="T426" s="402"/>
      <c r="U426" s="198"/>
      <c r="V426" s="219"/>
      <c r="W426" s="401"/>
      <c r="X426" s="402"/>
      <c r="Y426" s="198"/>
      <c r="Z426" s="219"/>
      <c r="AA426" s="401"/>
      <c r="AB426" s="402"/>
      <c r="AC426" s="198"/>
      <c r="AD426" s="219"/>
      <c r="AE426" s="401"/>
      <c r="AF426" s="402"/>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1"/>
      <c r="T427" s="402"/>
      <c r="U427" s="198"/>
      <c r="V427" s="219"/>
      <c r="W427" s="401"/>
      <c r="X427" s="402"/>
      <c r="Y427" s="198"/>
      <c r="Z427" s="219"/>
      <c r="AA427" s="401"/>
      <c r="AB427" s="402"/>
      <c r="AC427" s="198"/>
      <c r="AD427" s="219"/>
      <c r="AE427" s="401"/>
      <c r="AF427" s="402"/>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1"/>
      <c r="T428" s="402"/>
      <c r="U428" s="198"/>
      <c r="V428" s="219"/>
      <c r="W428" s="401"/>
      <c r="X428" s="402"/>
      <c r="Y428" s="198"/>
      <c r="Z428" s="219"/>
      <c r="AA428" s="401"/>
      <c r="AB428" s="402"/>
      <c r="AC428" s="198"/>
      <c r="AD428" s="219"/>
      <c r="AE428" s="401"/>
      <c r="AF428" s="402"/>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1"/>
      <c r="T429" s="402"/>
      <c r="U429" s="198"/>
      <c r="V429" s="219"/>
      <c r="W429" s="401"/>
      <c r="X429" s="402"/>
      <c r="Y429" s="198"/>
      <c r="Z429" s="219"/>
      <c r="AA429" s="401"/>
      <c r="AB429" s="402"/>
      <c r="AC429" s="198"/>
      <c r="AD429" s="219"/>
      <c r="AE429" s="401"/>
      <c r="AF429" s="402"/>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1"/>
      <c r="T430" s="402"/>
      <c r="U430" s="198"/>
      <c r="V430" s="219"/>
      <c r="W430" s="401"/>
      <c r="X430" s="402"/>
      <c r="Y430" s="198"/>
      <c r="Z430" s="219"/>
      <c r="AA430" s="401"/>
      <c r="AB430" s="402"/>
      <c r="AC430" s="198"/>
      <c r="AD430" s="219"/>
      <c r="AE430" s="401"/>
      <c r="AF430" s="402"/>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1"/>
      <c r="T431" s="402"/>
      <c r="U431" s="198"/>
      <c r="V431" s="219"/>
      <c r="W431" s="401"/>
      <c r="X431" s="402"/>
      <c r="Y431" s="198"/>
      <c r="Z431" s="219"/>
      <c r="AA431" s="401"/>
      <c r="AB431" s="402"/>
      <c r="AC431" s="198"/>
      <c r="AD431" s="219"/>
      <c r="AE431" s="401"/>
      <c r="AF431" s="402"/>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1"/>
      <c r="T432" s="402"/>
      <c r="U432" s="198"/>
      <c r="V432" s="219"/>
      <c r="W432" s="401"/>
      <c r="X432" s="402"/>
      <c r="Y432" s="198"/>
      <c r="Z432" s="219"/>
      <c r="AA432" s="401"/>
      <c r="AB432" s="402"/>
      <c r="AC432" s="198"/>
      <c r="AD432" s="219"/>
      <c r="AE432" s="401"/>
      <c r="AF432" s="402"/>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1"/>
      <c r="T433" s="402"/>
      <c r="U433" s="198"/>
      <c r="V433" s="219"/>
      <c r="W433" s="401"/>
      <c r="X433" s="402"/>
      <c r="Y433" s="198"/>
      <c r="Z433" s="219"/>
      <c r="AA433" s="401"/>
      <c r="AB433" s="402"/>
      <c r="AC433" s="198"/>
      <c r="AD433" s="219"/>
      <c r="AE433" s="401"/>
      <c r="AF433" s="402"/>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1"/>
      <c r="T434" s="402"/>
      <c r="U434" s="198"/>
      <c r="V434" s="219"/>
      <c r="W434" s="401"/>
      <c r="X434" s="402"/>
      <c r="Y434" s="198"/>
      <c r="Z434" s="219"/>
      <c r="AA434" s="401"/>
      <c r="AB434" s="402"/>
      <c r="AC434" s="198"/>
      <c r="AD434" s="219"/>
      <c r="AE434" s="401"/>
      <c r="AF434" s="402"/>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1"/>
      <c r="T435" s="402"/>
      <c r="U435" s="198"/>
      <c r="V435" s="219"/>
      <c r="W435" s="401"/>
      <c r="X435" s="402"/>
      <c r="Y435" s="198"/>
      <c r="Z435" s="219"/>
      <c r="AA435" s="401"/>
      <c r="AB435" s="402"/>
      <c r="AC435" s="198"/>
      <c r="AD435" s="219"/>
      <c r="AE435" s="401"/>
      <c r="AF435" s="402"/>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1"/>
      <c r="T436" s="402"/>
      <c r="U436" s="198"/>
      <c r="V436" s="219"/>
      <c r="W436" s="401"/>
      <c r="X436" s="402"/>
      <c r="Y436" s="198"/>
      <c r="Z436" s="219"/>
      <c r="AA436" s="401"/>
      <c r="AB436" s="402"/>
      <c r="AC436" s="198"/>
      <c r="AD436" s="219"/>
      <c r="AE436" s="401"/>
      <c r="AF436" s="402"/>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1"/>
      <c r="T437" s="402"/>
      <c r="U437" s="198"/>
      <c r="V437" s="219"/>
      <c r="W437" s="401"/>
      <c r="X437" s="402"/>
      <c r="Y437" s="198"/>
      <c r="Z437" s="219"/>
      <c r="AA437" s="401"/>
      <c r="AB437" s="402"/>
      <c r="AC437" s="198"/>
      <c r="AD437" s="219"/>
      <c r="AE437" s="401"/>
      <c r="AF437" s="402"/>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1"/>
      <c r="T438" s="402"/>
      <c r="U438" s="198"/>
      <c r="V438" s="219"/>
      <c r="W438" s="401"/>
      <c r="X438" s="402"/>
      <c r="Y438" s="198"/>
      <c r="Z438" s="219"/>
      <c r="AA438" s="401"/>
      <c r="AB438" s="402"/>
      <c r="AC438" s="198"/>
      <c r="AD438" s="219"/>
      <c r="AE438" s="401"/>
      <c r="AF438" s="402"/>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1"/>
      <c r="T439" s="402"/>
      <c r="U439" s="198"/>
      <c r="V439" s="219"/>
      <c r="W439" s="401"/>
      <c r="X439" s="402"/>
      <c r="Y439" s="198"/>
      <c r="Z439" s="219"/>
      <c r="AA439" s="401"/>
      <c r="AB439" s="402"/>
      <c r="AC439" s="198"/>
      <c r="AD439" s="219"/>
      <c r="AE439" s="401"/>
      <c r="AF439" s="402"/>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1"/>
      <c r="T440" s="402"/>
      <c r="U440" s="198"/>
      <c r="V440" s="219"/>
      <c r="W440" s="401"/>
      <c r="X440" s="402"/>
      <c r="Y440" s="198"/>
      <c r="Z440" s="219"/>
      <c r="AA440" s="401"/>
      <c r="AB440" s="402"/>
      <c r="AC440" s="198"/>
      <c r="AD440" s="219"/>
      <c r="AE440" s="401"/>
      <c r="AF440" s="402"/>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1"/>
      <c r="T441" s="402"/>
      <c r="U441" s="198"/>
      <c r="V441" s="219"/>
      <c r="W441" s="401"/>
      <c r="X441" s="402"/>
      <c r="Y441" s="198"/>
      <c r="Z441" s="219"/>
      <c r="AA441" s="401"/>
      <c r="AB441" s="402"/>
      <c r="AC441" s="198"/>
      <c r="AD441" s="219"/>
      <c r="AE441" s="401"/>
      <c r="AF441" s="402"/>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1"/>
      <c r="T442" s="402"/>
      <c r="U442" s="198"/>
      <c r="V442" s="219"/>
      <c r="W442" s="401"/>
      <c r="X442" s="402"/>
      <c r="Y442" s="198"/>
      <c r="Z442" s="219"/>
      <c r="AA442" s="401"/>
      <c r="AB442" s="402"/>
      <c r="AC442" s="198"/>
      <c r="AD442" s="219"/>
      <c r="AE442" s="401"/>
      <c r="AF442" s="402"/>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1"/>
      <c r="T443" s="402"/>
      <c r="U443" s="198"/>
      <c r="V443" s="219"/>
      <c r="W443" s="401"/>
      <c r="X443" s="402"/>
      <c r="Y443" s="198"/>
      <c r="Z443" s="219"/>
      <c r="AA443" s="401"/>
      <c r="AB443" s="402"/>
      <c r="AC443" s="198"/>
      <c r="AD443" s="219"/>
      <c r="AE443" s="401"/>
      <c r="AF443" s="402"/>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1"/>
      <c r="T444" s="402"/>
      <c r="U444" s="198"/>
      <c r="V444" s="219"/>
      <c r="W444" s="401"/>
      <c r="X444" s="402"/>
      <c r="Y444" s="198"/>
      <c r="Z444" s="219"/>
      <c r="AA444" s="401"/>
      <c r="AB444" s="402"/>
      <c r="AC444" s="198"/>
      <c r="AD444" s="219"/>
      <c r="AE444" s="401"/>
      <c r="AF444" s="402"/>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1"/>
      <c r="T445" s="402"/>
      <c r="U445" s="198"/>
      <c r="V445" s="219"/>
      <c r="W445" s="401"/>
      <c r="X445" s="402"/>
      <c r="Y445" s="198"/>
      <c r="Z445" s="219"/>
      <c r="AA445" s="401"/>
      <c r="AB445" s="402"/>
      <c r="AC445" s="198"/>
      <c r="AD445" s="219"/>
      <c r="AE445" s="401"/>
      <c r="AF445" s="402"/>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1"/>
      <c r="T446" s="402"/>
      <c r="U446" s="198"/>
      <c r="V446" s="219"/>
      <c r="W446" s="401"/>
      <c r="X446" s="402"/>
      <c r="Y446" s="198"/>
      <c r="Z446" s="219"/>
      <c r="AA446" s="401"/>
      <c r="AB446" s="402"/>
      <c r="AC446" s="198"/>
      <c r="AD446" s="219"/>
      <c r="AE446" s="401"/>
      <c r="AF446" s="402"/>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1"/>
      <c r="T447" s="402"/>
      <c r="U447" s="198"/>
      <c r="V447" s="219"/>
      <c r="W447" s="401"/>
      <c r="X447" s="402"/>
      <c r="Y447" s="198"/>
      <c r="Z447" s="219"/>
      <c r="AA447" s="401"/>
      <c r="AB447" s="402"/>
      <c r="AC447" s="198"/>
      <c r="AD447" s="219"/>
      <c r="AE447" s="401"/>
      <c r="AF447" s="402"/>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1"/>
      <c r="T448" s="402"/>
      <c r="U448" s="198"/>
      <c r="V448" s="219"/>
      <c r="W448" s="401"/>
      <c r="X448" s="402"/>
      <c r="Y448" s="198"/>
      <c r="Z448" s="219"/>
      <c r="AA448" s="401"/>
      <c r="AB448" s="402"/>
      <c r="AC448" s="198"/>
      <c r="AD448" s="219"/>
      <c r="AE448" s="401"/>
      <c r="AF448" s="402"/>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1"/>
      <c r="T449" s="402"/>
      <c r="U449" s="198"/>
      <c r="V449" s="219"/>
      <c r="W449" s="401"/>
      <c r="X449" s="402"/>
      <c r="Y449" s="198"/>
      <c r="Z449" s="219"/>
      <c r="AA449" s="401"/>
      <c r="AB449" s="402"/>
      <c r="AC449" s="198"/>
      <c r="AD449" s="219"/>
      <c r="AE449" s="401"/>
      <c r="AF449" s="402"/>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1"/>
      <c r="T450" s="402"/>
      <c r="U450" s="198"/>
      <c r="V450" s="219"/>
      <c r="W450" s="401"/>
      <c r="X450" s="402"/>
      <c r="Y450" s="198"/>
      <c r="Z450" s="219"/>
      <c r="AA450" s="401"/>
      <c r="AB450" s="402"/>
      <c r="AC450" s="198"/>
      <c r="AD450" s="219"/>
      <c r="AE450" s="401"/>
      <c r="AF450" s="402"/>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1"/>
      <c r="T451" s="402"/>
      <c r="U451" s="198"/>
      <c r="V451" s="219"/>
      <c r="W451" s="401"/>
      <c r="X451" s="402"/>
      <c r="Y451" s="198"/>
      <c r="Z451" s="219"/>
      <c r="AA451" s="401"/>
      <c r="AB451" s="402"/>
      <c r="AC451" s="198"/>
      <c r="AD451" s="219"/>
      <c r="AE451" s="401"/>
      <c r="AF451" s="402"/>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1"/>
      <c r="T452" s="402"/>
      <c r="U452" s="198"/>
      <c r="V452" s="219"/>
      <c r="W452" s="401"/>
      <c r="X452" s="402"/>
      <c r="Y452" s="198"/>
      <c r="Z452" s="219"/>
      <c r="AA452" s="401"/>
      <c r="AB452" s="402"/>
      <c r="AC452" s="198"/>
      <c r="AD452" s="219"/>
      <c r="AE452" s="401"/>
      <c r="AF452" s="402"/>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1"/>
      <c r="T453" s="402"/>
      <c r="U453" s="198"/>
      <c r="V453" s="219"/>
      <c r="W453" s="401"/>
      <c r="X453" s="402"/>
      <c r="Y453" s="198"/>
      <c r="Z453" s="219"/>
      <c r="AA453" s="401"/>
      <c r="AB453" s="402"/>
      <c r="AC453" s="198"/>
      <c r="AD453" s="219"/>
      <c r="AE453" s="401"/>
      <c r="AF453" s="402"/>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1"/>
      <c r="T454" s="402"/>
      <c r="U454" s="198"/>
      <c r="V454" s="219"/>
      <c r="W454" s="401"/>
      <c r="X454" s="402"/>
      <c r="Y454" s="198"/>
      <c r="Z454" s="219"/>
      <c r="AA454" s="401"/>
      <c r="AB454" s="402"/>
      <c r="AC454" s="198"/>
      <c r="AD454" s="219"/>
      <c r="AE454" s="401"/>
      <c r="AF454" s="402"/>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1"/>
      <c r="T455" s="402"/>
      <c r="U455" s="198"/>
      <c r="V455" s="219"/>
      <c r="W455" s="401"/>
      <c r="X455" s="402"/>
      <c r="Y455" s="198"/>
      <c r="Z455" s="219"/>
      <c r="AA455" s="401"/>
      <c r="AB455" s="402"/>
      <c r="AC455" s="198"/>
      <c r="AD455" s="219"/>
      <c r="AE455" s="401"/>
      <c r="AF455" s="402"/>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1"/>
      <c r="T456" s="402"/>
      <c r="U456" s="198"/>
      <c r="V456" s="219"/>
      <c r="W456" s="401"/>
      <c r="X456" s="402"/>
      <c r="Y456" s="198"/>
      <c r="Z456" s="219"/>
      <c r="AA456" s="401"/>
      <c r="AB456" s="402"/>
      <c r="AC456" s="198"/>
      <c r="AD456" s="219"/>
      <c r="AE456" s="401"/>
      <c r="AF456" s="402"/>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1"/>
      <c r="T457" s="402"/>
      <c r="U457" s="198"/>
      <c r="V457" s="219"/>
      <c r="W457" s="401"/>
      <c r="X457" s="402"/>
      <c r="Y457" s="198"/>
      <c r="Z457" s="219"/>
      <c r="AA457" s="401"/>
      <c r="AB457" s="402"/>
      <c r="AC457" s="198"/>
      <c r="AD457" s="219"/>
      <c r="AE457" s="401"/>
      <c r="AF457" s="402"/>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1"/>
      <c r="T458" s="402"/>
      <c r="U458" s="198"/>
      <c r="V458" s="219"/>
      <c r="W458" s="401"/>
      <c r="X458" s="402"/>
      <c r="Y458" s="198"/>
      <c r="Z458" s="219"/>
      <c r="AA458" s="401"/>
      <c r="AB458" s="402"/>
      <c r="AC458" s="198"/>
      <c r="AD458" s="219"/>
      <c r="AE458" s="401"/>
      <c r="AF458" s="402"/>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1"/>
      <c r="T459" s="402"/>
      <c r="U459" s="198"/>
      <c r="V459" s="219"/>
      <c r="W459" s="401"/>
      <c r="X459" s="402"/>
      <c r="Y459" s="198"/>
      <c r="Z459" s="219"/>
      <c r="AA459" s="401"/>
      <c r="AB459" s="402"/>
      <c r="AC459" s="198"/>
      <c r="AD459" s="219"/>
      <c r="AE459" s="401"/>
      <c r="AF459" s="402"/>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1"/>
      <c r="T460" s="402"/>
      <c r="U460" s="198"/>
      <c r="V460" s="219"/>
      <c r="W460" s="401"/>
      <c r="X460" s="402"/>
      <c r="Y460" s="198"/>
      <c r="Z460" s="219"/>
      <c r="AA460" s="401"/>
      <c r="AB460" s="402"/>
      <c r="AC460" s="198"/>
      <c r="AD460" s="219"/>
      <c r="AE460" s="401"/>
      <c r="AF460" s="402"/>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1"/>
      <c r="T461" s="402"/>
      <c r="U461" s="198"/>
      <c r="V461" s="219"/>
      <c r="W461" s="401"/>
      <c r="X461" s="402"/>
      <c r="Y461" s="198"/>
      <c r="Z461" s="219"/>
      <c r="AA461" s="401"/>
      <c r="AB461" s="402"/>
      <c r="AC461" s="198"/>
      <c r="AD461" s="219"/>
      <c r="AE461" s="401"/>
      <c r="AF461" s="402"/>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1"/>
      <c r="T462" s="402"/>
      <c r="U462" s="198"/>
      <c r="V462" s="219"/>
      <c r="W462" s="401"/>
      <c r="X462" s="402"/>
      <c r="Y462" s="198"/>
      <c r="Z462" s="219"/>
      <c r="AA462" s="401"/>
      <c r="AB462" s="402"/>
      <c r="AC462" s="198"/>
      <c r="AD462" s="219"/>
      <c r="AE462" s="401"/>
      <c r="AF462" s="402"/>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1"/>
      <c r="T463" s="402"/>
      <c r="U463" s="198"/>
      <c r="V463" s="219"/>
      <c r="W463" s="401"/>
      <c r="X463" s="402"/>
      <c r="Y463" s="198"/>
      <c r="Z463" s="219"/>
      <c r="AA463" s="401"/>
      <c r="AB463" s="402"/>
      <c r="AC463" s="198"/>
      <c r="AD463" s="219"/>
      <c r="AE463" s="401"/>
      <c r="AF463" s="402"/>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1"/>
      <c r="T464" s="402"/>
      <c r="U464" s="198"/>
      <c r="V464" s="219"/>
      <c r="W464" s="401"/>
      <c r="X464" s="402"/>
      <c r="Y464" s="198"/>
      <c r="Z464" s="219"/>
      <c r="AA464" s="401"/>
      <c r="AB464" s="402"/>
      <c r="AC464" s="198"/>
      <c r="AD464" s="219"/>
      <c r="AE464" s="401"/>
      <c r="AF464" s="402"/>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1"/>
      <c r="T465" s="402"/>
      <c r="U465" s="198"/>
      <c r="V465" s="219"/>
      <c r="W465" s="401"/>
      <c r="X465" s="402"/>
      <c r="Y465" s="198"/>
      <c r="Z465" s="219"/>
      <c r="AA465" s="401"/>
      <c r="AB465" s="402"/>
      <c r="AC465" s="198"/>
      <c r="AD465" s="219"/>
      <c r="AE465" s="401"/>
      <c r="AF465" s="402"/>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1"/>
      <c r="T466" s="402"/>
      <c r="U466" s="198"/>
      <c r="V466" s="219"/>
      <c r="W466" s="401"/>
      <c r="X466" s="402"/>
      <c r="Y466" s="198"/>
      <c r="Z466" s="219"/>
      <c r="AA466" s="401"/>
      <c r="AB466" s="402"/>
      <c r="AC466" s="198"/>
      <c r="AD466" s="219"/>
      <c r="AE466" s="401"/>
      <c r="AF466" s="402"/>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1"/>
      <c r="T467" s="402"/>
      <c r="U467" s="198"/>
      <c r="V467" s="219"/>
      <c r="W467" s="401"/>
      <c r="X467" s="402"/>
      <c r="Y467" s="198"/>
      <c r="Z467" s="219"/>
      <c r="AA467" s="401"/>
      <c r="AB467" s="402"/>
      <c r="AC467" s="198"/>
      <c r="AD467" s="219"/>
      <c r="AE467" s="401"/>
      <c r="AF467" s="402"/>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1"/>
      <c r="T468" s="402"/>
      <c r="U468" s="198"/>
      <c r="V468" s="219"/>
      <c r="W468" s="401"/>
      <c r="X468" s="402"/>
      <c r="Y468" s="198"/>
      <c r="Z468" s="219"/>
      <c r="AA468" s="401"/>
      <c r="AB468" s="402"/>
      <c r="AC468" s="198"/>
      <c r="AD468" s="219"/>
      <c r="AE468" s="401"/>
      <c r="AF468" s="402"/>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1"/>
      <c r="T469" s="402"/>
      <c r="U469" s="198"/>
      <c r="V469" s="219"/>
      <c r="W469" s="401"/>
      <c r="X469" s="402"/>
      <c r="Y469" s="198"/>
      <c r="Z469" s="219"/>
      <c r="AA469" s="401"/>
      <c r="AB469" s="402"/>
      <c r="AC469" s="198"/>
      <c r="AD469" s="219"/>
      <c r="AE469" s="401"/>
      <c r="AF469" s="402"/>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1"/>
      <c r="T470" s="402"/>
      <c r="U470" s="198"/>
      <c r="V470" s="219"/>
      <c r="W470" s="401"/>
      <c r="X470" s="402"/>
      <c r="Y470" s="198"/>
      <c r="Z470" s="219"/>
      <c r="AA470" s="401"/>
      <c r="AB470" s="402"/>
      <c r="AC470" s="198"/>
      <c r="AD470" s="219"/>
      <c r="AE470" s="401"/>
      <c r="AF470" s="402"/>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1"/>
      <c r="T471" s="402"/>
      <c r="U471" s="198"/>
      <c r="V471" s="219"/>
      <c r="W471" s="401"/>
      <c r="X471" s="402"/>
      <c r="Y471" s="198"/>
      <c r="Z471" s="219"/>
      <c r="AA471" s="401"/>
      <c r="AB471" s="402"/>
      <c r="AC471" s="198"/>
      <c r="AD471" s="219"/>
      <c r="AE471" s="401"/>
      <c r="AF471" s="402"/>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1"/>
      <c r="T472" s="402"/>
      <c r="U472" s="198"/>
      <c r="V472" s="219"/>
      <c r="W472" s="401"/>
      <c r="X472" s="402"/>
      <c r="Y472" s="198"/>
      <c r="Z472" s="219"/>
      <c r="AA472" s="401"/>
      <c r="AB472" s="402"/>
      <c r="AC472" s="198"/>
      <c r="AD472" s="219"/>
      <c r="AE472" s="401"/>
      <c r="AF472" s="402"/>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1"/>
      <c r="T473" s="402"/>
      <c r="U473" s="198"/>
      <c r="V473" s="219"/>
      <c r="W473" s="401"/>
      <c r="X473" s="402"/>
      <c r="Y473" s="198"/>
      <c r="Z473" s="219"/>
      <c r="AA473" s="401"/>
      <c r="AB473" s="402"/>
      <c r="AC473" s="198"/>
      <c r="AD473" s="219"/>
      <c r="AE473" s="401"/>
      <c r="AF473" s="402"/>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1"/>
      <c r="T474" s="402"/>
      <c r="U474" s="198"/>
      <c r="V474" s="219"/>
      <c r="W474" s="401"/>
      <c r="X474" s="402"/>
      <c r="Y474" s="198"/>
      <c r="Z474" s="219"/>
      <c r="AA474" s="401"/>
      <c r="AB474" s="402"/>
      <c r="AC474" s="198"/>
      <c r="AD474" s="219"/>
      <c r="AE474" s="401"/>
      <c r="AF474" s="402"/>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1"/>
      <c r="T475" s="402"/>
      <c r="U475" s="198"/>
      <c r="V475" s="219"/>
      <c r="W475" s="401"/>
      <c r="X475" s="402"/>
      <c r="Y475" s="198"/>
      <c r="Z475" s="219"/>
      <c r="AA475" s="401"/>
      <c r="AB475" s="402"/>
      <c r="AC475" s="198"/>
      <c r="AD475" s="219"/>
      <c r="AE475" s="401"/>
      <c r="AF475" s="402"/>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1"/>
      <c r="T476" s="402"/>
      <c r="U476" s="198"/>
      <c r="V476" s="219"/>
      <c r="W476" s="401"/>
      <c r="X476" s="402"/>
      <c r="Y476" s="198"/>
      <c r="Z476" s="219"/>
      <c r="AA476" s="401"/>
      <c r="AB476" s="402"/>
      <c r="AC476" s="198"/>
      <c r="AD476" s="219"/>
      <c r="AE476" s="401"/>
      <c r="AF476" s="402"/>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1"/>
      <c r="T477" s="402"/>
      <c r="U477" s="198"/>
      <c r="V477" s="219"/>
      <c r="W477" s="401"/>
      <c r="X477" s="402"/>
      <c r="Y477" s="198"/>
      <c r="Z477" s="219"/>
      <c r="AA477" s="401"/>
      <c r="AB477" s="402"/>
      <c r="AC477" s="198"/>
      <c r="AD477" s="219"/>
      <c r="AE477" s="401"/>
      <c r="AF477" s="402"/>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1"/>
      <c r="T478" s="402"/>
      <c r="U478" s="198"/>
      <c r="V478" s="219"/>
      <c r="W478" s="401"/>
      <c r="X478" s="402"/>
      <c r="Y478" s="198"/>
      <c r="Z478" s="219"/>
      <c r="AA478" s="401"/>
      <c r="AB478" s="402"/>
      <c r="AC478" s="198"/>
      <c r="AD478" s="219"/>
      <c r="AE478" s="401"/>
      <c r="AF478" s="402"/>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1"/>
      <c r="T479" s="402"/>
      <c r="U479" s="198"/>
      <c r="V479" s="219"/>
      <c r="W479" s="401"/>
      <c r="X479" s="402"/>
      <c r="Y479" s="198"/>
      <c r="Z479" s="219"/>
      <c r="AA479" s="401"/>
      <c r="AB479" s="402"/>
      <c r="AC479" s="198"/>
      <c r="AD479" s="219"/>
      <c r="AE479" s="401"/>
      <c r="AF479" s="402"/>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1"/>
      <c r="T480" s="402"/>
      <c r="U480" s="198"/>
      <c r="V480" s="219"/>
      <c r="W480" s="401"/>
      <c r="X480" s="402"/>
      <c r="Y480" s="198"/>
      <c r="Z480" s="219"/>
      <c r="AA480" s="401"/>
      <c r="AB480" s="402"/>
      <c r="AC480" s="198"/>
      <c r="AD480" s="219"/>
      <c r="AE480" s="401"/>
      <c r="AF480" s="402"/>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1"/>
      <c r="T481" s="402"/>
      <c r="U481" s="198"/>
      <c r="V481" s="219"/>
      <c r="W481" s="401"/>
      <c r="X481" s="402"/>
      <c r="Y481" s="198"/>
      <c r="Z481" s="219"/>
      <c r="AA481" s="401"/>
      <c r="AB481" s="402"/>
      <c r="AC481" s="198"/>
      <c r="AD481" s="219"/>
      <c r="AE481" s="401"/>
      <c r="AF481" s="402"/>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1"/>
      <c r="T482" s="402"/>
      <c r="U482" s="198"/>
      <c r="V482" s="219"/>
      <c r="W482" s="401"/>
      <c r="X482" s="402"/>
      <c r="Y482" s="198"/>
      <c r="Z482" s="219"/>
      <c r="AA482" s="401"/>
      <c r="AB482" s="402"/>
      <c r="AC482" s="198"/>
      <c r="AD482" s="219"/>
      <c r="AE482" s="401"/>
      <c r="AF482" s="402"/>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1"/>
      <c r="T483" s="402"/>
      <c r="U483" s="198"/>
      <c r="V483" s="219"/>
      <c r="W483" s="401"/>
      <c r="X483" s="402"/>
      <c r="Y483" s="198"/>
      <c r="Z483" s="219"/>
      <c r="AA483" s="401"/>
      <c r="AB483" s="402"/>
      <c r="AC483" s="198"/>
      <c r="AD483" s="219"/>
      <c r="AE483" s="401"/>
      <c r="AF483" s="402"/>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1"/>
      <c r="T484" s="402"/>
      <c r="U484" s="198"/>
      <c r="V484" s="219"/>
      <c r="W484" s="401"/>
      <c r="X484" s="402"/>
      <c r="Y484" s="198"/>
      <c r="Z484" s="219"/>
      <c r="AA484" s="401"/>
      <c r="AB484" s="402"/>
      <c r="AC484" s="198"/>
      <c r="AD484" s="219"/>
      <c r="AE484" s="401"/>
      <c r="AF484" s="402"/>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1"/>
      <c r="T485" s="402"/>
      <c r="U485" s="198"/>
      <c r="V485" s="219"/>
      <c r="W485" s="401"/>
      <c r="X485" s="402"/>
      <c r="Y485" s="198"/>
      <c r="Z485" s="219"/>
      <c r="AA485" s="401"/>
      <c r="AB485" s="402"/>
      <c r="AC485" s="198"/>
      <c r="AD485" s="219"/>
      <c r="AE485" s="401"/>
      <c r="AF485" s="402"/>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1"/>
      <c r="T486" s="402"/>
      <c r="U486" s="198"/>
      <c r="V486" s="219"/>
      <c r="W486" s="401"/>
      <c r="X486" s="402"/>
      <c r="Y486" s="198"/>
      <c r="Z486" s="219"/>
      <c r="AA486" s="401"/>
      <c r="AB486" s="402"/>
      <c r="AC486" s="198"/>
      <c r="AD486" s="219"/>
      <c r="AE486" s="401"/>
      <c r="AF486" s="402"/>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1"/>
      <c r="T487" s="402"/>
      <c r="U487" s="198"/>
      <c r="V487" s="219"/>
      <c r="W487" s="401"/>
      <c r="X487" s="402"/>
      <c r="Y487" s="198"/>
      <c r="Z487" s="219"/>
      <c r="AA487" s="401"/>
      <c r="AB487" s="402"/>
      <c r="AC487" s="198"/>
      <c r="AD487" s="219"/>
      <c r="AE487" s="401"/>
      <c r="AF487" s="402"/>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1"/>
      <c r="T488" s="402"/>
      <c r="U488" s="198"/>
      <c r="V488" s="219"/>
      <c r="W488" s="401"/>
      <c r="X488" s="402"/>
      <c r="Y488" s="198"/>
      <c r="Z488" s="219"/>
      <c r="AA488" s="401"/>
      <c r="AB488" s="402"/>
      <c r="AC488" s="198"/>
      <c r="AD488" s="219"/>
      <c r="AE488" s="401"/>
      <c r="AF488" s="402"/>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1"/>
      <c r="T489" s="402"/>
      <c r="U489" s="198"/>
      <c r="V489" s="219"/>
      <c r="W489" s="401"/>
      <c r="X489" s="402"/>
      <c r="Y489" s="198"/>
      <c r="Z489" s="219"/>
      <c r="AA489" s="401"/>
      <c r="AB489" s="402"/>
      <c r="AC489" s="198"/>
      <c r="AD489" s="219"/>
      <c r="AE489" s="401"/>
      <c r="AF489" s="402"/>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1"/>
      <c r="T490" s="402"/>
      <c r="U490" s="198"/>
      <c r="V490" s="219"/>
      <c r="W490" s="401"/>
      <c r="X490" s="402"/>
      <c r="Y490" s="198"/>
      <c r="Z490" s="219"/>
      <c r="AA490" s="401"/>
      <c r="AB490" s="402"/>
      <c r="AC490" s="198"/>
      <c r="AD490" s="219"/>
      <c r="AE490" s="401"/>
      <c r="AF490" s="402"/>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1"/>
      <c r="T491" s="402"/>
      <c r="U491" s="198"/>
      <c r="V491" s="219"/>
      <c r="W491" s="401"/>
      <c r="X491" s="402"/>
      <c r="Y491" s="198"/>
      <c r="Z491" s="219"/>
      <c r="AA491" s="401"/>
      <c r="AB491" s="402"/>
      <c r="AC491" s="198"/>
      <c r="AD491" s="219"/>
      <c r="AE491" s="401"/>
      <c r="AF491" s="402"/>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1"/>
      <c r="T492" s="402"/>
      <c r="U492" s="198"/>
      <c r="V492" s="219"/>
      <c r="W492" s="401"/>
      <c r="X492" s="402"/>
      <c r="Y492" s="198"/>
      <c r="Z492" s="219"/>
      <c r="AA492" s="401"/>
      <c r="AB492" s="402"/>
      <c r="AC492" s="198"/>
      <c r="AD492" s="219"/>
      <c r="AE492" s="401"/>
      <c r="AF492" s="402"/>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1"/>
      <c r="T493" s="402"/>
      <c r="U493" s="198"/>
      <c r="V493" s="219"/>
      <c r="W493" s="401"/>
      <c r="X493" s="402"/>
      <c r="Y493" s="198"/>
      <c r="Z493" s="219"/>
      <c r="AA493" s="401"/>
      <c r="AB493" s="402"/>
      <c r="AC493" s="198"/>
      <c r="AD493" s="219"/>
      <c r="AE493" s="401"/>
      <c r="AF493" s="402"/>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1"/>
      <c r="T494" s="402"/>
      <c r="U494" s="198"/>
      <c r="V494" s="219"/>
      <c r="W494" s="401"/>
      <c r="X494" s="402"/>
      <c r="Y494" s="198"/>
      <c r="Z494" s="219"/>
      <c r="AA494" s="401"/>
      <c r="AB494" s="402"/>
      <c r="AC494" s="198"/>
      <c r="AD494" s="219"/>
      <c r="AE494" s="401"/>
      <c r="AF494" s="402"/>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1"/>
      <c r="T495" s="402"/>
      <c r="U495" s="198"/>
      <c r="V495" s="219"/>
      <c r="W495" s="401"/>
      <c r="X495" s="402"/>
      <c r="Y495" s="198"/>
      <c r="Z495" s="219"/>
      <c r="AA495" s="401"/>
      <c r="AB495" s="402"/>
      <c r="AC495" s="198"/>
      <c r="AD495" s="219"/>
      <c r="AE495" s="401"/>
      <c r="AF495" s="402"/>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1"/>
      <c r="T496" s="402"/>
      <c r="U496" s="198"/>
      <c r="V496" s="219"/>
      <c r="W496" s="401"/>
      <c r="X496" s="402"/>
      <c r="Y496" s="198"/>
      <c r="Z496" s="219"/>
      <c r="AA496" s="401"/>
      <c r="AB496" s="402"/>
      <c r="AC496" s="198"/>
      <c r="AD496" s="219"/>
      <c r="AE496" s="401"/>
      <c r="AF496" s="402"/>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1"/>
      <c r="T497" s="402"/>
      <c r="U497" s="198"/>
      <c r="V497" s="219"/>
      <c r="W497" s="401"/>
      <c r="X497" s="402"/>
      <c r="Y497" s="198"/>
      <c r="Z497" s="219"/>
      <c r="AA497" s="401"/>
      <c r="AB497" s="402"/>
      <c r="AC497" s="198"/>
      <c r="AD497" s="219"/>
      <c r="AE497" s="401"/>
      <c r="AF497" s="402"/>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1"/>
      <c r="T498" s="402"/>
      <c r="U498" s="198"/>
      <c r="V498" s="219"/>
      <c r="W498" s="401"/>
      <c r="X498" s="402"/>
      <c r="Y498" s="198"/>
      <c r="Z498" s="219"/>
      <c r="AA498" s="401"/>
      <c r="AB498" s="402"/>
      <c r="AC498" s="198"/>
      <c r="AD498" s="219"/>
      <c r="AE498" s="401"/>
      <c r="AF498" s="402"/>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1"/>
      <c r="T499" s="402"/>
      <c r="U499" s="198"/>
      <c r="V499" s="219"/>
      <c r="W499" s="401"/>
      <c r="X499" s="402"/>
      <c r="Y499" s="198"/>
      <c r="Z499" s="219"/>
      <c r="AA499" s="401"/>
      <c r="AB499" s="402"/>
      <c r="AC499" s="198"/>
      <c r="AD499" s="219"/>
      <c r="AE499" s="401"/>
      <c r="AF499" s="402"/>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1"/>
      <c r="T500" s="402"/>
      <c r="U500" s="198"/>
      <c r="V500" s="219"/>
      <c r="W500" s="401"/>
      <c r="X500" s="402"/>
      <c r="Y500" s="198"/>
      <c r="Z500" s="219"/>
      <c r="AA500" s="401"/>
      <c r="AB500" s="402"/>
      <c r="AC500" s="198"/>
      <c r="AD500" s="219"/>
      <c r="AE500" s="401"/>
      <c r="AF500" s="402"/>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1"/>
      <c r="T501" s="402"/>
      <c r="U501" s="198"/>
      <c r="V501" s="219"/>
      <c r="W501" s="401"/>
      <c r="X501" s="402"/>
      <c r="Y501" s="198"/>
      <c r="Z501" s="219"/>
      <c r="AA501" s="401"/>
      <c r="AB501" s="402"/>
      <c r="AC501" s="198"/>
      <c r="AD501" s="219"/>
      <c r="AE501" s="401"/>
      <c r="AF501" s="402"/>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1"/>
      <c r="T502" s="402"/>
      <c r="U502" s="198"/>
      <c r="V502" s="219"/>
      <c r="W502" s="401"/>
      <c r="X502" s="402"/>
      <c r="Y502" s="198"/>
      <c r="Z502" s="219"/>
      <c r="AA502" s="401"/>
      <c r="AB502" s="402"/>
      <c r="AC502" s="198"/>
      <c r="AD502" s="219"/>
      <c r="AE502" s="401"/>
      <c r="AF502" s="402"/>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1"/>
      <c r="T503" s="402"/>
      <c r="U503" s="198"/>
      <c r="V503" s="219"/>
      <c r="W503" s="401"/>
      <c r="X503" s="402"/>
      <c r="Y503" s="198"/>
      <c r="Z503" s="219"/>
      <c r="AA503" s="401"/>
      <c r="AB503" s="402"/>
      <c r="AC503" s="198"/>
      <c r="AD503" s="219"/>
      <c r="AE503" s="401"/>
      <c r="AF503" s="402"/>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1"/>
      <c r="T504" s="402"/>
      <c r="U504" s="198"/>
      <c r="V504" s="219"/>
      <c r="W504" s="401"/>
      <c r="X504" s="402"/>
      <c r="Y504" s="198"/>
      <c r="Z504" s="219"/>
      <c r="AA504" s="401"/>
      <c r="AB504" s="402"/>
      <c r="AC504" s="198"/>
      <c r="AD504" s="219"/>
      <c r="AE504" s="401"/>
      <c r="AF504" s="402"/>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1"/>
      <c r="T505" s="402"/>
      <c r="U505" s="198"/>
      <c r="V505" s="219"/>
      <c r="W505" s="401"/>
      <c r="X505" s="402"/>
      <c r="Y505" s="198"/>
      <c r="Z505" s="219"/>
      <c r="AA505" s="401"/>
      <c r="AB505" s="402"/>
      <c r="AC505" s="198"/>
      <c r="AD505" s="219"/>
      <c r="AE505" s="401"/>
      <c r="AF505" s="402"/>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1"/>
      <c r="T506" s="402"/>
      <c r="U506" s="198"/>
      <c r="V506" s="219"/>
      <c r="W506" s="401"/>
      <c r="X506" s="402"/>
      <c r="Y506" s="198"/>
      <c r="Z506" s="219"/>
      <c r="AA506" s="401"/>
      <c r="AB506" s="402"/>
      <c r="AC506" s="198"/>
      <c r="AD506" s="219"/>
      <c r="AE506" s="401"/>
      <c r="AF506" s="402"/>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1"/>
      <c r="T507" s="402"/>
      <c r="U507" s="198"/>
      <c r="V507" s="219"/>
      <c r="W507" s="401"/>
      <c r="X507" s="402"/>
      <c r="Y507" s="198"/>
      <c r="Z507" s="219"/>
      <c r="AA507" s="401"/>
      <c r="AB507" s="402"/>
      <c r="AC507" s="198"/>
      <c r="AD507" s="219"/>
      <c r="AE507" s="401"/>
      <c r="AF507" s="402"/>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1"/>
      <c r="T508" s="402"/>
      <c r="U508" s="198"/>
      <c r="V508" s="219"/>
      <c r="W508" s="401"/>
      <c r="X508" s="402"/>
      <c r="Y508" s="198"/>
      <c r="Z508" s="219"/>
      <c r="AA508" s="401"/>
      <c r="AB508" s="402"/>
      <c r="AC508" s="198"/>
      <c r="AD508" s="219"/>
      <c r="AE508" s="401"/>
      <c r="AF508" s="402"/>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1"/>
      <c r="T509" s="402"/>
      <c r="U509" s="198"/>
      <c r="V509" s="219"/>
      <c r="W509" s="401"/>
      <c r="X509" s="402"/>
      <c r="Y509" s="198"/>
      <c r="Z509" s="219"/>
      <c r="AA509" s="401"/>
      <c r="AB509" s="402"/>
      <c r="AC509" s="198"/>
      <c r="AD509" s="219"/>
      <c r="AE509" s="401"/>
      <c r="AF509" s="402"/>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1"/>
      <c r="T510" s="402"/>
      <c r="U510" s="198"/>
      <c r="V510" s="219"/>
      <c r="W510" s="401"/>
      <c r="X510" s="402"/>
      <c r="Y510" s="198"/>
      <c r="Z510" s="219"/>
      <c r="AA510" s="401"/>
      <c r="AB510" s="402"/>
      <c r="AC510" s="198"/>
      <c r="AD510" s="219"/>
      <c r="AE510" s="401"/>
      <c r="AF510" s="402"/>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1"/>
      <c r="T511" s="402"/>
      <c r="U511" s="198"/>
      <c r="V511" s="219"/>
      <c r="W511" s="401"/>
      <c r="X511" s="402"/>
      <c r="Y511" s="198"/>
      <c r="Z511" s="219"/>
      <c r="AA511" s="401"/>
      <c r="AB511" s="402"/>
      <c r="AC511" s="198"/>
      <c r="AD511" s="219"/>
      <c r="AE511" s="401"/>
      <c r="AF511" s="402"/>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1"/>
      <c r="T512" s="402"/>
      <c r="U512" s="198"/>
      <c r="V512" s="219"/>
      <c r="W512" s="401"/>
      <c r="X512" s="402"/>
      <c r="Y512" s="198"/>
      <c r="Z512" s="219"/>
      <c r="AA512" s="401"/>
      <c r="AB512" s="402"/>
      <c r="AC512" s="198"/>
      <c r="AD512" s="219"/>
      <c r="AE512" s="401"/>
      <c r="AF512" s="402"/>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1"/>
      <c r="T513" s="402"/>
      <c r="U513" s="198"/>
      <c r="V513" s="219"/>
      <c r="W513" s="401"/>
      <c r="X513" s="402"/>
      <c r="Y513" s="198"/>
      <c r="Z513" s="219"/>
      <c r="AA513" s="401"/>
      <c r="AB513" s="402"/>
      <c r="AC513" s="198"/>
      <c r="AD513" s="219"/>
      <c r="AE513" s="401"/>
      <c r="AF513" s="402"/>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1"/>
      <c r="T514" s="402"/>
      <c r="U514" s="198"/>
      <c r="V514" s="219"/>
      <c r="W514" s="401"/>
      <c r="X514" s="402"/>
      <c r="Y514" s="198"/>
      <c r="Z514" s="219"/>
      <c r="AA514" s="401"/>
      <c r="AB514" s="402"/>
      <c r="AC514" s="198"/>
      <c r="AD514" s="219"/>
      <c r="AE514" s="401"/>
      <c r="AF514" s="402"/>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1"/>
      <c r="T515" s="402"/>
      <c r="U515" s="198"/>
      <c r="V515" s="219"/>
      <c r="W515" s="401"/>
      <c r="X515" s="402"/>
      <c r="Y515" s="198"/>
      <c r="Z515" s="219"/>
      <c r="AA515" s="401"/>
      <c r="AB515" s="402"/>
      <c r="AC515" s="198"/>
      <c r="AD515" s="219"/>
      <c r="AE515" s="401"/>
      <c r="AF515" s="402"/>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1"/>
      <c r="T516" s="402"/>
      <c r="U516" s="198"/>
      <c r="V516" s="219"/>
      <c r="W516" s="401"/>
      <c r="X516" s="402"/>
      <c r="Y516" s="198"/>
      <c r="Z516" s="219"/>
      <c r="AA516" s="401"/>
      <c r="AB516" s="402"/>
      <c r="AC516" s="198"/>
      <c r="AD516" s="219"/>
      <c r="AE516" s="401"/>
      <c r="AF516" s="402"/>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1"/>
      <c r="T517" s="402"/>
      <c r="U517" s="198"/>
      <c r="V517" s="219"/>
      <c r="W517" s="401"/>
      <c r="X517" s="402"/>
      <c r="Y517" s="198"/>
      <c r="Z517" s="219"/>
      <c r="AA517" s="401"/>
      <c r="AB517" s="402"/>
      <c r="AC517" s="198"/>
      <c r="AD517" s="219"/>
      <c r="AE517" s="401"/>
      <c r="AF517" s="402"/>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1"/>
      <c r="T518" s="402"/>
      <c r="U518" s="198"/>
      <c r="V518" s="219"/>
      <c r="W518" s="401"/>
      <c r="X518" s="402"/>
      <c r="Y518" s="198"/>
      <c r="Z518" s="219"/>
      <c r="AA518" s="401"/>
      <c r="AB518" s="402"/>
      <c r="AC518" s="198"/>
      <c r="AD518" s="219"/>
      <c r="AE518" s="401"/>
      <c r="AF518" s="402"/>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1"/>
      <c r="T519" s="402"/>
      <c r="U519" s="198"/>
      <c r="V519" s="219"/>
      <c r="W519" s="401"/>
      <c r="X519" s="402"/>
      <c r="Y519" s="198"/>
      <c r="Z519" s="219"/>
      <c r="AA519" s="401"/>
      <c r="AB519" s="402"/>
      <c r="AC519" s="198"/>
      <c r="AD519" s="219"/>
      <c r="AE519" s="401"/>
      <c r="AF519" s="402"/>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1"/>
      <c r="T520" s="402"/>
      <c r="U520" s="198"/>
      <c r="V520" s="219"/>
      <c r="W520" s="401"/>
      <c r="X520" s="402"/>
      <c r="Y520" s="198"/>
      <c r="Z520" s="219"/>
      <c r="AA520" s="401"/>
      <c r="AB520" s="402"/>
      <c r="AC520" s="198"/>
      <c r="AD520" s="219"/>
      <c r="AE520" s="401"/>
      <c r="AF520" s="402"/>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1"/>
      <c r="T521" s="402"/>
      <c r="U521" s="198"/>
      <c r="V521" s="219"/>
      <c r="W521" s="401"/>
      <c r="X521" s="402"/>
      <c r="Y521" s="198"/>
      <c r="Z521" s="219"/>
      <c r="AA521" s="401"/>
      <c r="AB521" s="402"/>
      <c r="AC521" s="198"/>
      <c r="AD521" s="219"/>
      <c r="AE521" s="401"/>
      <c r="AF521" s="402"/>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1"/>
      <c r="T522" s="402"/>
      <c r="U522" s="198"/>
      <c r="V522" s="219"/>
      <c r="W522" s="401"/>
      <c r="X522" s="402"/>
      <c r="Y522" s="198"/>
      <c r="Z522" s="219"/>
      <c r="AA522" s="401"/>
      <c r="AB522" s="402"/>
      <c r="AC522" s="198"/>
      <c r="AD522" s="219"/>
      <c r="AE522" s="401"/>
      <c r="AF522" s="402"/>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1"/>
      <c r="T523" s="402"/>
      <c r="U523" s="198"/>
      <c r="V523" s="219"/>
      <c r="W523" s="401"/>
      <c r="X523" s="402"/>
      <c r="Y523" s="198"/>
      <c r="Z523" s="219"/>
      <c r="AA523" s="401"/>
      <c r="AB523" s="402"/>
      <c r="AC523" s="198"/>
      <c r="AD523" s="219"/>
      <c r="AE523" s="401"/>
      <c r="AF523" s="402"/>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1"/>
      <c r="T524" s="402"/>
      <c r="U524" s="198"/>
      <c r="V524" s="219"/>
      <c r="W524" s="401"/>
      <c r="X524" s="402"/>
      <c r="Y524" s="198"/>
      <c r="Z524" s="219"/>
      <c r="AA524" s="401"/>
      <c r="AB524" s="402"/>
      <c r="AC524" s="198"/>
      <c r="AD524" s="219"/>
      <c r="AE524" s="401"/>
      <c r="AF524" s="402"/>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1"/>
      <c r="T525" s="402"/>
      <c r="U525" s="198"/>
      <c r="V525" s="219"/>
      <c r="W525" s="401"/>
      <c r="X525" s="402"/>
      <c r="Y525" s="198"/>
      <c r="Z525" s="219"/>
      <c r="AA525" s="401"/>
      <c r="AB525" s="402"/>
      <c r="AC525" s="198"/>
      <c r="AD525" s="219"/>
      <c r="AE525" s="401"/>
      <c r="AF525" s="402"/>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1"/>
      <c r="T526" s="402"/>
      <c r="U526" s="198"/>
      <c r="V526" s="219"/>
      <c r="W526" s="401"/>
      <c r="X526" s="402"/>
      <c r="Y526" s="198"/>
      <c r="Z526" s="219"/>
      <c r="AA526" s="401"/>
      <c r="AB526" s="402"/>
      <c r="AC526" s="198"/>
      <c r="AD526" s="219"/>
      <c r="AE526" s="401"/>
      <c r="AF526" s="402"/>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1"/>
      <c r="T527" s="402"/>
      <c r="U527" s="198"/>
      <c r="V527" s="219"/>
      <c r="W527" s="401"/>
      <c r="X527" s="402"/>
      <c r="Y527" s="198"/>
      <c r="Z527" s="219"/>
      <c r="AA527" s="401"/>
      <c r="AB527" s="402"/>
      <c r="AC527" s="198"/>
      <c r="AD527" s="219"/>
      <c r="AE527" s="401"/>
      <c r="AF527" s="402"/>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1"/>
      <c r="T528" s="402"/>
      <c r="U528" s="198"/>
      <c r="V528" s="219"/>
      <c r="W528" s="401"/>
      <c r="X528" s="402"/>
      <c r="Y528" s="198"/>
      <c r="Z528" s="219"/>
      <c r="AA528" s="401"/>
      <c r="AB528" s="402"/>
      <c r="AC528" s="198"/>
      <c r="AD528" s="219"/>
      <c r="AE528" s="401"/>
      <c r="AF528" s="402"/>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1"/>
      <c r="T529" s="402"/>
      <c r="U529" s="198"/>
      <c r="V529" s="219"/>
      <c r="W529" s="401"/>
      <c r="X529" s="402"/>
      <c r="Y529" s="198"/>
      <c r="Z529" s="219"/>
      <c r="AA529" s="401"/>
      <c r="AB529" s="402"/>
      <c r="AC529" s="198"/>
      <c r="AD529" s="219"/>
      <c r="AE529" s="401"/>
      <c r="AF529" s="402"/>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1"/>
      <c r="T530" s="402"/>
      <c r="U530" s="198"/>
      <c r="V530" s="219"/>
      <c r="W530" s="401"/>
      <c r="X530" s="402"/>
      <c r="Y530" s="198"/>
      <c r="Z530" s="219"/>
      <c r="AA530" s="401"/>
      <c r="AB530" s="402"/>
      <c r="AC530" s="198"/>
      <c r="AD530" s="219"/>
      <c r="AE530" s="401"/>
      <c r="AF530" s="402"/>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1"/>
      <c r="T531" s="402"/>
      <c r="U531" s="198"/>
      <c r="V531" s="219"/>
      <c r="W531" s="401"/>
      <c r="X531" s="402"/>
      <c r="Y531" s="198"/>
      <c r="Z531" s="219"/>
      <c r="AA531" s="401"/>
      <c r="AB531" s="402"/>
      <c r="AC531" s="198"/>
      <c r="AD531" s="219"/>
      <c r="AE531" s="401"/>
      <c r="AF531" s="402"/>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1"/>
      <c r="T532" s="402"/>
      <c r="U532" s="198"/>
      <c r="V532" s="219"/>
      <c r="W532" s="401"/>
      <c r="X532" s="402"/>
      <c r="Y532" s="198"/>
      <c r="Z532" s="219"/>
      <c r="AA532" s="401"/>
      <c r="AB532" s="402"/>
      <c r="AC532" s="198"/>
      <c r="AD532" s="219"/>
      <c r="AE532" s="401"/>
      <c r="AF532" s="402"/>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1"/>
      <c r="T533" s="402"/>
      <c r="U533" s="198"/>
      <c r="V533" s="219"/>
      <c r="W533" s="401"/>
      <c r="X533" s="402"/>
      <c r="Y533" s="198"/>
      <c r="Z533" s="219"/>
      <c r="AA533" s="401"/>
      <c r="AB533" s="402"/>
      <c r="AC533" s="198"/>
      <c r="AD533" s="219"/>
      <c r="AE533" s="401"/>
      <c r="AF533" s="402"/>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1"/>
      <c r="T534" s="402"/>
      <c r="U534" s="198"/>
      <c r="V534" s="219"/>
      <c r="W534" s="401"/>
      <c r="X534" s="402"/>
      <c r="Y534" s="198"/>
      <c r="Z534" s="219"/>
      <c r="AA534" s="401"/>
      <c r="AB534" s="402"/>
      <c r="AC534" s="198"/>
      <c r="AD534" s="219"/>
      <c r="AE534" s="401"/>
      <c r="AF534" s="402"/>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1"/>
      <c r="T535" s="402"/>
      <c r="U535" s="198"/>
      <c r="V535" s="219"/>
      <c r="W535" s="401"/>
      <c r="X535" s="402"/>
      <c r="Y535" s="198"/>
      <c r="Z535" s="219"/>
      <c r="AA535" s="401"/>
      <c r="AB535" s="402"/>
      <c r="AC535" s="198"/>
      <c r="AD535" s="219"/>
      <c r="AE535" s="401"/>
      <c r="AF535" s="402"/>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1"/>
      <c r="T536" s="402"/>
      <c r="U536" s="198"/>
      <c r="V536" s="219"/>
      <c r="W536" s="401"/>
      <c r="X536" s="402"/>
      <c r="Y536" s="198"/>
      <c r="Z536" s="219"/>
      <c r="AA536" s="401"/>
      <c r="AB536" s="402"/>
      <c r="AC536" s="198"/>
      <c r="AD536" s="219"/>
      <c r="AE536" s="401"/>
      <c r="AF536" s="402"/>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1"/>
      <c r="T537" s="402"/>
      <c r="U537" s="198"/>
      <c r="V537" s="219"/>
      <c r="W537" s="401"/>
      <c r="X537" s="402"/>
      <c r="Y537" s="198"/>
      <c r="Z537" s="219"/>
      <c r="AA537" s="401"/>
      <c r="AB537" s="402"/>
      <c r="AC537" s="198"/>
      <c r="AD537" s="219"/>
      <c r="AE537" s="401"/>
      <c r="AF537" s="402"/>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1"/>
      <c r="T538" s="402"/>
      <c r="U538" s="198"/>
      <c r="V538" s="219"/>
      <c r="W538" s="401"/>
      <c r="X538" s="402"/>
      <c r="Y538" s="198"/>
      <c r="Z538" s="219"/>
      <c r="AA538" s="401"/>
      <c r="AB538" s="402"/>
      <c r="AC538" s="198"/>
      <c r="AD538" s="219"/>
      <c r="AE538" s="401"/>
      <c r="AF538" s="402"/>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1"/>
      <c r="T539" s="402"/>
      <c r="U539" s="198"/>
      <c r="V539" s="219"/>
      <c r="W539" s="401"/>
      <c r="X539" s="402"/>
      <c r="Y539" s="198"/>
      <c r="Z539" s="219"/>
      <c r="AA539" s="401"/>
      <c r="AB539" s="402"/>
      <c r="AC539" s="198"/>
      <c r="AD539" s="219"/>
      <c r="AE539" s="401"/>
      <c r="AF539" s="402"/>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1"/>
      <c r="T540" s="402"/>
      <c r="U540" s="198"/>
      <c r="V540" s="219"/>
      <c r="W540" s="401"/>
      <c r="X540" s="402"/>
      <c r="Y540" s="198"/>
      <c r="Z540" s="219"/>
      <c r="AA540" s="401"/>
      <c r="AB540" s="402"/>
      <c r="AC540" s="198"/>
      <c r="AD540" s="219"/>
      <c r="AE540" s="401"/>
      <c r="AF540" s="402"/>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1"/>
      <c r="T541" s="402"/>
      <c r="U541" s="198"/>
      <c r="V541" s="219"/>
      <c r="W541" s="401"/>
      <c r="X541" s="402"/>
      <c r="Y541" s="198"/>
      <c r="Z541" s="219"/>
      <c r="AA541" s="401"/>
      <c r="AB541" s="402"/>
      <c r="AC541" s="198"/>
      <c r="AD541" s="219"/>
      <c r="AE541" s="401"/>
      <c r="AF541" s="402"/>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1"/>
      <c r="T542" s="402"/>
      <c r="U542" s="198"/>
      <c r="V542" s="219"/>
      <c r="W542" s="401"/>
      <c r="X542" s="402"/>
      <c r="Y542" s="198"/>
      <c r="Z542" s="219"/>
      <c r="AA542" s="401"/>
      <c r="AB542" s="402"/>
      <c r="AC542" s="198"/>
      <c r="AD542" s="219"/>
      <c r="AE542" s="401"/>
      <c r="AF542" s="402"/>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1"/>
      <c r="T543" s="402"/>
      <c r="U543" s="198"/>
      <c r="V543" s="219"/>
      <c r="W543" s="401"/>
      <c r="X543" s="402"/>
      <c r="Y543" s="198"/>
      <c r="Z543" s="219"/>
      <c r="AA543" s="401"/>
      <c r="AB543" s="402"/>
      <c r="AC543" s="198"/>
      <c r="AD543" s="219"/>
      <c r="AE543" s="401"/>
      <c r="AF543" s="402"/>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1"/>
      <c r="T544" s="402"/>
      <c r="U544" s="198"/>
      <c r="V544" s="219"/>
      <c r="W544" s="401"/>
      <c r="X544" s="402"/>
      <c r="Y544" s="198"/>
      <c r="Z544" s="219"/>
      <c r="AA544" s="401"/>
      <c r="AB544" s="402"/>
      <c r="AC544" s="198"/>
      <c r="AD544" s="219"/>
      <c r="AE544" s="401"/>
      <c r="AF544" s="402"/>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1"/>
      <c r="T545" s="402"/>
      <c r="U545" s="198"/>
      <c r="V545" s="219"/>
      <c r="W545" s="401"/>
      <c r="X545" s="402"/>
      <c r="Y545" s="198"/>
      <c r="Z545" s="219"/>
      <c r="AA545" s="401"/>
      <c r="AB545" s="402"/>
      <c r="AC545" s="198"/>
      <c r="AD545" s="219"/>
      <c r="AE545" s="401"/>
      <c r="AF545" s="402"/>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1"/>
      <c r="T546" s="402"/>
      <c r="U546" s="198"/>
      <c r="V546" s="219"/>
      <c r="W546" s="401"/>
      <c r="X546" s="402"/>
      <c r="Y546" s="198"/>
      <c r="Z546" s="219"/>
      <c r="AA546" s="401"/>
      <c r="AB546" s="402"/>
      <c r="AC546" s="198"/>
      <c r="AD546" s="219"/>
      <c r="AE546" s="401"/>
      <c r="AF546" s="402"/>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1"/>
      <c r="T547" s="402"/>
      <c r="U547" s="198"/>
      <c r="V547" s="219"/>
      <c r="W547" s="401"/>
      <c r="X547" s="402"/>
      <c r="Y547" s="198"/>
      <c r="Z547" s="219"/>
      <c r="AA547" s="401"/>
      <c r="AB547" s="402"/>
      <c r="AC547" s="198"/>
      <c r="AD547" s="219"/>
      <c r="AE547" s="401"/>
      <c r="AF547" s="402"/>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1"/>
      <c r="T548" s="402"/>
      <c r="U548" s="198"/>
      <c r="V548" s="219"/>
      <c r="W548" s="401"/>
      <c r="X548" s="402"/>
      <c r="Y548" s="198"/>
      <c r="Z548" s="219"/>
      <c r="AA548" s="401"/>
      <c r="AB548" s="402"/>
      <c r="AC548" s="198"/>
      <c r="AD548" s="219"/>
      <c r="AE548" s="401"/>
      <c r="AF548" s="402"/>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1"/>
      <c r="T549" s="402"/>
      <c r="U549" s="198"/>
      <c r="V549" s="219"/>
      <c r="W549" s="401"/>
      <c r="X549" s="402"/>
      <c r="Y549" s="198"/>
      <c r="Z549" s="219"/>
      <c r="AA549" s="401"/>
      <c r="AB549" s="402"/>
      <c r="AC549" s="198"/>
      <c r="AD549" s="219"/>
      <c r="AE549" s="401"/>
      <c r="AF549" s="402"/>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1"/>
      <c r="T550" s="402"/>
      <c r="U550" s="198"/>
      <c r="V550" s="219"/>
      <c r="W550" s="401"/>
      <c r="X550" s="402"/>
      <c r="Y550" s="198"/>
      <c r="Z550" s="219"/>
      <c r="AA550" s="401"/>
      <c r="AB550" s="402"/>
      <c r="AC550" s="198"/>
      <c r="AD550" s="219"/>
      <c r="AE550" s="401"/>
      <c r="AF550" s="402"/>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1"/>
      <c r="T551" s="402"/>
      <c r="U551" s="198"/>
      <c r="V551" s="219"/>
      <c r="W551" s="401"/>
      <c r="X551" s="402"/>
      <c r="Y551" s="198"/>
      <c r="Z551" s="219"/>
      <c r="AA551" s="401"/>
      <c r="AB551" s="402"/>
      <c r="AC551" s="198"/>
      <c r="AD551" s="219"/>
      <c r="AE551" s="401"/>
      <c r="AF551" s="402"/>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1"/>
      <c r="T552" s="402"/>
      <c r="U552" s="198"/>
      <c r="V552" s="219"/>
      <c r="W552" s="401"/>
      <c r="X552" s="402"/>
      <c r="Y552" s="198"/>
      <c r="Z552" s="219"/>
      <c r="AA552" s="401"/>
      <c r="AB552" s="402"/>
      <c r="AC552" s="198"/>
      <c r="AD552" s="219"/>
      <c r="AE552" s="401"/>
      <c r="AF552" s="402"/>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1"/>
      <c r="T553" s="402"/>
      <c r="U553" s="198"/>
      <c r="V553" s="219"/>
      <c r="W553" s="401"/>
      <c r="X553" s="402"/>
      <c r="Y553" s="198"/>
      <c r="Z553" s="219"/>
      <c r="AA553" s="401"/>
      <c r="AB553" s="402"/>
      <c r="AC553" s="198"/>
      <c r="AD553" s="219"/>
      <c r="AE553" s="401"/>
      <c r="AF553" s="402"/>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1"/>
      <c r="T554" s="402"/>
      <c r="U554" s="198"/>
      <c r="V554" s="219"/>
      <c r="W554" s="401"/>
      <c r="X554" s="402"/>
      <c r="Y554" s="198"/>
      <c r="Z554" s="219"/>
      <c r="AA554" s="401"/>
      <c r="AB554" s="402"/>
      <c r="AC554" s="198"/>
      <c r="AD554" s="219"/>
      <c r="AE554" s="401"/>
      <c r="AF554" s="402"/>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1"/>
      <c r="T555" s="402"/>
      <c r="U555" s="198"/>
      <c r="V555" s="219"/>
      <c r="W555" s="401"/>
      <c r="X555" s="402"/>
      <c r="Y555" s="198"/>
      <c r="Z555" s="219"/>
      <c r="AA555" s="401"/>
      <c r="AB555" s="402"/>
      <c r="AC555" s="198"/>
      <c r="AD555" s="219"/>
      <c r="AE555" s="401"/>
      <c r="AF555" s="402"/>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1"/>
      <c r="T556" s="402"/>
      <c r="U556" s="198"/>
      <c r="V556" s="219"/>
      <c r="W556" s="401"/>
      <c r="X556" s="402"/>
      <c r="Y556" s="198"/>
      <c r="Z556" s="219"/>
      <c r="AA556" s="401"/>
      <c r="AB556" s="402"/>
      <c r="AC556" s="198"/>
      <c r="AD556" s="219"/>
      <c r="AE556" s="401"/>
      <c r="AF556" s="402"/>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1"/>
      <c r="T557" s="402"/>
      <c r="U557" s="198"/>
      <c r="V557" s="219"/>
      <c r="W557" s="401"/>
      <c r="X557" s="402"/>
      <c r="Y557" s="198"/>
      <c r="Z557" s="219"/>
      <c r="AA557" s="401"/>
      <c r="AB557" s="402"/>
      <c r="AC557" s="198"/>
      <c r="AD557" s="219"/>
      <c r="AE557" s="401"/>
      <c r="AF557" s="402"/>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1"/>
      <c r="T558" s="402"/>
      <c r="U558" s="198"/>
      <c r="V558" s="219"/>
      <c r="W558" s="401"/>
      <c r="X558" s="402"/>
      <c r="Y558" s="198"/>
      <c r="Z558" s="219"/>
      <c r="AA558" s="401"/>
      <c r="AB558" s="402"/>
      <c r="AC558" s="198"/>
      <c r="AD558" s="219"/>
      <c r="AE558" s="401"/>
      <c r="AF558" s="402"/>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1"/>
      <c r="T559" s="402"/>
      <c r="U559" s="198"/>
      <c r="V559" s="219"/>
      <c r="W559" s="401"/>
      <c r="X559" s="402"/>
      <c r="Y559" s="198"/>
      <c r="Z559" s="219"/>
      <c r="AA559" s="401"/>
      <c r="AB559" s="402"/>
      <c r="AC559" s="198"/>
      <c r="AD559" s="219"/>
      <c r="AE559" s="401"/>
      <c r="AF559" s="402"/>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1"/>
      <c r="T560" s="402"/>
      <c r="U560" s="198"/>
      <c r="V560" s="219"/>
      <c r="W560" s="401"/>
      <c r="X560" s="402"/>
      <c r="Y560" s="198"/>
      <c r="Z560" s="219"/>
      <c r="AA560" s="401"/>
      <c r="AB560" s="402"/>
      <c r="AC560" s="198"/>
      <c r="AD560" s="219"/>
      <c r="AE560" s="401"/>
      <c r="AF560" s="402"/>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1"/>
      <c r="T561" s="402"/>
      <c r="U561" s="198"/>
      <c r="V561" s="219"/>
      <c r="W561" s="401"/>
      <c r="X561" s="402"/>
      <c r="Y561" s="198"/>
      <c r="Z561" s="219"/>
      <c r="AA561" s="401"/>
      <c r="AB561" s="402"/>
      <c r="AC561" s="198"/>
      <c r="AD561" s="219"/>
      <c r="AE561" s="401"/>
      <c r="AF561" s="402"/>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1"/>
      <c r="T562" s="402"/>
      <c r="U562" s="198"/>
      <c r="V562" s="219"/>
      <c r="W562" s="401"/>
      <c r="X562" s="402"/>
      <c r="Y562" s="198"/>
      <c r="Z562" s="219"/>
      <c r="AA562" s="401"/>
      <c r="AB562" s="402"/>
      <c r="AC562" s="198"/>
      <c r="AD562" s="219"/>
      <c r="AE562" s="401"/>
      <c r="AF562" s="402"/>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1"/>
      <c r="T563" s="402"/>
      <c r="U563" s="198"/>
      <c r="V563" s="219"/>
      <c r="W563" s="401"/>
      <c r="X563" s="402"/>
      <c r="Y563" s="198"/>
      <c r="Z563" s="219"/>
      <c r="AA563" s="401"/>
      <c r="AB563" s="402"/>
      <c r="AC563" s="198"/>
      <c r="AD563" s="219"/>
      <c r="AE563" s="401"/>
      <c r="AF563" s="402"/>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1"/>
      <c r="T564" s="402"/>
      <c r="U564" s="198"/>
      <c r="V564" s="219"/>
      <c r="W564" s="401"/>
      <c r="X564" s="402"/>
      <c r="Y564" s="198"/>
      <c r="Z564" s="219"/>
      <c r="AA564" s="401"/>
      <c r="AB564" s="402"/>
      <c r="AC564" s="198"/>
      <c r="AD564" s="219"/>
      <c r="AE564" s="401"/>
      <c r="AF564" s="402"/>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1"/>
      <c r="T565" s="402"/>
      <c r="U565" s="198"/>
      <c r="V565" s="219"/>
      <c r="W565" s="401"/>
      <c r="X565" s="402"/>
      <c r="Y565" s="198"/>
      <c r="Z565" s="219"/>
      <c r="AA565" s="401"/>
      <c r="AB565" s="402"/>
      <c r="AC565" s="198"/>
      <c r="AD565" s="219"/>
      <c r="AE565" s="401"/>
      <c r="AF565" s="402"/>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1"/>
      <c r="T566" s="402"/>
      <c r="U566" s="198"/>
      <c r="V566" s="219"/>
      <c r="W566" s="401"/>
      <c r="X566" s="402"/>
      <c r="Y566" s="198"/>
      <c r="Z566" s="219"/>
      <c r="AA566" s="401"/>
      <c r="AB566" s="402"/>
      <c r="AC566" s="198"/>
      <c r="AD566" s="219"/>
      <c r="AE566" s="401"/>
      <c r="AF566" s="402"/>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1"/>
      <c r="T567" s="402"/>
      <c r="U567" s="198"/>
      <c r="V567" s="219"/>
      <c r="W567" s="401"/>
      <c r="X567" s="402"/>
      <c r="Y567" s="198"/>
      <c r="Z567" s="219"/>
      <c r="AA567" s="401"/>
      <c r="AB567" s="402"/>
      <c r="AC567" s="198"/>
      <c r="AD567" s="219"/>
      <c r="AE567" s="401"/>
      <c r="AF567" s="402"/>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1"/>
      <c r="T568" s="402"/>
      <c r="U568" s="198"/>
      <c r="V568" s="219"/>
      <c r="W568" s="401"/>
      <c r="X568" s="402"/>
      <c r="Y568" s="198"/>
      <c r="Z568" s="219"/>
      <c r="AA568" s="401"/>
      <c r="AB568" s="402"/>
      <c r="AC568" s="198"/>
      <c r="AD568" s="219"/>
      <c r="AE568" s="401"/>
      <c r="AF568" s="402"/>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1"/>
      <c r="T569" s="402"/>
      <c r="U569" s="198"/>
      <c r="V569" s="219"/>
      <c r="W569" s="401"/>
      <c r="X569" s="402"/>
      <c r="Y569" s="198"/>
      <c r="Z569" s="219"/>
      <c r="AA569" s="401"/>
      <c r="AB569" s="402"/>
      <c r="AC569" s="198"/>
      <c r="AD569" s="219"/>
      <c r="AE569" s="401"/>
      <c r="AF569" s="402"/>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1"/>
      <c r="T570" s="402"/>
      <c r="U570" s="198"/>
      <c r="V570" s="219"/>
      <c r="W570" s="401"/>
      <c r="X570" s="402"/>
      <c r="Y570" s="198"/>
      <c r="Z570" s="219"/>
      <c r="AA570" s="401"/>
      <c r="AB570" s="402"/>
      <c r="AC570" s="198"/>
      <c r="AD570" s="219"/>
      <c r="AE570" s="401"/>
      <c r="AF570" s="402"/>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1"/>
      <c r="T571" s="402"/>
      <c r="U571" s="198"/>
      <c r="V571" s="219"/>
      <c r="W571" s="401"/>
      <c r="X571" s="402"/>
      <c r="Y571" s="198"/>
      <c r="Z571" s="219"/>
      <c r="AA571" s="401"/>
      <c r="AB571" s="402"/>
      <c r="AC571" s="198"/>
      <c r="AD571" s="219"/>
      <c r="AE571" s="401"/>
      <c r="AF571" s="402"/>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1"/>
      <c r="T572" s="402"/>
      <c r="U572" s="198"/>
      <c r="V572" s="219"/>
      <c r="W572" s="401"/>
      <c r="X572" s="402"/>
      <c r="Y572" s="198"/>
      <c r="Z572" s="219"/>
      <c r="AA572" s="401"/>
      <c r="AB572" s="402"/>
      <c r="AC572" s="198"/>
      <c r="AD572" s="219"/>
      <c r="AE572" s="401"/>
      <c r="AF572" s="402"/>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1"/>
      <c r="T573" s="402"/>
      <c r="U573" s="198"/>
      <c r="V573" s="219"/>
      <c r="W573" s="401"/>
      <c r="X573" s="402"/>
      <c r="Y573" s="198"/>
      <c r="Z573" s="219"/>
      <c r="AA573" s="401"/>
      <c r="AB573" s="402"/>
      <c r="AC573" s="198"/>
      <c r="AD573" s="219"/>
      <c r="AE573" s="401"/>
      <c r="AF573" s="402"/>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1"/>
      <c r="T574" s="402"/>
      <c r="U574" s="198"/>
      <c r="V574" s="219"/>
      <c r="W574" s="401"/>
      <c r="X574" s="402"/>
      <c r="Y574" s="198"/>
      <c r="Z574" s="219"/>
      <c r="AA574" s="401"/>
      <c r="AB574" s="402"/>
      <c r="AC574" s="198"/>
      <c r="AD574" s="219"/>
      <c r="AE574" s="401"/>
      <c r="AF574" s="402"/>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1"/>
      <c r="T575" s="402"/>
      <c r="U575" s="198"/>
      <c r="V575" s="219"/>
      <c r="W575" s="401"/>
      <c r="X575" s="402"/>
      <c r="Y575" s="198"/>
      <c r="Z575" s="219"/>
      <c r="AA575" s="401"/>
      <c r="AB575" s="402"/>
      <c r="AC575" s="198"/>
      <c r="AD575" s="219"/>
      <c r="AE575" s="401"/>
      <c r="AF575" s="402"/>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1"/>
      <c r="T576" s="402"/>
      <c r="U576" s="198"/>
      <c r="V576" s="219"/>
      <c r="W576" s="401"/>
      <c r="X576" s="402"/>
      <c r="Y576" s="198"/>
      <c r="Z576" s="219"/>
      <c r="AA576" s="401"/>
      <c r="AB576" s="402"/>
      <c r="AC576" s="198"/>
      <c r="AD576" s="219"/>
      <c r="AE576" s="401"/>
      <c r="AF576" s="402"/>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1"/>
      <c r="T577" s="402"/>
      <c r="U577" s="198"/>
      <c r="V577" s="219"/>
      <c r="W577" s="401"/>
      <c r="X577" s="402"/>
      <c r="Y577" s="198"/>
      <c r="Z577" s="219"/>
      <c r="AA577" s="401"/>
      <c r="AB577" s="402"/>
      <c r="AC577" s="198"/>
      <c r="AD577" s="219"/>
      <c r="AE577" s="401"/>
      <c r="AF577" s="402"/>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1"/>
      <c r="T578" s="402"/>
      <c r="U578" s="198"/>
      <c r="V578" s="219"/>
      <c r="W578" s="401"/>
      <c r="X578" s="402"/>
      <c r="Y578" s="198"/>
      <c r="Z578" s="219"/>
      <c r="AA578" s="401"/>
      <c r="AB578" s="402"/>
      <c r="AC578" s="198"/>
      <c r="AD578" s="219"/>
      <c r="AE578" s="401"/>
      <c r="AF578" s="402"/>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1"/>
      <c r="T579" s="402"/>
      <c r="U579" s="198"/>
      <c r="V579" s="219"/>
      <c r="W579" s="401"/>
      <c r="X579" s="402"/>
      <c r="Y579" s="198"/>
      <c r="Z579" s="219"/>
      <c r="AA579" s="401"/>
      <c r="AB579" s="402"/>
      <c r="AC579" s="198"/>
      <c r="AD579" s="219"/>
      <c r="AE579" s="401"/>
      <c r="AF579" s="402"/>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1"/>
      <c r="T580" s="402"/>
      <c r="U580" s="198"/>
      <c r="V580" s="219"/>
      <c r="W580" s="401"/>
      <c r="X580" s="402"/>
      <c r="Y580" s="198"/>
      <c r="Z580" s="219"/>
      <c r="AA580" s="401"/>
      <c r="AB580" s="402"/>
      <c r="AC580" s="198"/>
      <c r="AD580" s="219"/>
      <c r="AE580" s="401"/>
      <c r="AF580" s="402"/>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1"/>
      <c r="T581" s="402"/>
      <c r="U581" s="198"/>
      <c r="V581" s="219"/>
      <c r="W581" s="401"/>
      <c r="X581" s="402"/>
      <c r="Y581" s="198"/>
      <c r="Z581" s="219"/>
      <c r="AA581" s="401"/>
      <c r="AB581" s="402"/>
      <c r="AC581" s="198"/>
      <c r="AD581" s="219"/>
      <c r="AE581" s="401"/>
      <c r="AF581" s="402"/>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1"/>
      <c r="T582" s="402"/>
      <c r="U582" s="198"/>
      <c r="V582" s="219"/>
      <c r="W582" s="401"/>
      <c r="X582" s="402"/>
      <c r="Y582" s="198"/>
      <c r="Z582" s="219"/>
      <c r="AA582" s="401"/>
      <c r="AB582" s="402"/>
      <c r="AC582" s="198"/>
      <c r="AD582" s="219"/>
      <c r="AE582" s="401"/>
      <c r="AF582" s="402"/>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1"/>
      <c r="T583" s="402"/>
      <c r="U583" s="198"/>
      <c r="V583" s="219"/>
      <c r="W583" s="401"/>
      <c r="X583" s="402"/>
      <c r="Y583" s="198"/>
      <c r="Z583" s="219"/>
      <c r="AA583" s="401"/>
      <c r="AB583" s="402"/>
      <c r="AC583" s="198"/>
      <c r="AD583" s="219"/>
      <c r="AE583" s="401"/>
      <c r="AF583" s="402"/>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1"/>
      <c r="T584" s="402"/>
      <c r="U584" s="198"/>
      <c r="V584" s="219"/>
      <c r="W584" s="401"/>
      <c r="X584" s="402"/>
      <c r="Y584" s="198"/>
      <c r="Z584" s="219"/>
      <c r="AA584" s="401"/>
      <c r="AB584" s="402"/>
      <c r="AC584" s="198"/>
      <c r="AD584" s="219"/>
      <c r="AE584" s="401"/>
      <c r="AF584" s="402"/>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1"/>
      <c r="T585" s="402"/>
      <c r="U585" s="198"/>
      <c r="V585" s="219"/>
      <c r="W585" s="401"/>
      <c r="X585" s="402"/>
      <c r="Y585" s="198"/>
      <c r="Z585" s="219"/>
      <c r="AA585" s="401"/>
      <c r="AB585" s="402"/>
      <c r="AC585" s="198"/>
      <c r="AD585" s="219"/>
      <c r="AE585" s="401"/>
      <c r="AF585" s="402"/>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1"/>
      <c r="T586" s="402"/>
      <c r="U586" s="198"/>
      <c r="V586" s="219"/>
      <c r="W586" s="401"/>
      <c r="X586" s="402"/>
      <c r="Y586" s="198"/>
      <c r="Z586" s="219"/>
      <c r="AA586" s="401"/>
      <c r="AB586" s="402"/>
      <c r="AC586" s="198"/>
      <c r="AD586" s="219"/>
      <c r="AE586" s="401"/>
      <c r="AF586" s="402"/>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1"/>
      <c r="T587" s="402"/>
      <c r="U587" s="198"/>
      <c r="V587" s="219"/>
      <c r="W587" s="401"/>
      <c r="X587" s="402"/>
      <c r="Y587" s="198"/>
      <c r="Z587" s="219"/>
      <c r="AA587" s="401"/>
      <c r="AB587" s="402"/>
      <c r="AC587" s="198"/>
      <c r="AD587" s="219"/>
      <c r="AE587" s="401"/>
      <c r="AF587" s="402"/>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1"/>
      <c r="T588" s="402"/>
      <c r="U588" s="198"/>
      <c r="V588" s="219"/>
      <c r="W588" s="401"/>
      <c r="X588" s="402"/>
      <c r="Y588" s="198"/>
      <c r="Z588" s="219"/>
      <c r="AA588" s="401"/>
      <c r="AB588" s="402"/>
      <c r="AC588" s="198"/>
      <c r="AD588" s="219"/>
      <c r="AE588" s="401"/>
      <c r="AF588" s="402"/>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1"/>
      <c r="T589" s="402"/>
      <c r="U589" s="198"/>
      <c r="V589" s="219"/>
      <c r="W589" s="401"/>
      <c r="X589" s="402"/>
      <c r="Y589" s="198"/>
      <c r="Z589" s="219"/>
      <c r="AA589" s="401"/>
      <c r="AB589" s="402"/>
      <c r="AC589" s="198"/>
      <c r="AD589" s="219"/>
      <c r="AE589" s="401"/>
      <c r="AF589" s="402"/>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1"/>
      <c r="T590" s="402"/>
      <c r="U590" s="198"/>
      <c r="V590" s="219"/>
      <c r="W590" s="401"/>
      <c r="X590" s="402"/>
      <c r="Y590" s="198"/>
      <c r="Z590" s="219"/>
      <c r="AA590" s="401"/>
      <c r="AB590" s="402"/>
      <c r="AC590" s="198"/>
      <c r="AD590" s="219"/>
      <c r="AE590" s="401"/>
      <c r="AF590" s="402"/>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1"/>
      <c r="T591" s="402"/>
      <c r="U591" s="198"/>
      <c r="V591" s="219"/>
      <c r="W591" s="401"/>
      <c r="X591" s="402"/>
      <c r="Y591" s="198"/>
      <c r="Z591" s="219"/>
      <c r="AA591" s="401"/>
      <c r="AB591" s="402"/>
      <c r="AC591" s="198"/>
      <c r="AD591" s="219"/>
      <c r="AE591" s="401"/>
      <c r="AF591" s="402"/>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1"/>
      <c r="T592" s="402"/>
      <c r="U592" s="198"/>
      <c r="V592" s="219"/>
      <c r="W592" s="401"/>
      <c r="X592" s="402"/>
      <c r="Y592" s="198"/>
      <c r="Z592" s="219"/>
      <c r="AA592" s="401"/>
      <c r="AB592" s="402"/>
      <c r="AC592" s="198"/>
      <c r="AD592" s="219"/>
      <c r="AE592" s="401"/>
      <c r="AF592" s="402"/>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1"/>
      <c r="T593" s="402"/>
      <c r="U593" s="198"/>
      <c r="V593" s="219"/>
      <c r="W593" s="401"/>
      <c r="X593" s="402"/>
      <c r="Y593" s="198"/>
      <c r="Z593" s="219"/>
      <c r="AA593" s="401"/>
      <c r="AB593" s="402"/>
      <c r="AC593" s="198"/>
      <c r="AD593" s="219"/>
      <c r="AE593" s="401"/>
      <c r="AF593" s="402"/>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1"/>
      <c r="T594" s="402"/>
      <c r="U594" s="198"/>
      <c r="V594" s="219"/>
      <c r="W594" s="401"/>
      <c r="X594" s="402"/>
      <c r="Y594" s="198"/>
      <c r="Z594" s="219"/>
      <c r="AA594" s="401"/>
      <c r="AB594" s="402"/>
      <c r="AC594" s="198"/>
      <c r="AD594" s="219"/>
      <c r="AE594" s="401"/>
      <c r="AF594" s="402"/>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1"/>
      <c r="T595" s="402"/>
      <c r="U595" s="198"/>
      <c r="V595" s="219"/>
      <c r="W595" s="401"/>
      <c r="X595" s="402"/>
      <c r="Y595" s="198"/>
      <c r="Z595" s="219"/>
      <c r="AA595" s="401"/>
      <c r="AB595" s="402"/>
      <c r="AC595" s="198"/>
      <c r="AD595" s="219"/>
      <c r="AE595" s="401"/>
      <c r="AF595" s="402"/>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1"/>
      <c r="T596" s="402"/>
      <c r="U596" s="198"/>
      <c r="V596" s="219"/>
      <c r="W596" s="401"/>
      <c r="X596" s="402"/>
      <c r="Y596" s="198"/>
      <c r="Z596" s="219"/>
      <c r="AA596" s="401"/>
      <c r="AB596" s="402"/>
      <c r="AC596" s="198"/>
      <c r="AD596" s="219"/>
      <c r="AE596" s="401"/>
      <c r="AF596" s="402"/>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1"/>
      <c r="T597" s="402"/>
      <c r="U597" s="198"/>
      <c r="V597" s="219"/>
      <c r="W597" s="401"/>
      <c r="X597" s="402"/>
      <c r="Y597" s="198"/>
      <c r="Z597" s="219"/>
      <c r="AA597" s="401"/>
      <c r="AB597" s="402"/>
      <c r="AC597" s="198"/>
      <c r="AD597" s="219"/>
      <c r="AE597" s="401"/>
      <c r="AF597" s="402"/>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1"/>
      <c r="T598" s="402"/>
      <c r="U598" s="198"/>
      <c r="V598" s="219"/>
      <c r="W598" s="401"/>
      <c r="X598" s="402"/>
      <c r="Y598" s="198"/>
      <c r="Z598" s="219"/>
      <c r="AA598" s="401"/>
      <c r="AB598" s="402"/>
      <c r="AC598" s="198"/>
      <c r="AD598" s="219"/>
      <c r="AE598" s="401"/>
      <c r="AF598" s="402"/>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1"/>
      <c r="T599" s="402"/>
      <c r="U599" s="198"/>
      <c r="V599" s="219"/>
      <c r="W599" s="401"/>
      <c r="X599" s="402"/>
      <c r="Y599" s="198"/>
      <c r="Z599" s="219"/>
      <c r="AA599" s="401"/>
      <c r="AB599" s="402"/>
      <c r="AC599" s="198"/>
      <c r="AD599" s="219"/>
      <c r="AE599" s="401"/>
      <c r="AF599" s="402"/>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1"/>
      <c r="T600" s="402"/>
      <c r="U600" s="198"/>
      <c r="V600" s="219"/>
      <c r="W600" s="401"/>
      <c r="X600" s="402"/>
      <c r="Y600" s="198"/>
      <c r="Z600" s="219"/>
      <c r="AA600" s="401"/>
      <c r="AB600" s="402"/>
      <c r="AC600" s="198"/>
      <c r="AD600" s="219"/>
      <c r="AE600" s="401"/>
      <c r="AF600" s="402"/>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1"/>
      <c r="T601" s="402"/>
      <c r="U601" s="198"/>
      <c r="V601" s="219"/>
      <c r="W601" s="401"/>
      <c r="X601" s="402"/>
      <c r="Y601" s="198"/>
      <c r="Z601" s="219"/>
      <c r="AA601" s="401"/>
      <c r="AB601" s="402"/>
      <c r="AC601" s="198"/>
      <c r="AD601" s="219"/>
      <c r="AE601" s="401"/>
      <c r="AF601" s="402"/>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1"/>
      <c r="T602" s="402"/>
      <c r="U602" s="198"/>
      <c r="V602" s="219"/>
      <c r="W602" s="401"/>
      <c r="X602" s="402"/>
      <c r="Y602" s="198"/>
      <c r="Z602" s="219"/>
      <c r="AA602" s="401"/>
      <c r="AB602" s="402"/>
      <c r="AC602" s="198"/>
      <c r="AD602" s="219"/>
      <c r="AE602" s="401"/>
      <c r="AF602" s="402"/>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1"/>
      <c r="T603" s="402"/>
      <c r="U603" s="198"/>
      <c r="V603" s="219"/>
      <c r="W603" s="401"/>
      <c r="X603" s="402"/>
      <c r="Y603" s="198"/>
      <c r="Z603" s="219"/>
      <c r="AA603" s="401"/>
      <c r="AB603" s="402"/>
      <c r="AC603" s="198"/>
      <c r="AD603" s="219"/>
      <c r="AE603" s="401"/>
      <c r="AF603" s="402"/>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1"/>
      <c r="T604" s="402"/>
      <c r="U604" s="198"/>
      <c r="V604" s="219"/>
      <c r="W604" s="401"/>
      <c r="X604" s="402"/>
      <c r="Y604" s="198"/>
      <c r="Z604" s="219"/>
      <c r="AA604" s="401"/>
      <c r="AB604" s="402"/>
      <c r="AC604" s="198"/>
      <c r="AD604" s="219"/>
      <c r="AE604" s="401"/>
      <c r="AF604" s="402"/>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1"/>
      <c r="T605" s="402"/>
      <c r="U605" s="198"/>
      <c r="V605" s="219"/>
      <c r="W605" s="401"/>
      <c r="X605" s="402"/>
      <c r="Y605" s="198"/>
      <c r="Z605" s="219"/>
      <c r="AA605" s="401"/>
      <c r="AB605" s="402"/>
      <c r="AC605" s="198"/>
      <c r="AD605" s="219"/>
      <c r="AE605" s="401"/>
      <c r="AF605" s="402"/>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1"/>
      <c r="T606" s="402"/>
      <c r="U606" s="198"/>
      <c r="V606" s="219"/>
      <c r="W606" s="401"/>
      <c r="X606" s="402"/>
      <c r="Y606" s="198"/>
      <c r="Z606" s="219"/>
      <c r="AA606" s="401"/>
      <c r="AB606" s="402"/>
      <c r="AC606" s="198"/>
      <c r="AD606" s="219"/>
      <c r="AE606" s="401"/>
      <c r="AF606" s="402"/>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1"/>
      <c r="T607" s="402"/>
      <c r="U607" s="198"/>
      <c r="V607" s="219"/>
      <c r="W607" s="401"/>
      <c r="X607" s="402"/>
      <c r="Y607" s="198"/>
      <c r="Z607" s="219"/>
      <c r="AA607" s="401"/>
      <c r="AB607" s="402"/>
      <c r="AC607" s="198"/>
      <c r="AD607" s="219"/>
      <c r="AE607" s="401"/>
      <c r="AF607" s="402"/>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1"/>
      <c r="T608" s="402"/>
      <c r="U608" s="198"/>
      <c r="V608" s="219"/>
      <c r="W608" s="401"/>
      <c r="X608" s="402"/>
      <c r="Y608" s="198"/>
      <c r="Z608" s="219"/>
      <c r="AA608" s="401"/>
      <c r="AB608" s="402"/>
      <c r="AC608" s="198"/>
      <c r="AD608" s="219"/>
      <c r="AE608" s="401"/>
      <c r="AF608" s="402"/>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1"/>
      <c r="T609" s="402"/>
      <c r="U609" s="198"/>
      <c r="V609" s="219"/>
      <c r="W609" s="401"/>
      <c r="X609" s="402"/>
      <c r="Y609" s="198"/>
      <c r="Z609" s="219"/>
      <c r="AA609" s="401"/>
      <c r="AB609" s="402"/>
      <c r="AC609" s="198"/>
      <c r="AD609" s="219"/>
      <c r="AE609" s="401"/>
      <c r="AF609" s="402"/>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1"/>
      <c r="T610" s="402"/>
      <c r="U610" s="198"/>
      <c r="V610" s="219"/>
      <c r="W610" s="401"/>
      <c r="X610" s="402"/>
      <c r="Y610" s="198"/>
      <c r="Z610" s="219"/>
      <c r="AA610" s="401"/>
      <c r="AB610" s="402"/>
      <c r="AC610" s="198"/>
      <c r="AD610" s="219"/>
      <c r="AE610" s="401"/>
      <c r="AF610" s="402"/>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1"/>
      <c r="T611" s="402"/>
      <c r="U611" s="198"/>
      <c r="V611" s="219"/>
      <c r="W611" s="401"/>
      <c r="X611" s="402"/>
      <c r="Y611" s="198"/>
      <c r="Z611" s="219"/>
      <c r="AA611" s="401"/>
      <c r="AB611" s="402"/>
      <c r="AC611" s="198"/>
      <c r="AD611" s="219"/>
      <c r="AE611" s="401"/>
      <c r="AF611" s="402"/>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1"/>
      <c r="T612" s="402"/>
      <c r="U612" s="198"/>
      <c r="V612" s="219"/>
      <c r="W612" s="401"/>
      <c r="X612" s="402"/>
      <c r="Y612" s="198"/>
      <c r="Z612" s="219"/>
      <c r="AA612" s="401"/>
      <c r="AB612" s="402"/>
      <c r="AC612" s="198"/>
      <c r="AD612" s="219"/>
      <c r="AE612" s="401"/>
      <c r="AF612" s="402"/>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1"/>
      <c r="T613" s="402"/>
      <c r="U613" s="198"/>
      <c r="V613" s="219"/>
      <c r="W613" s="401"/>
      <c r="X613" s="402"/>
      <c r="Y613" s="198"/>
      <c r="Z613" s="219"/>
      <c r="AA613" s="401"/>
      <c r="AB613" s="402"/>
      <c r="AC613" s="198"/>
      <c r="AD613" s="219"/>
      <c r="AE613" s="401"/>
      <c r="AF613" s="402"/>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1"/>
      <c r="T614" s="402"/>
      <c r="U614" s="198"/>
      <c r="V614" s="219"/>
      <c r="W614" s="401"/>
      <c r="X614" s="402"/>
      <c r="Y614" s="198"/>
      <c r="Z614" s="219"/>
      <c r="AA614" s="401"/>
      <c r="AB614" s="402"/>
      <c r="AC614" s="198"/>
      <c r="AD614" s="219"/>
      <c r="AE614" s="401"/>
      <c r="AF614" s="402"/>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1"/>
      <c r="T615" s="402"/>
      <c r="U615" s="198"/>
      <c r="V615" s="219"/>
      <c r="W615" s="401"/>
      <c r="X615" s="402"/>
      <c r="Y615" s="198"/>
      <c r="Z615" s="219"/>
      <c r="AA615" s="401"/>
      <c r="AB615" s="402"/>
      <c r="AC615" s="198"/>
      <c r="AD615" s="219"/>
      <c r="AE615" s="401"/>
      <c r="AF615" s="402"/>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1"/>
      <c r="T616" s="402"/>
      <c r="U616" s="198"/>
      <c r="V616" s="219"/>
      <c r="W616" s="401"/>
      <c r="X616" s="402"/>
      <c r="Y616" s="198"/>
      <c r="Z616" s="219"/>
      <c r="AA616" s="401"/>
      <c r="AB616" s="402"/>
      <c r="AC616" s="198"/>
      <c r="AD616" s="219"/>
      <c r="AE616" s="401"/>
      <c r="AF616" s="402"/>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1"/>
      <c r="T617" s="402"/>
      <c r="U617" s="198"/>
      <c r="V617" s="219"/>
      <c r="W617" s="401"/>
      <c r="X617" s="402"/>
      <c r="Y617" s="198"/>
      <c r="Z617" s="219"/>
      <c r="AA617" s="401"/>
      <c r="AB617" s="402"/>
      <c r="AC617" s="198"/>
      <c r="AD617" s="219"/>
      <c r="AE617" s="401"/>
      <c r="AF617" s="402"/>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1"/>
      <c r="T618" s="402"/>
      <c r="U618" s="198"/>
      <c r="V618" s="219"/>
      <c r="W618" s="401"/>
      <c r="X618" s="402"/>
      <c r="Y618" s="198"/>
      <c r="Z618" s="219"/>
      <c r="AA618" s="401"/>
      <c r="AB618" s="402"/>
      <c r="AC618" s="198"/>
      <c r="AD618" s="219"/>
      <c r="AE618" s="401"/>
      <c r="AF618" s="402"/>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1"/>
      <c r="T619" s="402"/>
      <c r="U619" s="198"/>
      <c r="V619" s="219"/>
      <c r="W619" s="401"/>
      <c r="X619" s="402"/>
      <c r="Y619" s="198"/>
      <c r="Z619" s="219"/>
      <c r="AA619" s="401"/>
      <c r="AB619" s="402"/>
      <c r="AC619" s="198"/>
      <c r="AD619" s="219"/>
      <c r="AE619" s="401"/>
      <c r="AF619" s="402"/>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1"/>
      <c r="T620" s="402"/>
      <c r="U620" s="198"/>
      <c r="V620" s="219"/>
      <c r="W620" s="401"/>
      <c r="X620" s="402"/>
      <c r="Y620" s="198"/>
      <c r="Z620" s="219"/>
      <c r="AA620" s="401"/>
      <c r="AB620" s="402"/>
      <c r="AC620" s="198"/>
      <c r="AD620" s="219"/>
      <c r="AE620" s="401"/>
      <c r="AF620" s="402"/>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1"/>
      <c r="T621" s="402"/>
      <c r="U621" s="198"/>
      <c r="V621" s="219"/>
      <c r="W621" s="401"/>
      <c r="X621" s="402"/>
      <c r="Y621" s="198"/>
      <c r="Z621" s="219"/>
      <c r="AA621" s="401"/>
      <c r="AB621" s="402"/>
      <c r="AC621" s="198"/>
      <c r="AD621" s="219"/>
      <c r="AE621" s="401"/>
      <c r="AF621" s="402"/>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1"/>
      <c r="T622" s="402"/>
      <c r="U622" s="198"/>
      <c r="V622" s="219"/>
      <c r="W622" s="401"/>
      <c r="X622" s="402"/>
      <c r="Y622" s="198"/>
      <c r="Z622" s="219"/>
      <c r="AA622" s="401"/>
      <c r="AB622" s="402"/>
      <c r="AC622" s="198"/>
      <c r="AD622" s="219"/>
      <c r="AE622" s="401"/>
      <c r="AF622" s="402"/>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1"/>
      <c r="T623" s="402"/>
      <c r="U623" s="198"/>
      <c r="V623" s="219"/>
      <c r="W623" s="401"/>
      <c r="X623" s="402"/>
      <c r="Y623" s="198"/>
      <c r="Z623" s="219"/>
      <c r="AA623" s="401"/>
      <c r="AB623" s="402"/>
      <c r="AC623" s="198"/>
      <c r="AD623" s="219"/>
      <c r="AE623" s="401"/>
      <c r="AF623" s="402"/>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1"/>
      <c r="T624" s="402"/>
      <c r="U624" s="198"/>
      <c r="V624" s="219"/>
      <c r="W624" s="401"/>
      <c r="X624" s="402"/>
      <c r="Y624" s="198"/>
      <c r="Z624" s="219"/>
      <c r="AA624" s="401"/>
      <c r="AB624" s="402"/>
      <c r="AC624" s="198"/>
      <c r="AD624" s="219"/>
      <c r="AE624" s="401"/>
      <c r="AF624" s="402"/>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1"/>
      <c r="T625" s="402"/>
      <c r="U625" s="198"/>
      <c r="V625" s="219"/>
      <c r="W625" s="401"/>
      <c r="X625" s="402"/>
      <c r="Y625" s="198"/>
      <c r="Z625" s="219"/>
      <c r="AA625" s="401"/>
      <c r="AB625" s="402"/>
      <c r="AC625" s="198"/>
      <c r="AD625" s="219"/>
      <c r="AE625" s="401"/>
      <c r="AF625" s="402"/>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1"/>
      <c r="T626" s="402"/>
      <c r="U626" s="198"/>
      <c r="V626" s="219"/>
      <c r="W626" s="401"/>
      <c r="X626" s="402"/>
      <c r="Y626" s="198"/>
      <c r="Z626" s="219"/>
      <c r="AA626" s="401"/>
      <c r="AB626" s="402"/>
      <c r="AC626" s="198"/>
      <c r="AD626" s="219"/>
      <c r="AE626" s="401"/>
      <c r="AF626" s="402"/>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1"/>
      <c r="T627" s="402"/>
      <c r="U627" s="198"/>
      <c r="V627" s="219"/>
      <c r="W627" s="401"/>
      <c r="X627" s="402"/>
      <c r="Y627" s="198"/>
      <c r="Z627" s="219"/>
      <c r="AA627" s="401"/>
      <c r="AB627" s="402"/>
      <c r="AC627" s="198"/>
      <c r="AD627" s="219"/>
      <c r="AE627" s="401"/>
      <c r="AF627" s="402"/>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1"/>
      <c r="T628" s="402"/>
      <c r="U628" s="198"/>
      <c r="V628" s="219"/>
      <c r="W628" s="401"/>
      <c r="X628" s="402"/>
      <c r="Y628" s="198"/>
      <c r="Z628" s="219"/>
      <c r="AA628" s="401"/>
      <c r="AB628" s="402"/>
      <c r="AC628" s="198"/>
      <c r="AD628" s="219"/>
      <c r="AE628" s="401"/>
      <c r="AF628" s="402"/>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1"/>
      <c r="T629" s="402"/>
      <c r="U629" s="198"/>
      <c r="V629" s="219"/>
      <c r="W629" s="401"/>
      <c r="X629" s="402"/>
      <c r="Y629" s="198"/>
      <c r="Z629" s="219"/>
      <c r="AA629" s="401"/>
      <c r="AB629" s="402"/>
      <c r="AC629" s="198"/>
      <c r="AD629" s="219"/>
      <c r="AE629" s="401"/>
      <c r="AF629" s="402"/>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1"/>
      <c r="T630" s="402"/>
      <c r="U630" s="198"/>
      <c r="V630" s="219"/>
      <c r="W630" s="401"/>
      <c r="X630" s="402"/>
      <c r="Y630" s="198"/>
      <c r="Z630" s="219"/>
      <c r="AA630" s="401"/>
      <c r="AB630" s="402"/>
      <c r="AC630" s="198"/>
      <c r="AD630" s="219"/>
      <c r="AE630" s="401"/>
      <c r="AF630" s="402"/>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1"/>
      <c r="T631" s="402"/>
      <c r="U631" s="198"/>
      <c r="V631" s="219"/>
      <c r="W631" s="401"/>
      <c r="X631" s="402"/>
      <c r="Y631" s="198"/>
      <c r="Z631" s="219"/>
      <c r="AA631" s="401"/>
      <c r="AB631" s="402"/>
      <c r="AC631" s="198"/>
      <c r="AD631" s="219"/>
      <c r="AE631" s="401"/>
      <c r="AF631" s="402"/>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1"/>
      <c r="T632" s="402"/>
      <c r="U632" s="198"/>
      <c r="V632" s="219"/>
      <c r="W632" s="401"/>
      <c r="X632" s="402"/>
      <c r="Y632" s="198"/>
      <c r="Z632" s="219"/>
      <c r="AA632" s="401"/>
      <c r="AB632" s="402"/>
      <c r="AC632" s="198"/>
      <c r="AD632" s="219"/>
      <c r="AE632" s="401"/>
      <c r="AF632" s="402"/>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1"/>
      <c r="T633" s="402"/>
      <c r="U633" s="198"/>
      <c r="V633" s="219"/>
      <c r="W633" s="401"/>
      <c r="X633" s="402"/>
      <c r="Y633" s="198"/>
      <c r="Z633" s="219"/>
      <c r="AA633" s="401"/>
      <c r="AB633" s="402"/>
      <c r="AC633" s="198"/>
      <c r="AD633" s="219"/>
      <c r="AE633" s="401"/>
      <c r="AF633" s="402"/>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1"/>
      <c r="T634" s="402"/>
      <c r="U634" s="198"/>
      <c r="V634" s="219"/>
      <c r="W634" s="401"/>
      <c r="X634" s="402"/>
      <c r="Y634" s="198"/>
      <c r="Z634" s="219"/>
      <c r="AA634" s="401"/>
      <c r="AB634" s="402"/>
      <c r="AC634" s="198"/>
      <c r="AD634" s="219"/>
      <c r="AE634" s="401"/>
      <c r="AF634" s="402"/>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1"/>
      <c r="T635" s="402"/>
      <c r="U635" s="198"/>
      <c r="V635" s="219"/>
      <c r="W635" s="401"/>
      <c r="X635" s="402"/>
      <c r="Y635" s="198"/>
      <c r="Z635" s="219"/>
      <c r="AA635" s="401"/>
      <c r="AB635" s="402"/>
      <c r="AC635" s="198"/>
      <c r="AD635" s="219"/>
      <c r="AE635" s="401"/>
      <c r="AF635" s="402"/>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1"/>
      <c r="T636" s="402"/>
      <c r="U636" s="198"/>
      <c r="V636" s="219"/>
      <c r="W636" s="401"/>
      <c r="X636" s="402"/>
      <c r="Y636" s="198"/>
      <c r="Z636" s="219"/>
      <c r="AA636" s="401"/>
      <c r="AB636" s="402"/>
      <c r="AC636" s="198"/>
      <c r="AD636" s="219"/>
      <c r="AE636" s="401"/>
      <c r="AF636" s="402"/>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1"/>
      <c r="T637" s="402"/>
      <c r="U637" s="198"/>
      <c r="V637" s="219"/>
      <c r="W637" s="401"/>
      <c r="X637" s="402"/>
      <c r="Y637" s="198"/>
      <c r="Z637" s="219"/>
      <c r="AA637" s="401"/>
      <c r="AB637" s="402"/>
      <c r="AC637" s="198"/>
      <c r="AD637" s="219"/>
      <c r="AE637" s="401"/>
      <c r="AF637" s="402"/>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1"/>
      <c r="T638" s="402"/>
      <c r="U638" s="198"/>
      <c r="V638" s="219"/>
      <c r="W638" s="401"/>
      <c r="X638" s="402"/>
      <c r="Y638" s="198"/>
      <c r="Z638" s="219"/>
      <c r="AA638" s="401"/>
      <c r="AB638" s="402"/>
      <c r="AC638" s="198"/>
      <c r="AD638" s="219"/>
      <c r="AE638" s="401"/>
      <c r="AF638" s="402"/>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1"/>
      <c r="T639" s="402"/>
      <c r="U639" s="198"/>
      <c r="V639" s="219"/>
      <c r="W639" s="401"/>
      <c r="X639" s="402"/>
      <c r="Y639" s="198"/>
      <c r="Z639" s="219"/>
      <c r="AA639" s="401"/>
      <c r="AB639" s="402"/>
      <c r="AC639" s="198"/>
      <c r="AD639" s="219"/>
      <c r="AE639" s="401"/>
      <c r="AF639" s="402"/>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1"/>
      <c r="T640" s="402"/>
      <c r="U640" s="198"/>
      <c r="V640" s="219"/>
      <c r="W640" s="401"/>
      <c r="X640" s="402"/>
      <c r="Y640" s="198"/>
      <c r="Z640" s="219"/>
      <c r="AA640" s="401"/>
      <c r="AB640" s="402"/>
      <c r="AC640" s="198"/>
      <c r="AD640" s="219"/>
      <c r="AE640" s="401"/>
      <c r="AF640" s="402"/>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1"/>
      <c r="T641" s="402"/>
      <c r="U641" s="198"/>
      <c r="V641" s="219"/>
      <c r="W641" s="401"/>
      <c r="X641" s="402"/>
      <c r="Y641" s="198"/>
      <c r="Z641" s="219"/>
      <c r="AA641" s="401"/>
      <c r="AB641" s="402"/>
      <c r="AC641" s="198"/>
      <c r="AD641" s="219"/>
      <c r="AE641" s="401"/>
      <c r="AF641" s="402"/>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1"/>
      <c r="T642" s="402"/>
      <c r="U642" s="198"/>
      <c r="V642" s="219"/>
      <c r="W642" s="401"/>
      <c r="X642" s="402"/>
      <c r="Y642" s="198"/>
      <c r="Z642" s="219"/>
      <c r="AA642" s="401"/>
      <c r="AB642" s="402"/>
      <c r="AC642" s="198"/>
      <c r="AD642" s="219"/>
      <c r="AE642" s="401"/>
      <c r="AF642" s="402"/>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1"/>
      <c r="T643" s="402"/>
      <c r="U643" s="198"/>
      <c r="V643" s="219"/>
      <c r="W643" s="401"/>
      <c r="X643" s="402"/>
      <c r="Y643" s="198"/>
      <c r="Z643" s="219"/>
      <c r="AA643" s="401"/>
      <c r="AB643" s="402"/>
      <c r="AC643" s="198"/>
      <c r="AD643" s="219"/>
      <c r="AE643" s="401"/>
      <c r="AF643" s="402"/>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1"/>
      <c r="T644" s="402"/>
      <c r="U644" s="198"/>
      <c r="V644" s="219"/>
      <c r="W644" s="401"/>
      <c r="X644" s="402"/>
      <c r="Y644" s="198"/>
      <c r="Z644" s="219"/>
      <c r="AA644" s="401"/>
      <c r="AB644" s="402"/>
      <c r="AC644" s="198"/>
      <c r="AD644" s="219"/>
      <c r="AE644" s="401"/>
      <c r="AF644" s="402"/>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1"/>
      <c r="T645" s="402"/>
      <c r="U645" s="198"/>
      <c r="V645" s="219"/>
      <c r="W645" s="401"/>
      <c r="X645" s="402"/>
      <c r="Y645" s="198"/>
      <c r="Z645" s="219"/>
      <c r="AA645" s="401"/>
      <c r="AB645" s="402"/>
      <c r="AC645" s="198"/>
      <c r="AD645" s="219"/>
      <c r="AE645" s="401"/>
      <c r="AF645" s="402"/>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1"/>
      <c r="T646" s="402"/>
      <c r="U646" s="198"/>
      <c r="V646" s="219"/>
      <c r="W646" s="401"/>
      <c r="X646" s="402"/>
      <c r="Y646" s="198"/>
      <c r="Z646" s="219"/>
      <c r="AA646" s="401"/>
      <c r="AB646" s="402"/>
      <c r="AC646" s="198"/>
      <c r="AD646" s="219"/>
      <c r="AE646" s="401"/>
      <c r="AF646" s="402"/>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1"/>
      <c r="T647" s="402"/>
      <c r="U647" s="198"/>
      <c r="V647" s="219"/>
      <c r="W647" s="401"/>
      <c r="X647" s="402"/>
      <c r="Y647" s="198"/>
      <c r="Z647" s="219"/>
      <c r="AA647" s="401"/>
      <c r="AB647" s="402"/>
      <c r="AC647" s="198"/>
      <c r="AD647" s="219"/>
      <c r="AE647" s="401"/>
      <c r="AF647" s="402"/>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1"/>
      <c r="T648" s="402"/>
      <c r="U648" s="198"/>
      <c r="V648" s="219"/>
      <c r="W648" s="401"/>
      <c r="X648" s="402"/>
      <c r="Y648" s="198"/>
      <c r="Z648" s="219"/>
      <c r="AA648" s="401"/>
      <c r="AB648" s="402"/>
      <c r="AC648" s="198"/>
      <c r="AD648" s="219"/>
      <c r="AE648" s="401"/>
      <c r="AF648" s="402"/>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1"/>
      <c r="T649" s="402"/>
      <c r="U649" s="198"/>
      <c r="V649" s="219"/>
      <c r="W649" s="401"/>
      <c r="X649" s="402"/>
      <c r="Y649" s="198"/>
      <c r="Z649" s="219"/>
      <c r="AA649" s="401"/>
      <c r="AB649" s="402"/>
      <c r="AC649" s="198"/>
      <c r="AD649" s="219"/>
      <c r="AE649" s="401"/>
      <c r="AF649" s="402"/>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1"/>
      <c r="T650" s="402"/>
      <c r="U650" s="198"/>
      <c r="V650" s="219"/>
      <c r="W650" s="401"/>
      <c r="X650" s="402"/>
      <c r="Y650" s="198"/>
      <c r="Z650" s="219"/>
      <c r="AA650" s="401"/>
      <c r="AB650" s="402"/>
      <c r="AC650" s="198"/>
      <c r="AD650" s="219"/>
      <c r="AE650" s="401"/>
      <c r="AF650" s="402"/>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1"/>
      <c r="T651" s="402"/>
      <c r="U651" s="198"/>
      <c r="V651" s="219"/>
      <c r="W651" s="401"/>
      <c r="X651" s="402"/>
      <c r="Y651" s="198"/>
      <c r="Z651" s="219"/>
      <c r="AA651" s="401"/>
      <c r="AB651" s="402"/>
      <c r="AC651" s="198"/>
      <c r="AD651" s="219"/>
      <c r="AE651" s="401"/>
      <c r="AF651" s="402"/>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1"/>
      <c r="T652" s="402"/>
      <c r="U652" s="198"/>
      <c r="V652" s="219"/>
      <c r="W652" s="401"/>
      <c r="X652" s="402"/>
      <c r="Y652" s="198"/>
      <c r="Z652" s="219"/>
      <c r="AA652" s="401"/>
      <c r="AB652" s="402"/>
      <c r="AC652" s="198"/>
      <c r="AD652" s="219"/>
      <c r="AE652" s="401"/>
      <c r="AF652" s="402"/>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1"/>
      <c r="T653" s="402"/>
      <c r="U653" s="198"/>
      <c r="V653" s="219"/>
      <c r="W653" s="401"/>
      <c r="X653" s="402"/>
      <c r="Y653" s="198"/>
      <c r="Z653" s="219"/>
      <c r="AA653" s="401"/>
      <c r="AB653" s="402"/>
      <c r="AC653" s="198"/>
      <c r="AD653" s="219"/>
      <c r="AE653" s="401"/>
      <c r="AF653" s="402"/>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1"/>
      <c r="T654" s="402"/>
      <c r="U654" s="198"/>
      <c r="V654" s="219"/>
      <c r="W654" s="401"/>
      <c r="X654" s="402"/>
      <c r="Y654" s="198"/>
      <c r="Z654" s="219"/>
      <c r="AA654" s="401"/>
      <c r="AB654" s="402"/>
      <c r="AC654" s="198"/>
      <c r="AD654" s="219"/>
      <c r="AE654" s="401"/>
      <c r="AF654" s="402"/>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1"/>
      <c r="T655" s="402"/>
      <c r="U655" s="198"/>
      <c r="V655" s="219"/>
      <c r="W655" s="401"/>
      <c r="X655" s="402"/>
      <c r="Y655" s="198"/>
      <c r="Z655" s="219"/>
      <c r="AA655" s="401"/>
      <c r="AB655" s="402"/>
      <c r="AC655" s="198"/>
      <c r="AD655" s="219"/>
      <c r="AE655" s="401"/>
      <c r="AF655" s="402"/>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1"/>
      <c r="T656" s="402"/>
      <c r="U656" s="198"/>
      <c r="V656" s="219"/>
      <c r="W656" s="401"/>
      <c r="X656" s="402"/>
      <c r="Y656" s="198"/>
      <c r="Z656" s="219"/>
      <c r="AA656" s="401"/>
      <c r="AB656" s="402"/>
      <c r="AC656" s="198"/>
      <c r="AD656" s="219"/>
      <c r="AE656" s="401"/>
      <c r="AF656" s="402"/>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1"/>
      <c r="T657" s="402"/>
      <c r="U657" s="198"/>
      <c r="V657" s="219"/>
      <c r="W657" s="401"/>
      <c r="X657" s="402"/>
      <c r="Y657" s="198"/>
      <c r="Z657" s="219"/>
      <c r="AA657" s="401"/>
      <c r="AB657" s="402"/>
      <c r="AC657" s="198"/>
      <c r="AD657" s="219"/>
      <c r="AE657" s="401"/>
      <c r="AF657" s="402"/>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1"/>
      <c r="T658" s="402"/>
      <c r="U658" s="198"/>
      <c r="V658" s="219"/>
      <c r="W658" s="401"/>
      <c r="X658" s="402"/>
      <c r="Y658" s="198"/>
      <c r="Z658" s="219"/>
      <c r="AA658" s="401"/>
      <c r="AB658" s="402"/>
      <c r="AC658" s="198"/>
      <c r="AD658" s="219"/>
      <c r="AE658" s="401"/>
      <c r="AF658" s="402"/>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1"/>
      <c r="T659" s="402"/>
      <c r="U659" s="198"/>
      <c r="V659" s="219"/>
      <c r="W659" s="401"/>
      <c r="X659" s="402"/>
      <c r="Y659" s="198"/>
      <c r="Z659" s="219"/>
      <c r="AA659" s="401"/>
      <c r="AB659" s="402"/>
      <c r="AC659" s="198"/>
      <c r="AD659" s="219"/>
      <c r="AE659" s="401"/>
      <c r="AF659" s="402"/>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1"/>
      <c r="T660" s="402"/>
      <c r="U660" s="198"/>
      <c r="V660" s="219"/>
      <c r="W660" s="401"/>
      <c r="X660" s="402"/>
      <c r="Y660" s="198"/>
      <c r="Z660" s="219"/>
      <c r="AA660" s="401"/>
      <c r="AB660" s="402"/>
      <c r="AC660" s="198"/>
      <c r="AD660" s="219"/>
      <c r="AE660" s="401"/>
      <c r="AF660" s="402"/>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1"/>
      <c r="T661" s="402"/>
      <c r="U661" s="198"/>
      <c r="V661" s="219"/>
      <c r="W661" s="401"/>
      <c r="X661" s="402"/>
      <c r="Y661" s="198"/>
      <c r="Z661" s="219"/>
      <c r="AA661" s="401"/>
      <c r="AB661" s="402"/>
      <c r="AC661" s="198"/>
      <c r="AD661" s="219"/>
      <c r="AE661" s="401"/>
      <c r="AF661" s="402"/>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1"/>
      <c r="T662" s="402"/>
      <c r="U662" s="198"/>
      <c r="V662" s="219"/>
      <c r="W662" s="401"/>
      <c r="X662" s="402"/>
      <c r="Y662" s="198"/>
      <c r="Z662" s="219"/>
      <c r="AA662" s="401"/>
      <c r="AB662" s="402"/>
      <c r="AC662" s="198"/>
      <c r="AD662" s="219"/>
      <c r="AE662" s="401"/>
      <c r="AF662" s="402"/>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1"/>
      <c r="T663" s="402"/>
      <c r="U663" s="198"/>
      <c r="V663" s="219"/>
      <c r="W663" s="401"/>
      <c r="X663" s="402"/>
      <c r="Y663" s="198"/>
      <c r="Z663" s="219"/>
      <c r="AA663" s="401"/>
      <c r="AB663" s="402"/>
      <c r="AC663" s="198"/>
      <c r="AD663" s="219"/>
      <c r="AE663" s="401"/>
      <c r="AF663" s="402"/>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1"/>
      <c r="T664" s="402"/>
      <c r="U664" s="198"/>
      <c r="V664" s="219"/>
      <c r="W664" s="401"/>
      <c r="X664" s="402"/>
      <c r="Y664" s="198"/>
      <c r="Z664" s="219"/>
      <c r="AA664" s="401"/>
      <c r="AB664" s="402"/>
      <c r="AC664" s="198"/>
      <c r="AD664" s="219"/>
      <c r="AE664" s="401"/>
      <c r="AF664" s="402"/>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1"/>
      <c r="T665" s="402"/>
      <c r="U665" s="198"/>
      <c r="V665" s="219"/>
      <c r="W665" s="401"/>
      <c r="X665" s="402"/>
      <c r="Y665" s="198"/>
      <c r="Z665" s="219"/>
      <c r="AA665" s="401"/>
      <c r="AB665" s="402"/>
      <c r="AC665" s="198"/>
      <c r="AD665" s="219"/>
      <c r="AE665" s="401"/>
      <c r="AF665" s="402"/>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1"/>
      <c r="T666" s="402"/>
      <c r="U666" s="198"/>
      <c r="V666" s="219"/>
      <c r="W666" s="401"/>
      <c r="X666" s="402"/>
      <c r="Y666" s="198"/>
      <c r="Z666" s="219"/>
      <c r="AA666" s="401"/>
      <c r="AB666" s="402"/>
      <c r="AC666" s="198"/>
      <c r="AD666" s="219"/>
      <c r="AE666" s="401"/>
      <c r="AF666" s="402"/>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1"/>
      <c r="T667" s="402"/>
      <c r="U667" s="198"/>
      <c r="V667" s="219"/>
      <c r="W667" s="401"/>
      <c r="X667" s="402"/>
      <c r="Y667" s="198"/>
      <c r="Z667" s="219"/>
      <c r="AA667" s="401"/>
      <c r="AB667" s="402"/>
      <c r="AC667" s="198"/>
      <c r="AD667" s="219"/>
      <c r="AE667" s="401"/>
      <c r="AF667" s="402"/>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1"/>
      <c r="T668" s="402"/>
      <c r="U668" s="198"/>
      <c r="V668" s="219"/>
      <c r="W668" s="401"/>
      <c r="X668" s="402"/>
      <c r="Y668" s="198"/>
      <c r="Z668" s="219"/>
      <c r="AA668" s="401"/>
      <c r="AB668" s="402"/>
      <c r="AC668" s="198"/>
      <c r="AD668" s="219"/>
      <c r="AE668" s="401"/>
      <c r="AF668" s="402"/>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1"/>
      <c r="T669" s="402"/>
      <c r="U669" s="198"/>
      <c r="V669" s="219"/>
      <c r="W669" s="401"/>
      <c r="X669" s="402"/>
      <c r="Y669" s="198"/>
      <c r="Z669" s="219"/>
      <c r="AA669" s="401"/>
      <c r="AB669" s="402"/>
      <c r="AC669" s="198"/>
      <c r="AD669" s="219"/>
      <c r="AE669" s="401"/>
      <c r="AF669" s="402"/>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1"/>
      <c r="T670" s="402"/>
      <c r="U670" s="198"/>
      <c r="V670" s="219"/>
      <c r="W670" s="401"/>
      <c r="X670" s="402"/>
      <c r="Y670" s="198"/>
      <c r="Z670" s="219"/>
      <c r="AA670" s="401"/>
      <c r="AB670" s="402"/>
      <c r="AC670" s="198"/>
      <c r="AD670" s="219"/>
      <c r="AE670" s="401"/>
      <c r="AF670" s="402"/>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1"/>
      <c r="T671" s="402"/>
      <c r="U671" s="198"/>
      <c r="V671" s="219"/>
      <c r="W671" s="401"/>
      <c r="X671" s="402"/>
      <c r="Y671" s="198"/>
      <c r="Z671" s="219"/>
      <c r="AA671" s="401"/>
      <c r="AB671" s="402"/>
      <c r="AC671" s="198"/>
      <c r="AD671" s="219"/>
      <c r="AE671" s="401"/>
      <c r="AF671" s="402"/>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1"/>
      <c r="T672" s="402"/>
      <c r="U672" s="198"/>
      <c r="V672" s="219"/>
      <c r="W672" s="401"/>
      <c r="X672" s="402"/>
      <c r="Y672" s="198"/>
      <c r="Z672" s="219"/>
      <c r="AA672" s="401"/>
      <c r="AB672" s="402"/>
      <c r="AC672" s="198"/>
      <c r="AD672" s="219"/>
      <c r="AE672" s="401"/>
      <c r="AF672" s="402"/>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1"/>
      <c r="T673" s="402"/>
      <c r="U673" s="198"/>
      <c r="V673" s="219"/>
      <c r="W673" s="401"/>
      <c r="X673" s="402"/>
      <c r="Y673" s="198"/>
      <c r="Z673" s="219"/>
      <c r="AA673" s="401"/>
      <c r="AB673" s="402"/>
      <c r="AC673" s="198"/>
      <c r="AD673" s="219"/>
      <c r="AE673" s="401"/>
      <c r="AF673" s="402"/>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1"/>
      <c r="T674" s="402"/>
      <c r="U674" s="198"/>
      <c r="V674" s="219"/>
      <c r="W674" s="401"/>
      <c r="X674" s="402"/>
      <c r="Y674" s="198"/>
      <c r="Z674" s="219"/>
      <c r="AA674" s="401"/>
      <c r="AB674" s="402"/>
      <c r="AC674" s="198"/>
      <c r="AD674" s="219"/>
      <c r="AE674" s="401"/>
      <c r="AF674" s="402"/>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1"/>
      <c r="T675" s="402"/>
      <c r="U675" s="198"/>
      <c r="V675" s="219"/>
      <c r="W675" s="401"/>
      <c r="X675" s="402"/>
      <c r="Y675" s="198"/>
      <c r="Z675" s="219"/>
      <c r="AA675" s="401"/>
      <c r="AB675" s="402"/>
      <c r="AC675" s="198"/>
      <c r="AD675" s="219"/>
      <c r="AE675" s="401"/>
      <c r="AF675" s="402"/>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1"/>
      <c r="T676" s="402"/>
      <c r="U676" s="198"/>
      <c r="V676" s="219"/>
      <c r="W676" s="401"/>
      <c r="X676" s="402"/>
      <c r="Y676" s="198"/>
      <c r="Z676" s="219"/>
      <c r="AA676" s="401"/>
      <c r="AB676" s="402"/>
      <c r="AC676" s="198"/>
      <c r="AD676" s="219"/>
      <c r="AE676" s="401"/>
      <c r="AF676" s="402"/>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1"/>
      <c r="T677" s="402"/>
      <c r="U677" s="198"/>
      <c r="V677" s="219"/>
      <c r="W677" s="401"/>
      <c r="X677" s="402"/>
      <c r="Y677" s="198"/>
      <c r="Z677" s="219"/>
      <c r="AA677" s="401"/>
      <c r="AB677" s="402"/>
      <c r="AC677" s="198"/>
      <c r="AD677" s="219"/>
      <c r="AE677" s="401"/>
      <c r="AF677" s="402"/>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1"/>
      <c r="T678" s="402"/>
      <c r="U678" s="198"/>
      <c r="V678" s="219"/>
      <c r="W678" s="401"/>
      <c r="X678" s="402"/>
      <c r="Y678" s="198"/>
      <c r="Z678" s="219"/>
      <c r="AA678" s="401"/>
      <c r="AB678" s="402"/>
      <c r="AC678" s="198"/>
      <c r="AD678" s="219"/>
      <c r="AE678" s="401"/>
      <c r="AF678" s="402"/>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1"/>
      <c r="T679" s="402"/>
      <c r="U679" s="198"/>
      <c r="V679" s="219"/>
      <c r="W679" s="401"/>
      <c r="X679" s="402"/>
      <c r="Y679" s="198"/>
      <c r="Z679" s="219"/>
      <c r="AA679" s="401"/>
      <c r="AB679" s="402"/>
      <c r="AC679" s="198"/>
      <c r="AD679" s="219"/>
      <c r="AE679" s="401"/>
      <c r="AF679" s="402"/>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1"/>
      <c r="T680" s="402"/>
      <c r="U680" s="198"/>
      <c r="V680" s="219"/>
      <c r="W680" s="401"/>
      <c r="X680" s="402"/>
      <c r="Y680" s="198"/>
      <c r="Z680" s="219"/>
      <c r="AA680" s="401"/>
      <c r="AB680" s="402"/>
      <c r="AC680" s="198"/>
      <c r="AD680" s="219"/>
      <c r="AE680" s="401"/>
      <c r="AF680" s="402"/>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1"/>
      <c r="T681" s="402"/>
      <c r="U681" s="198"/>
      <c r="V681" s="219"/>
      <c r="W681" s="401"/>
      <c r="X681" s="402"/>
      <c r="Y681" s="198"/>
      <c r="Z681" s="219"/>
      <c r="AA681" s="401"/>
      <c r="AB681" s="402"/>
      <c r="AC681" s="198"/>
      <c r="AD681" s="219"/>
      <c r="AE681" s="401"/>
      <c r="AF681" s="402"/>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1"/>
      <c r="T682" s="402"/>
      <c r="U682" s="198"/>
      <c r="V682" s="219"/>
      <c r="W682" s="401"/>
      <c r="X682" s="402"/>
      <c r="Y682" s="198"/>
      <c r="Z682" s="219"/>
      <c r="AA682" s="401"/>
      <c r="AB682" s="402"/>
      <c r="AC682" s="198"/>
      <c r="AD682" s="219"/>
      <c r="AE682" s="401"/>
      <c r="AF682" s="402"/>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1"/>
      <c r="T683" s="402"/>
      <c r="U683" s="198"/>
      <c r="V683" s="219"/>
      <c r="W683" s="401"/>
      <c r="X683" s="402"/>
      <c r="Y683" s="198"/>
      <c r="Z683" s="219"/>
      <c r="AA683" s="401"/>
      <c r="AB683" s="402"/>
      <c r="AC683" s="198"/>
      <c r="AD683" s="219"/>
      <c r="AE683" s="401"/>
      <c r="AF683" s="402"/>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1"/>
      <c r="T684" s="402"/>
      <c r="U684" s="198"/>
      <c r="V684" s="219"/>
      <c r="W684" s="401"/>
      <c r="X684" s="402"/>
      <c r="Y684" s="198"/>
      <c r="Z684" s="219"/>
      <c r="AA684" s="401"/>
      <c r="AB684" s="402"/>
      <c r="AC684" s="198"/>
      <c r="AD684" s="219"/>
      <c r="AE684" s="401"/>
      <c r="AF684" s="402"/>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1"/>
      <c r="T685" s="402"/>
      <c r="U685" s="198"/>
      <c r="V685" s="219"/>
      <c r="W685" s="401"/>
      <c r="X685" s="402"/>
      <c r="Y685" s="198"/>
      <c r="Z685" s="219"/>
      <c r="AA685" s="401"/>
      <c r="AB685" s="402"/>
      <c r="AC685" s="198"/>
      <c r="AD685" s="219"/>
      <c r="AE685" s="401"/>
      <c r="AF685" s="402"/>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1"/>
      <c r="T686" s="402"/>
      <c r="U686" s="198"/>
      <c r="V686" s="219"/>
      <c r="W686" s="401"/>
      <c r="X686" s="402"/>
      <c r="Y686" s="198"/>
      <c r="Z686" s="219"/>
      <c r="AA686" s="401"/>
      <c r="AB686" s="402"/>
      <c r="AC686" s="198"/>
      <c r="AD686" s="219"/>
      <c r="AE686" s="401"/>
      <c r="AF686" s="402"/>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1"/>
      <c r="T687" s="402"/>
      <c r="U687" s="198"/>
      <c r="V687" s="219"/>
      <c r="W687" s="401"/>
      <c r="X687" s="402"/>
      <c r="Y687" s="198"/>
      <c r="Z687" s="219"/>
      <c r="AA687" s="401"/>
      <c r="AB687" s="402"/>
      <c r="AC687" s="198"/>
      <c r="AD687" s="219"/>
      <c r="AE687" s="401"/>
      <c r="AF687" s="402"/>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1"/>
      <c r="T688" s="402"/>
      <c r="U688" s="198"/>
      <c r="V688" s="219"/>
      <c r="W688" s="401"/>
      <c r="X688" s="402"/>
      <c r="Y688" s="198"/>
      <c r="Z688" s="219"/>
      <c r="AA688" s="401"/>
      <c r="AB688" s="402"/>
      <c r="AC688" s="198"/>
      <c r="AD688" s="219"/>
      <c r="AE688" s="401"/>
      <c r="AF688" s="402"/>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1"/>
      <c r="T689" s="402"/>
      <c r="U689" s="198"/>
      <c r="V689" s="219"/>
      <c r="W689" s="401"/>
      <c r="X689" s="402"/>
      <c r="Y689" s="198"/>
      <c r="Z689" s="219"/>
      <c r="AA689" s="401"/>
      <c r="AB689" s="402"/>
      <c r="AC689" s="198"/>
      <c r="AD689" s="219"/>
      <c r="AE689" s="401"/>
      <c r="AF689" s="402"/>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1"/>
      <c r="T690" s="402"/>
      <c r="U690" s="198"/>
      <c r="V690" s="219"/>
      <c r="W690" s="401"/>
      <c r="X690" s="402"/>
      <c r="Y690" s="198"/>
      <c r="Z690" s="219"/>
      <c r="AA690" s="401"/>
      <c r="AB690" s="402"/>
      <c r="AC690" s="198"/>
      <c r="AD690" s="219"/>
      <c r="AE690" s="401"/>
      <c r="AF690" s="402"/>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1"/>
      <c r="T691" s="402"/>
      <c r="U691" s="198"/>
      <c r="V691" s="219"/>
      <c r="W691" s="401"/>
      <c r="X691" s="402"/>
      <c r="Y691" s="198"/>
      <c r="Z691" s="219"/>
      <c r="AA691" s="401"/>
      <c r="AB691" s="402"/>
      <c r="AC691" s="198"/>
      <c r="AD691" s="219"/>
      <c r="AE691" s="401"/>
      <c r="AF691" s="402"/>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1"/>
      <c r="T692" s="402"/>
      <c r="U692" s="198"/>
      <c r="V692" s="219"/>
      <c r="W692" s="401"/>
      <c r="X692" s="402"/>
      <c r="Y692" s="198"/>
      <c r="Z692" s="219"/>
      <c r="AA692" s="401"/>
      <c r="AB692" s="402"/>
      <c r="AC692" s="198"/>
      <c r="AD692" s="219"/>
      <c r="AE692" s="401"/>
      <c r="AF692" s="402"/>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1"/>
      <c r="T693" s="402"/>
      <c r="U693" s="198"/>
      <c r="V693" s="219"/>
      <c r="W693" s="401"/>
      <c r="X693" s="402"/>
      <c r="Y693" s="198"/>
      <c r="Z693" s="219"/>
      <c r="AA693" s="401"/>
      <c r="AB693" s="402"/>
      <c r="AC693" s="198"/>
      <c r="AD693" s="219"/>
      <c r="AE693" s="401"/>
      <c r="AF693" s="402"/>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1"/>
      <c r="T694" s="402"/>
      <c r="U694" s="198"/>
      <c r="V694" s="219"/>
      <c r="W694" s="401"/>
      <c r="X694" s="402"/>
      <c r="Y694" s="198"/>
      <c r="Z694" s="219"/>
      <c r="AA694" s="401"/>
      <c r="AB694" s="402"/>
      <c r="AC694" s="198"/>
      <c r="AD694" s="219"/>
      <c r="AE694" s="401"/>
      <c r="AF694" s="402"/>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1"/>
      <c r="T695" s="402"/>
      <c r="U695" s="198"/>
      <c r="V695" s="219"/>
      <c r="W695" s="401"/>
      <c r="X695" s="402"/>
      <c r="Y695" s="198"/>
      <c r="Z695" s="219"/>
      <c r="AA695" s="401"/>
      <c r="AB695" s="402"/>
      <c r="AC695" s="198"/>
      <c r="AD695" s="219"/>
      <c r="AE695" s="401"/>
      <c r="AF695" s="402"/>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1"/>
      <c r="T696" s="402"/>
      <c r="U696" s="198"/>
      <c r="V696" s="219"/>
      <c r="W696" s="401"/>
      <c r="X696" s="402"/>
      <c r="Y696" s="198"/>
      <c r="Z696" s="219"/>
      <c r="AA696" s="401"/>
      <c r="AB696" s="402"/>
      <c r="AC696" s="198"/>
      <c r="AD696" s="219"/>
      <c r="AE696" s="401"/>
      <c r="AF696" s="402"/>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1"/>
      <c r="T697" s="402"/>
      <c r="U697" s="198"/>
      <c r="V697" s="219"/>
      <c r="W697" s="401"/>
      <c r="X697" s="402"/>
      <c r="Y697" s="198"/>
      <c r="Z697" s="219"/>
      <c r="AA697" s="401"/>
      <c r="AB697" s="402"/>
      <c r="AC697" s="198"/>
      <c r="AD697" s="219"/>
      <c r="AE697" s="401"/>
      <c r="AF697" s="402"/>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1"/>
      <c r="T698" s="402"/>
      <c r="U698" s="198"/>
      <c r="V698" s="219"/>
      <c r="W698" s="401"/>
      <c r="X698" s="402"/>
      <c r="Y698" s="198"/>
      <c r="Z698" s="219"/>
      <c r="AA698" s="401"/>
      <c r="AB698" s="402"/>
      <c r="AC698" s="198"/>
      <c r="AD698" s="219"/>
      <c r="AE698" s="401"/>
      <c r="AF698" s="402"/>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1"/>
      <c r="T699" s="402"/>
      <c r="U699" s="198"/>
      <c r="V699" s="219"/>
      <c r="W699" s="401"/>
      <c r="X699" s="402"/>
      <c r="Y699" s="198"/>
      <c r="Z699" s="219"/>
      <c r="AA699" s="401"/>
      <c r="AB699" s="402"/>
      <c r="AC699" s="198"/>
      <c r="AD699" s="219"/>
      <c r="AE699" s="401"/>
      <c r="AF699" s="402"/>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1"/>
      <c r="T700" s="402"/>
      <c r="U700" s="198"/>
      <c r="V700" s="219"/>
      <c r="W700" s="401"/>
      <c r="X700" s="402"/>
      <c r="Y700" s="198"/>
      <c r="Z700" s="219"/>
      <c r="AA700" s="401"/>
      <c r="AB700" s="402"/>
      <c r="AC700" s="198"/>
      <c r="AD700" s="219"/>
      <c r="AE700" s="401"/>
      <c r="AF700" s="402"/>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1"/>
      <c r="T701" s="402"/>
      <c r="U701" s="198"/>
      <c r="V701" s="219"/>
      <c r="W701" s="401"/>
      <c r="X701" s="402"/>
      <c r="Y701" s="198"/>
      <c r="Z701" s="219"/>
      <c r="AA701" s="401"/>
      <c r="AB701" s="402"/>
      <c r="AC701" s="198"/>
      <c r="AD701" s="219"/>
      <c r="AE701" s="401"/>
      <c r="AF701" s="402"/>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1"/>
      <c r="T702" s="402"/>
      <c r="U702" s="198"/>
      <c r="V702" s="219"/>
      <c r="W702" s="401"/>
      <c r="X702" s="402"/>
      <c r="Y702" s="198"/>
      <c r="Z702" s="219"/>
      <c r="AA702" s="401"/>
      <c r="AB702" s="402"/>
      <c r="AC702" s="198"/>
      <c r="AD702" s="219"/>
      <c r="AE702" s="401"/>
      <c r="AF702" s="402"/>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1"/>
      <c r="T703" s="402"/>
      <c r="U703" s="198"/>
      <c r="V703" s="219"/>
      <c r="W703" s="401"/>
      <c r="X703" s="402"/>
      <c r="Y703" s="198"/>
      <c r="Z703" s="219"/>
      <c r="AA703" s="401"/>
      <c r="AB703" s="402"/>
      <c r="AC703" s="198"/>
      <c r="AD703" s="219"/>
      <c r="AE703" s="401"/>
      <c r="AF703" s="402"/>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1"/>
      <c r="T704" s="402"/>
      <c r="U704" s="198"/>
      <c r="V704" s="219"/>
      <c r="W704" s="401"/>
      <c r="X704" s="402"/>
      <c r="Y704" s="198"/>
      <c r="Z704" s="219"/>
      <c r="AA704" s="401"/>
      <c r="AB704" s="402"/>
      <c r="AC704" s="198"/>
      <c r="AD704" s="219"/>
      <c r="AE704" s="401"/>
      <c r="AF704" s="402"/>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1"/>
      <c r="T705" s="402"/>
      <c r="U705" s="198"/>
      <c r="V705" s="219"/>
      <c r="W705" s="401"/>
      <c r="X705" s="402"/>
      <c r="Y705" s="198"/>
      <c r="Z705" s="219"/>
      <c r="AA705" s="401"/>
      <c r="AB705" s="402"/>
      <c r="AC705" s="198"/>
      <c r="AD705" s="219"/>
      <c r="AE705" s="401"/>
      <c r="AF705" s="402"/>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1"/>
      <c r="T706" s="402"/>
      <c r="U706" s="198"/>
      <c r="V706" s="219"/>
      <c r="W706" s="401"/>
      <c r="X706" s="402"/>
      <c r="Y706" s="198"/>
      <c r="Z706" s="219"/>
      <c r="AA706" s="401"/>
      <c r="AB706" s="402"/>
      <c r="AC706" s="198"/>
      <c r="AD706" s="219"/>
      <c r="AE706" s="401"/>
      <c r="AF706" s="402"/>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1"/>
      <c r="T707" s="402"/>
      <c r="U707" s="198"/>
      <c r="V707" s="219"/>
      <c r="W707" s="401"/>
      <c r="X707" s="402"/>
      <c r="Y707" s="198"/>
      <c r="Z707" s="219"/>
      <c r="AA707" s="401"/>
      <c r="AB707" s="402"/>
      <c r="AC707" s="198"/>
      <c r="AD707" s="219"/>
      <c r="AE707" s="401"/>
      <c r="AF707" s="402"/>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1"/>
      <c r="T708" s="402"/>
      <c r="U708" s="198"/>
      <c r="V708" s="219"/>
      <c r="W708" s="401"/>
      <c r="X708" s="402"/>
      <c r="Y708" s="198"/>
      <c r="Z708" s="219"/>
      <c r="AA708" s="401"/>
      <c r="AB708" s="402"/>
      <c r="AC708" s="198"/>
      <c r="AD708" s="219"/>
      <c r="AE708" s="401"/>
      <c r="AF708" s="402"/>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1"/>
      <c r="T709" s="402"/>
      <c r="U709" s="198"/>
      <c r="V709" s="219"/>
      <c r="W709" s="401"/>
      <c r="X709" s="402"/>
      <c r="Y709" s="198"/>
      <c r="Z709" s="219"/>
      <c r="AA709" s="401"/>
      <c r="AB709" s="402"/>
      <c r="AC709" s="198"/>
      <c r="AD709" s="219"/>
      <c r="AE709" s="401"/>
      <c r="AF709" s="402"/>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1"/>
      <c r="T710" s="402"/>
      <c r="U710" s="198"/>
      <c r="V710" s="219"/>
      <c r="W710" s="401"/>
      <c r="X710" s="402"/>
      <c r="Y710" s="198"/>
      <c r="Z710" s="219"/>
      <c r="AA710" s="401"/>
      <c r="AB710" s="402"/>
      <c r="AC710" s="198"/>
      <c r="AD710" s="219"/>
      <c r="AE710" s="401"/>
      <c r="AF710" s="402"/>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1"/>
      <c r="T711" s="402"/>
      <c r="U711" s="198"/>
      <c r="V711" s="219"/>
      <c r="W711" s="401"/>
      <c r="X711" s="402"/>
      <c r="Y711" s="198"/>
      <c r="Z711" s="219"/>
      <c r="AA711" s="401"/>
      <c r="AB711" s="402"/>
      <c r="AC711" s="198"/>
      <c r="AD711" s="219"/>
      <c r="AE711" s="401"/>
      <c r="AF711" s="402"/>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1"/>
      <c r="T712" s="402"/>
      <c r="U712" s="198"/>
      <c r="V712" s="219"/>
      <c r="W712" s="401"/>
      <c r="X712" s="402"/>
      <c r="Y712" s="198"/>
      <c r="Z712" s="219"/>
      <c r="AA712" s="401"/>
      <c r="AB712" s="402"/>
      <c r="AC712" s="198"/>
      <c r="AD712" s="219"/>
      <c r="AE712" s="401"/>
      <c r="AF712" s="402"/>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1"/>
      <c r="T713" s="402"/>
      <c r="U713" s="198"/>
      <c r="V713" s="219"/>
      <c r="W713" s="401"/>
      <c r="X713" s="402"/>
      <c r="Y713" s="198"/>
      <c r="Z713" s="219"/>
      <c r="AA713" s="401"/>
      <c r="AB713" s="402"/>
      <c r="AC713" s="198"/>
      <c r="AD713" s="219"/>
      <c r="AE713" s="401"/>
      <c r="AF713" s="402"/>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1"/>
      <c r="T714" s="402"/>
      <c r="U714" s="198"/>
      <c r="V714" s="219"/>
      <c r="W714" s="401"/>
      <c r="X714" s="402"/>
      <c r="Y714" s="198"/>
      <c r="Z714" s="219"/>
      <c r="AA714" s="401"/>
      <c r="AB714" s="402"/>
      <c r="AC714" s="198"/>
      <c r="AD714" s="219"/>
      <c r="AE714" s="401"/>
      <c r="AF714" s="402"/>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1"/>
      <c r="T715" s="402"/>
      <c r="U715" s="198"/>
      <c r="V715" s="219"/>
      <c r="W715" s="401"/>
      <c r="X715" s="402"/>
      <c r="Y715" s="198"/>
      <c r="Z715" s="219"/>
      <c r="AA715" s="401"/>
      <c r="AB715" s="402"/>
      <c r="AC715" s="198"/>
      <c r="AD715" s="219"/>
      <c r="AE715" s="401"/>
      <c r="AF715" s="402"/>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1"/>
      <c r="T716" s="402"/>
      <c r="U716" s="198"/>
      <c r="V716" s="219"/>
      <c r="W716" s="401"/>
      <c r="X716" s="402"/>
      <c r="Y716" s="198"/>
      <c r="Z716" s="219"/>
      <c r="AA716" s="401"/>
      <c r="AB716" s="402"/>
      <c r="AC716" s="198"/>
      <c r="AD716" s="219"/>
      <c r="AE716" s="401"/>
      <c r="AF716" s="402"/>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1"/>
      <c r="T717" s="402"/>
      <c r="U717" s="198"/>
      <c r="V717" s="219"/>
      <c r="W717" s="401"/>
      <c r="X717" s="402"/>
      <c r="Y717" s="198"/>
      <c r="Z717" s="219"/>
      <c r="AA717" s="401"/>
      <c r="AB717" s="402"/>
      <c r="AC717" s="198"/>
      <c r="AD717" s="219"/>
      <c r="AE717" s="401"/>
      <c r="AF717" s="402"/>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1"/>
      <c r="T718" s="402"/>
      <c r="U718" s="198"/>
      <c r="V718" s="219"/>
      <c r="W718" s="401"/>
      <c r="X718" s="402"/>
      <c r="Y718" s="198"/>
      <c r="Z718" s="219"/>
      <c r="AA718" s="401"/>
      <c r="AB718" s="402"/>
      <c r="AC718" s="198"/>
      <c r="AD718" s="219"/>
      <c r="AE718" s="401"/>
      <c r="AF718" s="402"/>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1"/>
      <c r="T719" s="402"/>
      <c r="U719" s="198"/>
      <c r="V719" s="219"/>
      <c r="W719" s="401"/>
      <c r="X719" s="402"/>
      <c r="Y719" s="198"/>
      <c r="Z719" s="219"/>
      <c r="AA719" s="401"/>
      <c r="AB719" s="402"/>
      <c r="AC719" s="198"/>
      <c r="AD719" s="219"/>
      <c r="AE719" s="401"/>
      <c r="AF719" s="402"/>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1"/>
      <c r="T720" s="402"/>
      <c r="U720" s="198"/>
      <c r="V720" s="219"/>
      <c r="W720" s="401"/>
      <c r="X720" s="402"/>
      <c r="Y720" s="198"/>
      <c r="Z720" s="219"/>
      <c r="AA720" s="401"/>
      <c r="AB720" s="402"/>
      <c r="AC720" s="198"/>
      <c r="AD720" s="219"/>
      <c r="AE720" s="401"/>
      <c r="AF720" s="402"/>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1"/>
      <c r="T721" s="402"/>
      <c r="U721" s="198"/>
      <c r="V721" s="219"/>
      <c r="W721" s="401"/>
      <c r="X721" s="402"/>
      <c r="Y721" s="198"/>
      <c r="Z721" s="219"/>
      <c r="AA721" s="401"/>
      <c r="AB721" s="402"/>
      <c r="AC721" s="198"/>
      <c r="AD721" s="219"/>
      <c r="AE721" s="401"/>
      <c r="AF721" s="402"/>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1"/>
      <c r="T722" s="402"/>
      <c r="U722" s="198"/>
      <c r="V722" s="219"/>
      <c r="W722" s="401"/>
      <c r="X722" s="402"/>
      <c r="Y722" s="198"/>
      <c r="Z722" s="219"/>
      <c r="AA722" s="401"/>
      <c r="AB722" s="402"/>
      <c r="AC722" s="198"/>
      <c r="AD722" s="219"/>
      <c r="AE722" s="401"/>
      <c r="AF722" s="402"/>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1"/>
      <c r="T723" s="402"/>
      <c r="U723" s="198"/>
      <c r="V723" s="219"/>
      <c r="W723" s="401"/>
      <c r="X723" s="402"/>
      <c r="Y723" s="198"/>
      <c r="Z723" s="219"/>
      <c r="AA723" s="401"/>
      <c r="AB723" s="402"/>
      <c r="AC723" s="198"/>
      <c r="AD723" s="219"/>
      <c r="AE723" s="401"/>
      <c r="AF723" s="402"/>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1"/>
      <c r="T724" s="402"/>
      <c r="U724" s="198"/>
      <c r="V724" s="219"/>
      <c r="W724" s="401"/>
      <c r="X724" s="402"/>
      <c r="Y724" s="198"/>
      <c r="Z724" s="219"/>
      <c r="AA724" s="401"/>
      <c r="AB724" s="402"/>
      <c r="AC724" s="198"/>
      <c r="AD724" s="219"/>
      <c r="AE724" s="401"/>
      <c r="AF724" s="402"/>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1"/>
      <c r="T725" s="402"/>
      <c r="U725" s="198"/>
      <c r="V725" s="219"/>
      <c r="W725" s="401"/>
      <c r="X725" s="402"/>
      <c r="Y725" s="198"/>
      <c r="Z725" s="219"/>
      <c r="AA725" s="401"/>
      <c r="AB725" s="402"/>
      <c r="AC725" s="198"/>
      <c r="AD725" s="219"/>
      <c r="AE725" s="401"/>
      <c r="AF725" s="402"/>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1"/>
      <c r="T726" s="402"/>
      <c r="U726" s="198"/>
      <c r="V726" s="219"/>
      <c r="W726" s="401"/>
      <c r="X726" s="402"/>
      <c r="Y726" s="198"/>
      <c r="Z726" s="219"/>
      <c r="AA726" s="401"/>
      <c r="AB726" s="402"/>
      <c r="AC726" s="198"/>
      <c r="AD726" s="219"/>
      <c r="AE726" s="401"/>
      <c r="AF726" s="402"/>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1"/>
      <c r="T727" s="402"/>
      <c r="U727" s="198"/>
      <c r="V727" s="219"/>
      <c r="W727" s="401"/>
      <c r="X727" s="402"/>
      <c r="Y727" s="198"/>
      <c r="Z727" s="219"/>
      <c r="AA727" s="401"/>
      <c r="AB727" s="402"/>
      <c r="AC727" s="198"/>
      <c r="AD727" s="219"/>
      <c r="AE727" s="401"/>
      <c r="AF727" s="402"/>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1"/>
      <c r="T728" s="402"/>
      <c r="U728" s="198"/>
      <c r="V728" s="219"/>
      <c r="W728" s="401"/>
      <c r="X728" s="402"/>
      <c r="Y728" s="198"/>
      <c r="Z728" s="219"/>
      <c r="AA728" s="401"/>
      <c r="AB728" s="402"/>
      <c r="AC728" s="198"/>
      <c r="AD728" s="219"/>
      <c r="AE728" s="401"/>
      <c r="AF728" s="402"/>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1"/>
      <c r="T729" s="402"/>
      <c r="U729" s="198"/>
      <c r="V729" s="219"/>
      <c r="W729" s="401"/>
      <c r="X729" s="402"/>
      <c r="Y729" s="198"/>
      <c r="Z729" s="219"/>
      <c r="AA729" s="401"/>
      <c r="AB729" s="402"/>
      <c r="AC729" s="198"/>
      <c r="AD729" s="219"/>
      <c r="AE729" s="401"/>
      <c r="AF729" s="402"/>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1"/>
      <c r="T730" s="402"/>
      <c r="U730" s="198"/>
      <c r="V730" s="219"/>
      <c r="W730" s="401"/>
      <c r="X730" s="402"/>
      <c r="Y730" s="198"/>
      <c r="Z730" s="219"/>
      <c r="AA730" s="401"/>
      <c r="AB730" s="402"/>
      <c r="AC730" s="198"/>
      <c r="AD730" s="219"/>
      <c r="AE730" s="401"/>
      <c r="AF730" s="402"/>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1"/>
      <c r="T731" s="402"/>
      <c r="U731" s="198"/>
      <c r="V731" s="219"/>
      <c r="W731" s="401"/>
      <c r="X731" s="402"/>
      <c r="Y731" s="198"/>
      <c r="Z731" s="219"/>
      <c r="AA731" s="401"/>
      <c r="AB731" s="402"/>
      <c r="AC731" s="198"/>
      <c r="AD731" s="219"/>
      <c r="AE731" s="401"/>
      <c r="AF731" s="402"/>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1"/>
      <c r="T732" s="402"/>
      <c r="U732" s="198"/>
      <c r="V732" s="219"/>
      <c r="W732" s="401"/>
      <c r="X732" s="402"/>
      <c r="Y732" s="198"/>
      <c r="Z732" s="219"/>
      <c r="AA732" s="401"/>
      <c r="AB732" s="402"/>
      <c r="AC732" s="198"/>
      <c r="AD732" s="219"/>
      <c r="AE732" s="401"/>
      <c r="AF732" s="402"/>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1"/>
      <c r="T733" s="402"/>
      <c r="U733" s="198"/>
      <c r="V733" s="219"/>
      <c r="W733" s="401"/>
      <c r="X733" s="402"/>
      <c r="Y733" s="198"/>
      <c r="Z733" s="219"/>
      <c r="AA733" s="401"/>
      <c r="AB733" s="402"/>
      <c r="AC733" s="198"/>
      <c r="AD733" s="219"/>
      <c r="AE733" s="401"/>
      <c r="AF733" s="402"/>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1"/>
      <c r="T734" s="402"/>
      <c r="U734" s="198"/>
      <c r="V734" s="219"/>
      <c r="W734" s="401"/>
      <c r="X734" s="402"/>
      <c r="Y734" s="198"/>
      <c r="Z734" s="219"/>
      <c r="AA734" s="401"/>
      <c r="AB734" s="402"/>
      <c r="AC734" s="198"/>
      <c r="AD734" s="219"/>
      <c r="AE734" s="401"/>
      <c r="AF734" s="402"/>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1"/>
      <c r="T735" s="402"/>
      <c r="U735" s="198"/>
      <c r="V735" s="219"/>
      <c r="W735" s="401"/>
      <c r="X735" s="402"/>
      <c r="Y735" s="198"/>
      <c r="Z735" s="219"/>
      <c r="AA735" s="401"/>
      <c r="AB735" s="402"/>
      <c r="AC735" s="198"/>
      <c r="AD735" s="219"/>
      <c r="AE735" s="401"/>
      <c r="AF735" s="402"/>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1"/>
      <c r="T736" s="402"/>
      <c r="U736" s="198"/>
      <c r="V736" s="219"/>
      <c r="W736" s="401"/>
      <c r="X736" s="402"/>
      <c r="Y736" s="198"/>
      <c r="Z736" s="219"/>
      <c r="AA736" s="401"/>
      <c r="AB736" s="402"/>
      <c r="AC736" s="198"/>
      <c r="AD736" s="219"/>
      <c r="AE736" s="401"/>
      <c r="AF736" s="402"/>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1"/>
      <c r="T737" s="402"/>
      <c r="U737" s="198"/>
      <c r="V737" s="219"/>
      <c r="W737" s="401"/>
      <c r="X737" s="402"/>
      <c r="Y737" s="198"/>
      <c r="Z737" s="219"/>
      <c r="AA737" s="401"/>
      <c r="AB737" s="402"/>
      <c r="AC737" s="198"/>
      <c r="AD737" s="219"/>
      <c r="AE737" s="401"/>
      <c r="AF737" s="402"/>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1"/>
      <c r="T738" s="402"/>
      <c r="U738" s="198"/>
      <c r="V738" s="219"/>
      <c r="W738" s="401"/>
      <c r="X738" s="402"/>
      <c r="Y738" s="198"/>
      <c r="Z738" s="219"/>
      <c r="AA738" s="401"/>
      <c r="AB738" s="402"/>
      <c r="AC738" s="198"/>
      <c r="AD738" s="219"/>
      <c r="AE738" s="401"/>
      <c r="AF738" s="402"/>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1"/>
      <c r="T739" s="402"/>
      <c r="U739" s="198"/>
      <c r="V739" s="219"/>
      <c r="W739" s="401"/>
      <c r="X739" s="402"/>
      <c r="Y739" s="198"/>
      <c r="Z739" s="219"/>
      <c r="AA739" s="401"/>
      <c r="AB739" s="402"/>
      <c r="AC739" s="198"/>
      <c r="AD739" s="219"/>
      <c r="AE739" s="401"/>
      <c r="AF739" s="402"/>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1"/>
      <c r="T740" s="402"/>
      <c r="U740" s="198"/>
      <c r="V740" s="219"/>
      <c r="W740" s="401"/>
      <c r="X740" s="402"/>
      <c r="Y740" s="198"/>
      <c r="Z740" s="219"/>
      <c r="AA740" s="401"/>
      <c r="AB740" s="402"/>
      <c r="AC740" s="198"/>
      <c r="AD740" s="219"/>
      <c r="AE740" s="401"/>
      <c r="AF740" s="402"/>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1"/>
      <c r="T741" s="402"/>
      <c r="U741" s="198"/>
      <c r="V741" s="219"/>
      <c r="W741" s="401"/>
      <c r="X741" s="402"/>
      <c r="Y741" s="198"/>
      <c r="Z741" s="219"/>
      <c r="AA741" s="401"/>
      <c r="AB741" s="402"/>
      <c r="AC741" s="198"/>
      <c r="AD741" s="219"/>
      <c r="AE741" s="401"/>
      <c r="AF741" s="402"/>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1"/>
      <c r="T742" s="402"/>
      <c r="U742" s="198"/>
      <c r="V742" s="219"/>
      <c r="W742" s="401"/>
      <c r="X742" s="402"/>
      <c r="Y742" s="198"/>
      <c r="Z742" s="219"/>
      <c r="AA742" s="401"/>
      <c r="AB742" s="402"/>
      <c r="AC742" s="198"/>
      <c r="AD742" s="219"/>
      <c r="AE742" s="401"/>
      <c r="AF742" s="402"/>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1"/>
      <c r="T743" s="402"/>
      <c r="U743" s="198"/>
      <c r="V743" s="219"/>
      <c r="W743" s="401"/>
      <c r="X743" s="402"/>
      <c r="Y743" s="198"/>
      <c r="Z743" s="219"/>
      <c r="AA743" s="401"/>
      <c r="AB743" s="402"/>
      <c r="AC743" s="198"/>
      <c r="AD743" s="219"/>
      <c r="AE743" s="401"/>
      <c r="AF743" s="402"/>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1"/>
      <c r="T744" s="402"/>
      <c r="U744" s="198"/>
      <c r="V744" s="219"/>
      <c r="W744" s="401"/>
      <c r="X744" s="402"/>
      <c r="Y744" s="198"/>
      <c r="Z744" s="219"/>
      <c r="AA744" s="401"/>
      <c r="AB744" s="402"/>
      <c r="AC744" s="198"/>
      <c r="AD744" s="219"/>
      <c r="AE744" s="401"/>
      <c r="AF744" s="402"/>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1"/>
      <c r="T745" s="402"/>
      <c r="U745" s="198"/>
      <c r="V745" s="219"/>
      <c r="W745" s="401"/>
      <c r="X745" s="402"/>
      <c r="Y745" s="198"/>
      <c r="Z745" s="219"/>
      <c r="AA745" s="401"/>
      <c r="AB745" s="402"/>
      <c r="AC745" s="198"/>
      <c r="AD745" s="219"/>
      <c r="AE745" s="401"/>
      <c r="AF745" s="402"/>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1"/>
      <c r="T746" s="402"/>
      <c r="U746" s="198"/>
      <c r="V746" s="219"/>
      <c r="W746" s="401"/>
      <c r="X746" s="402"/>
      <c r="Y746" s="198"/>
      <c r="Z746" s="219"/>
      <c r="AA746" s="401"/>
      <c r="AB746" s="402"/>
      <c r="AC746" s="198"/>
      <c r="AD746" s="219"/>
      <c r="AE746" s="401"/>
      <c r="AF746" s="402"/>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1"/>
      <c r="T747" s="402"/>
      <c r="U747" s="198"/>
      <c r="V747" s="219"/>
      <c r="W747" s="401"/>
      <c r="X747" s="402"/>
      <c r="Y747" s="198"/>
      <c r="Z747" s="219"/>
      <c r="AA747" s="401"/>
      <c r="AB747" s="402"/>
      <c r="AC747" s="198"/>
      <c r="AD747" s="219"/>
      <c r="AE747" s="401"/>
      <c r="AF747" s="402"/>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1"/>
      <c r="T748" s="402"/>
      <c r="U748" s="198"/>
      <c r="V748" s="219"/>
      <c r="W748" s="401"/>
      <c r="X748" s="402"/>
      <c r="Y748" s="198"/>
      <c r="Z748" s="219"/>
      <c r="AA748" s="401"/>
      <c r="AB748" s="402"/>
      <c r="AC748" s="198"/>
      <c r="AD748" s="219"/>
      <c r="AE748" s="401"/>
      <c r="AF748" s="402"/>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1"/>
      <c r="T749" s="402"/>
      <c r="U749" s="198"/>
      <c r="V749" s="219"/>
      <c r="W749" s="401"/>
      <c r="X749" s="402"/>
      <c r="Y749" s="198"/>
      <c r="Z749" s="219"/>
      <c r="AA749" s="401"/>
      <c r="AB749" s="402"/>
      <c r="AC749" s="198"/>
      <c r="AD749" s="219"/>
      <c r="AE749" s="401"/>
      <c r="AF749" s="402"/>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1"/>
      <c r="T750" s="402"/>
      <c r="U750" s="198"/>
      <c r="V750" s="219"/>
      <c r="W750" s="401"/>
      <c r="X750" s="402"/>
      <c r="Y750" s="198"/>
      <c r="Z750" s="219"/>
      <c r="AA750" s="401"/>
      <c r="AB750" s="402"/>
      <c r="AC750" s="198"/>
      <c r="AD750" s="219"/>
      <c r="AE750" s="401"/>
      <c r="AF750" s="402"/>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1"/>
      <c r="T751" s="402"/>
      <c r="U751" s="198"/>
      <c r="V751" s="219"/>
      <c r="W751" s="401"/>
      <c r="X751" s="402"/>
      <c r="Y751" s="198"/>
      <c r="Z751" s="219"/>
      <c r="AA751" s="401"/>
      <c r="AB751" s="402"/>
      <c r="AC751" s="198"/>
      <c r="AD751" s="219"/>
      <c r="AE751" s="401"/>
      <c r="AF751" s="402"/>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1"/>
      <c r="T752" s="402"/>
      <c r="U752" s="198"/>
      <c r="V752" s="219"/>
      <c r="W752" s="401"/>
      <c r="X752" s="402"/>
      <c r="Y752" s="198"/>
      <c r="Z752" s="219"/>
      <c r="AA752" s="401"/>
      <c r="AB752" s="402"/>
      <c r="AC752" s="198"/>
      <c r="AD752" s="219"/>
      <c r="AE752" s="401"/>
      <c r="AF752" s="402"/>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1"/>
      <c r="T753" s="402"/>
      <c r="U753" s="198"/>
      <c r="V753" s="219"/>
      <c r="W753" s="401"/>
      <c r="X753" s="402"/>
      <c r="Y753" s="198"/>
      <c r="Z753" s="219"/>
      <c r="AA753" s="401"/>
      <c r="AB753" s="402"/>
      <c r="AC753" s="198"/>
      <c r="AD753" s="219"/>
      <c r="AE753" s="401"/>
      <c r="AF753" s="402"/>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1"/>
      <c r="T754" s="402"/>
      <c r="U754" s="198"/>
      <c r="V754" s="219"/>
      <c r="W754" s="401"/>
      <c r="X754" s="402"/>
      <c r="Y754" s="198"/>
      <c r="Z754" s="219"/>
      <c r="AA754" s="401"/>
      <c r="AB754" s="402"/>
      <c r="AC754" s="198"/>
      <c r="AD754" s="219"/>
      <c r="AE754" s="401"/>
      <c r="AF754" s="402"/>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1"/>
      <c r="T755" s="402"/>
      <c r="U755" s="198"/>
      <c r="V755" s="219"/>
      <c r="W755" s="401"/>
      <c r="X755" s="402"/>
      <c r="Y755" s="198"/>
      <c r="Z755" s="219"/>
      <c r="AA755" s="401"/>
      <c r="AB755" s="402"/>
      <c r="AC755" s="198"/>
      <c r="AD755" s="219"/>
      <c r="AE755" s="401"/>
      <c r="AF755" s="402"/>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1"/>
      <c r="T756" s="402"/>
      <c r="U756" s="198"/>
      <c r="V756" s="219"/>
      <c r="W756" s="401"/>
      <c r="X756" s="402"/>
      <c r="Y756" s="198"/>
      <c r="Z756" s="219"/>
      <c r="AA756" s="401"/>
      <c r="AB756" s="402"/>
      <c r="AC756" s="198"/>
      <c r="AD756" s="219"/>
      <c r="AE756" s="401"/>
      <c r="AF756" s="402"/>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1"/>
      <c r="T757" s="402"/>
      <c r="U757" s="198"/>
      <c r="V757" s="219"/>
      <c r="W757" s="401"/>
      <c r="X757" s="402"/>
      <c r="Y757" s="198"/>
      <c r="Z757" s="219"/>
      <c r="AA757" s="401"/>
      <c r="AB757" s="402"/>
      <c r="AC757" s="198"/>
      <c r="AD757" s="219"/>
      <c r="AE757" s="401"/>
      <c r="AF757" s="402"/>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1"/>
      <c r="T758" s="402"/>
      <c r="U758" s="198"/>
      <c r="V758" s="219"/>
      <c r="W758" s="401"/>
      <c r="X758" s="402"/>
      <c r="Y758" s="198"/>
      <c r="Z758" s="219"/>
      <c r="AA758" s="401"/>
      <c r="AB758" s="402"/>
      <c r="AC758" s="198"/>
      <c r="AD758" s="219"/>
      <c r="AE758" s="401"/>
      <c r="AF758" s="402"/>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1"/>
      <c r="T759" s="402"/>
      <c r="U759" s="198"/>
      <c r="V759" s="219"/>
      <c r="W759" s="401"/>
      <c r="X759" s="402"/>
      <c r="Y759" s="198"/>
      <c r="Z759" s="219"/>
      <c r="AA759" s="401"/>
      <c r="AB759" s="402"/>
      <c r="AC759" s="198"/>
      <c r="AD759" s="219"/>
      <c r="AE759" s="401"/>
      <c r="AF759" s="402"/>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1"/>
      <c r="T760" s="402"/>
      <c r="U760" s="198"/>
      <c r="V760" s="219"/>
      <c r="W760" s="401"/>
      <c r="X760" s="402"/>
      <c r="Y760" s="198"/>
      <c r="Z760" s="219"/>
      <c r="AA760" s="401"/>
      <c r="AB760" s="402"/>
      <c r="AC760" s="198"/>
      <c r="AD760" s="219"/>
      <c r="AE760" s="401"/>
      <c r="AF760" s="402"/>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1"/>
      <c r="T761" s="402"/>
      <c r="U761" s="198"/>
      <c r="V761" s="219"/>
      <c r="W761" s="401"/>
      <c r="X761" s="402"/>
      <c r="Y761" s="198"/>
      <c r="Z761" s="219"/>
      <c r="AA761" s="401"/>
      <c r="AB761" s="402"/>
      <c r="AC761" s="198"/>
      <c r="AD761" s="219"/>
      <c r="AE761" s="401"/>
      <c r="AF761" s="402"/>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1"/>
      <c r="T762" s="402"/>
      <c r="U762" s="198"/>
      <c r="V762" s="219"/>
      <c r="W762" s="401"/>
      <c r="X762" s="402"/>
      <c r="Y762" s="198"/>
      <c r="Z762" s="219"/>
      <c r="AA762" s="401"/>
      <c r="AB762" s="402"/>
      <c r="AC762" s="198"/>
      <c r="AD762" s="219"/>
      <c r="AE762" s="401"/>
      <c r="AF762" s="402"/>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1"/>
      <c r="T763" s="402"/>
      <c r="U763" s="198"/>
      <c r="V763" s="219"/>
      <c r="W763" s="401"/>
      <c r="X763" s="402"/>
      <c r="Y763" s="198"/>
      <c r="Z763" s="219"/>
      <c r="AA763" s="401"/>
      <c r="AB763" s="402"/>
      <c r="AC763" s="198"/>
      <c r="AD763" s="219"/>
      <c r="AE763" s="401"/>
      <c r="AF763" s="402"/>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1"/>
      <c r="T764" s="402"/>
      <c r="U764" s="198"/>
      <c r="V764" s="219"/>
      <c r="W764" s="401"/>
      <c r="X764" s="402"/>
      <c r="Y764" s="198"/>
      <c r="Z764" s="219"/>
      <c r="AA764" s="401"/>
      <c r="AB764" s="402"/>
      <c r="AC764" s="198"/>
      <c r="AD764" s="219"/>
      <c r="AE764" s="401"/>
      <c r="AF764" s="402"/>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1"/>
      <c r="T765" s="402"/>
      <c r="U765" s="198"/>
      <c r="V765" s="219"/>
      <c r="W765" s="401"/>
      <c r="X765" s="402"/>
      <c r="Y765" s="198"/>
      <c r="Z765" s="219"/>
      <c r="AA765" s="401"/>
      <c r="AB765" s="402"/>
      <c r="AC765" s="198"/>
      <c r="AD765" s="219"/>
      <c r="AE765" s="401"/>
      <c r="AF765" s="402"/>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1"/>
      <c r="T766" s="402"/>
      <c r="U766" s="198"/>
      <c r="V766" s="219"/>
      <c r="W766" s="401"/>
      <c r="X766" s="402"/>
      <c r="Y766" s="198"/>
      <c r="Z766" s="219"/>
      <c r="AA766" s="401"/>
      <c r="AB766" s="402"/>
      <c r="AC766" s="198"/>
      <c r="AD766" s="219"/>
      <c r="AE766" s="401"/>
      <c r="AF766" s="402"/>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1"/>
      <c r="T767" s="402"/>
      <c r="U767" s="198"/>
      <c r="V767" s="219"/>
      <c r="W767" s="401"/>
      <c r="X767" s="402"/>
      <c r="Y767" s="198"/>
      <c r="Z767" s="219"/>
      <c r="AA767" s="401"/>
      <c r="AB767" s="402"/>
      <c r="AC767" s="198"/>
      <c r="AD767" s="219"/>
      <c r="AE767" s="401"/>
      <c r="AF767" s="402"/>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1"/>
      <c r="T768" s="402"/>
      <c r="U768" s="198"/>
      <c r="V768" s="219"/>
      <c r="W768" s="401"/>
      <c r="X768" s="402"/>
      <c r="Y768" s="198"/>
      <c r="Z768" s="219"/>
      <c r="AA768" s="401"/>
      <c r="AB768" s="402"/>
      <c r="AC768" s="198"/>
      <c r="AD768" s="219"/>
      <c r="AE768" s="401"/>
      <c r="AF768" s="402"/>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1"/>
      <c r="T769" s="402"/>
      <c r="U769" s="198"/>
      <c r="V769" s="219"/>
      <c r="W769" s="401"/>
      <c r="X769" s="402"/>
      <c r="Y769" s="198"/>
      <c r="Z769" s="219"/>
      <c r="AA769" s="401"/>
      <c r="AB769" s="402"/>
      <c r="AC769" s="198"/>
      <c r="AD769" s="219"/>
      <c r="AE769" s="401"/>
      <c r="AF769" s="402"/>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1"/>
      <c r="T770" s="402"/>
      <c r="U770" s="198"/>
      <c r="V770" s="219"/>
      <c r="W770" s="401"/>
      <c r="X770" s="402"/>
      <c r="Y770" s="198"/>
      <c r="Z770" s="219"/>
      <c r="AA770" s="401"/>
      <c r="AB770" s="402"/>
      <c r="AC770" s="198"/>
      <c r="AD770" s="219"/>
      <c r="AE770" s="401"/>
      <c r="AF770" s="402"/>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1"/>
      <c r="T771" s="402"/>
      <c r="U771" s="198"/>
      <c r="V771" s="219"/>
      <c r="W771" s="401"/>
      <c r="X771" s="402"/>
      <c r="Y771" s="198"/>
      <c r="Z771" s="219"/>
      <c r="AA771" s="401"/>
      <c r="AB771" s="402"/>
      <c r="AC771" s="198"/>
      <c r="AD771" s="219"/>
      <c r="AE771" s="401"/>
      <c r="AF771" s="402"/>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1"/>
      <c r="T772" s="402"/>
      <c r="U772" s="198"/>
      <c r="V772" s="219"/>
      <c r="W772" s="401"/>
      <c r="X772" s="402"/>
      <c r="Y772" s="198"/>
      <c r="Z772" s="219"/>
      <c r="AA772" s="401"/>
      <c r="AB772" s="402"/>
      <c r="AC772" s="198"/>
      <c r="AD772" s="219"/>
      <c r="AE772" s="401"/>
      <c r="AF772" s="402"/>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1"/>
      <c r="T773" s="402"/>
      <c r="U773" s="198"/>
      <c r="V773" s="219"/>
      <c r="W773" s="401"/>
      <c r="X773" s="402"/>
      <c r="Y773" s="198"/>
      <c r="Z773" s="219"/>
      <c r="AA773" s="401"/>
      <c r="AB773" s="402"/>
      <c r="AC773" s="198"/>
      <c r="AD773" s="219"/>
      <c r="AE773" s="401"/>
      <c r="AF773" s="402"/>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1"/>
      <c r="T774" s="402"/>
      <c r="U774" s="198"/>
      <c r="V774" s="219"/>
      <c r="W774" s="401"/>
      <c r="X774" s="402"/>
      <c r="Y774" s="198"/>
      <c r="Z774" s="219"/>
      <c r="AA774" s="401"/>
      <c r="AB774" s="402"/>
      <c r="AC774" s="198"/>
      <c r="AD774" s="219"/>
      <c r="AE774" s="401"/>
      <c r="AF774" s="402"/>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1"/>
      <c r="T775" s="402"/>
      <c r="U775" s="198"/>
      <c r="V775" s="219"/>
      <c r="W775" s="401"/>
      <c r="X775" s="402"/>
      <c r="Y775" s="198"/>
      <c r="Z775" s="219"/>
      <c r="AA775" s="401"/>
      <c r="AB775" s="402"/>
      <c r="AC775" s="198"/>
      <c r="AD775" s="219"/>
      <c r="AE775" s="401"/>
      <c r="AF775" s="402"/>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1"/>
      <c r="T776" s="402"/>
      <c r="U776" s="198"/>
      <c r="V776" s="219"/>
      <c r="W776" s="401"/>
      <c r="X776" s="402"/>
      <c r="Y776" s="198"/>
      <c r="Z776" s="219"/>
      <c r="AA776" s="401"/>
      <c r="AB776" s="402"/>
      <c r="AC776" s="198"/>
      <c r="AD776" s="219"/>
      <c r="AE776" s="401"/>
      <c r="AF776" s="402"/>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1"/>
      <c r="T777" s="402"/>
      <c r="U777" s="198"/>
      <c r="V777" s="219"/>
      <c r="W777" s="401"/>
      <c r="X777" s="402"/>
      <c r="Y777" s="198"/>
      <c r="Z777" s="219"/>
      <c r="AA777" s="401"/>
      <c r="AB777" s="402"/>
      <c r="AC777" s="198"/>
      <c r="AD777" s="219"/>
      <c r="AE777" s="401"/>
      <c r="AF777" s="402"/>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1"/>
      <c r="T778" s="402"/>
      <c r="U778" s="198"/>
      <c r="V778" s="219"/>
      <c r="W778" s="401"/>
      <c r="X778" s="402"/>
      <c r="Y778" s="198"/>
      <c r="Z778" s="219"/>
      <c r="AA778" s="401"/>
      <c r="AB778" s="402"/>
      <c r="AC778" s="198"/>
      <c r="AD778" s="219"/>
      <c r="AE778" s="401"/>
      <c r="AF778" s="402"/>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1"/>
      <c r="T779" s="402"/>
      <c r="U779" s="198"/>
      <c r="V779" s="219"/>
      <c r="W779" s="401"/>
      <c r="X779" s="402"/>
      <c r="Y779" s="198"/>
      <c r="Z779" s="219"/>
      <c r="AA779" s="401"/>
      <c r="AB779" s="402"/>
      <c r="AC779" s="198"/>
      <c r="AD779" s="219"/>
      <c r="AE779" s="401"/>
      <c r="AF779" s="402"/>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1"/>
      <c r="T780" s="402"/>
      <c r="U780" s="198"/>
      <c r="V780" s="219"/>
      <c r="W780" s="401"/>
      <c r="X780" s="402"/>
      <c r="Y780" s="198"/>
      <c r="Z780" s="219"/>
      <c r="AA780" s="401"/>
      <c r="AB780" s="402"/>
      <c r="AC780" s="198"/>
      <c r="AD780" s="219"/>
      <c r="AE780" s="401"/>
      <c r="AF780" s="402"/>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1"/>
      <c r="T781" s="402"/>
      <c r="U781" s="198"/>
      <c r="V781" s="219"/>
      <c r="W781" s="401"/>
      <c r="X781" s="402"/>
      <c r="Y781" s="198"/>
      <c r="Z781" s="219"/>
      <c r="AA781" s="401"/>
      <c r="AB781" s="402"/>
      <c r="AC781" s="198"/>
      <c r="AD781" s="219"/>
      <c r="AE781" s="401"/>
      <c r="AF781" s="402"/>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1"/>
      <c r="T782" s="402"/>
      <c r="U782" s="198"/>
      <c r="V782" s="219"/>
      <c r="W782" s="401"/>
      <c r="X782" s="402"/>
      <c r="Y782" s="198"/>
      <c r="Z782" s="219"/>
      <c r="AA782" s="401"/>
      <c r="AB782" s="402"/>
      <c r="AC782" s="198"/>
      <c r="AD782" s="219"/>
      <c r="AE782" s="401"/>
      <c r="AF782" s="402"/>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1"/>
      <c r="T783" s="402"/>
      <c r="U783" s="198"/>
      <c r="V783" s="219"/>
      <c r="W783" s="401"/>
      <c r="X783" s="402"/>
      <c r="Y783" s="198"/>
      <c r="Z783" s="219"/>
      <c r="AA783" s="401"/>
      <c r="AB783" s="402"/>
      <c r="AC783" s="198"/>
      <c r="AD783" s="219"/>
      <c r="AE783" s="401"/>
      <c r="AF783" s="402"/>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1"/>
      <c r="T784" s="402"/>
      <c r="U784" s="198"/>
      <c r="V784" s="219"/>
      <c r="W784" s="401"/>
      <c r="X784" s="402"/>
      <c r="Y784" s="198"/>
      <c r="Z784" s="219"/>
      <c r="AA784" s="401"/>
      <c r="AB784" s="402"/>
      <c r="AC784" s="198"/>
      <c r="AD784" s="219"/>
      <c r="AE784" s="401"/>
      <c r="AF784" s="402"/>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1"/>
      <c r="T785" s="402"/>
      <c r="U785" s="198"/>
      <c r="V785" s="219"/>
      <c r="W785" s="401"/>
      <c r="X785" s="402"/>
      <c r="Y785" s="198"/>
      <c r="Z785" s="219"/>
      <c r="AA785" s="401"/>
      <c r="AB785" s="402"/>
      <c r="AC785" s="198"/>
      <c r="AD785" s="219"/>
      <c r="AE785" s="401"/>
      <c r="AF785" s="402"/>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1"/>
      <c r="T786" s="402"/>
      <c r="U786" s="198"/>
      <c r="V786" s="219"/>
      <c r="W786" s="401"/>
      <c r="X786" s="402"/>
      <c r="Y786" s="198"/>
      <c r="Z786" s="219"/>
      <c r="AA786" s="401"/>
      <c r="AB786" s="402"/>
      <c r="AC786" s="198"/>
      <c r="AD786" s="219"/>
      <c r="AE786" s="401"/>
      <c r="AF786" s="402"/>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1"/>
      <c r="T787" s="402"/>
      <c r="U787" s="198"/>
      <c r="V787" s="219"/>
      <c r="W787" s="401"/>
      <c r="X787" s="402"/>
      <c r="Y787" s="198"/>
      <c r="Z787" s="219"/>
      <c r="AA787" s="401"/>
      <c r="AB787" s="402"/>
      <c r="AC787" s="198"/>
      <c r="AD787" s="219"/>
      <c r="AE787" s="401"/>
      <c r="AF787" s="402"/>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1"/>
      <c r="T788" s="402"/>
      <c r="U788" s="198"/>
      <c r="V788" s="219"/>
      <c r="W788" s="401"/>
      <c r="X788" s="402"/>
      <c r="Y788" s="198"/>
      <c r="Z788" s="219"/>
      <c r="AA788" s="401"/>
      <c r="AB788" s="402"/>
      <c r="AC788" s="198"/>
      <c r="AD788" s="219"/>
      <c r="AE788" s="401"/>
      <c r="AF788" s="402"/>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1"/>
      <c r="T789" s="402"/>
      <c r="U789" s="198"/>
      <c r="V789" s="219"/>
      <c r="W789" s="401"/>
      <c r="X789" s="402"/>
      <c r="Y789" s="198"/>
      <c r="Z789" s="219"/>
      <c r="AA789" s="401"/>
      <c r="AB789" s="402"/>
      <c r="AC789" s="198"/>
      <c r="AD789" s="219"/>
      <c r="AE789" s="401"/>
      <c r="AF789" s="402"/>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1"/>
      <c r="T790" s="402"/>
      <c r="U790" s="198"/>
      <c r="V790" s="219"/>
      <c r="W790" s="401"/>
      <c r="X790" s="402"/>
      <c r="Y790" s="198"/>
      <c r="Z790" s="219"/>
      <c r="AA790" s="401"/>
      <c r="AB790" s="402"/>
      <c r="AC790" s="198"/>
      <c r="AD790" s="219"/>
      <c r="AE790" s="401"/>
      <c r="AF790" s="402"/>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1"/>
      <c r="T791" s="402"/>
      <c r="U791" s="198"/>
      <c r="V791" s="219"/>
      <c r="W791" s="401"/>
      <c r="X791" s="402"/>
      <c r="Y791" s="198"/>
      <c r="Z791" s="219"/>
      <c r="AA791" s="401"/>
      <c r="AB791" s="402"/>
      <c r="AC791" s="198"/>
      <c r="AD791" s="219"/>
      <c r="AE791" s="401"/>
      <c r="AF791" s="402"/>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1"/>
      <c r="T792" s="402"/>
      <c r="U792" s="198"/>
      <c r="V792" s="219"/>
      <c r="W792" s="401"/>
      <c r="X792" s="402"/>
      <c r="Y792" s="198"/>
      <c r="Z792" s="219"/>
      <c r="AA792" s="401"/>
      <c r="AB792" s="402"/>
      <c r="AC792" s="198"/>
      <c r="AD792" s="219"/>
      <c r="AE792" s="401"/>
      <c r="AF792" s="402"/>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1"/>
      <c r="T793" s="402"/>
      <c r="U793" s="198"/>
      <c r="V793" s="219"/>
      <c r="W793" s="401"/>
      <c r="X793" s="402"/>
      <c r="Y793" s="198"/>
      <c r="Z793" s="219"/>
      <c r="AA793" s="401"/>
      <c r="AB793" s="402"/>
      <c r="AC793" s="198"/>
      <c r="AD793" s="219"/>
      <c r="AE793" s="401"/>
      <c r="AF793" s="402"/>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1"/>
      <c r="T794" s="402"/>
      <c r="U794" s="198"/>
      <c r="V794" s="219"/>
      <c r="W794" s="401"/>
      <c r="X794" s="402"/>
      <c r="Y794" s="198"/>
      <c r="Z794" s="219"/>
      <c r="AA794" s="401"/>
      <c r="AB794" s="402"/>
      <c r="AC794" s="198"/>
      <c r="AD794" s="219"/>
      <c r="AE794" s="401"/>
      <c r="AF794" s="402"/>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1"/>
      <c r="T795" s="402"/>
      <c r="U795" s="198"/>
      <c r="V795" s="219"/>
      <c r="W795" s="401"/>
      <c r="X795" s="402"/>
      <c r="Y795" s="198"/>
      <c r="Z795" s="219"/>
      <c r="AA795" s="401"/>
      <c r="AB795" s="402"/>
      <c r="AC795" s="198"/>
      <c r="AD795" s="219"/>
      <c r="AE795" s="401"/>
      <c r="AF795" s="402"/>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1"/>
      <c r="T796" s="402"/>
      <c r="U796" s="198"/>
      <c r="V796" s="219"/>
      <c r="W796" s="401"/>
      <c r="X796" s="402"/>
      <c r="Y796" s="198"/>
      <c r="Z796" s="219"/>
      <c r="AA796" s="401"/>
      <c r="AB796" s="402"/>
      <c r="AC796" s="198"/>
      <c r="AD796" s="219"/>
      <c r="AE796" s="401"/>
      <c r="AF796" s="402"/>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1"/>
      <c r="T797" s="402"/>
      <c r="U797" s="198"/>
      <c r="V797" s="219"/>
      <c r="W797" s="401"/>
      <c r="X797" s="402"/>
      <c r="Y797" s="198"/>
      <c r="Z797" s="219"/>
      <c r="AA797" s="401"/>
      <c r="AB797" s="402"/>
      <c r="AC797" s="198"/>
      <c r="AD797" s="219"/>
      <c r="AE797" s="401"/>
      <c r="AF797" s="402"/>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1"/>
      <c r="T798" s="402"/>
      <c r="U798" s="198"/>
      <c r="V798" s="219"/>
      <c r="W798" s="401"/>
      <c r="X798" s="402"/>
      <c r="Y798" s="198"/>
      <c r="Z798" s="219"/>
      <c r="AA798" s="401"/>
      <c r="AB798" s="402"/>
      <c r="AC798" s="198"/>
      <c r="AD798" s="219"/>
      <c r="AE798" s="401"/>
      <c r="AF798" s="402"/>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1"/>
      <c r="T799" s="402"/>
      <c r="U799" s="198"/>
      <c r="V799" s="219"/>
      <c r="W799" s="401"/>
      <c r="X799" s="402"/>
      <c r="Y799" s="198"/>
      <c r="Z799" s="219"/>
      <c r="AA799" s="401"/>
      <c r="AB799" s="402"/>
      <c r="AC799" s="198"/>
      <c r="AD799" s="219"/>
      <c r="AE799" s="401"/>
      <c r="AF799" s="402"/>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1"/>
      <c r="T800" s="402"/>
      <c r="U800" s="198"/>
      <c r="V800" s="219"/>
      <c r="W800" s="401"/>
      <c r="X800" s="402"/>
      <c r="Y800" s="198"/>
      <c r="Z800" s="219"/>
      <c r="AA800" s="401"/>
      <c r="AB800" s="402"/>
      <c r="AC800" s="198"/>
      <c r="AD800" s="219"/>
      <c r="AE800" s="401"/>
      <c r="AF800" s="402"/>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1"/>
      <c r="T801" s="402"/>
      <c r="U801" s="198"/>
      <c r="V801" s="219"/>
      <c r="W801" s="401"/>
      <c r="X801" s="402"/>
      <c r="Y801" s="198"/>
      <c r="Z801" s="219"/>
      <c r="AA801" s="401"/>
      <c r="AB801" s="402"/>
      <c r="AC801" s="198"/>
      <c r="AD801" s="219"/>
      <c r="AE801" s="401"/>
      <c r="AF801" s="402"/>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1"/>
      <c r="T802" s="402"/>
      <c r="U802" s="198"/>
      <c r="V802" s="219"/>
      <c r="W802" s="401"/>
      <c r="X802" s="402"/>
      <c r="Y802" s="198"/>
      <c r="Z802" s="219"/>
      <c r="AA802" s="401"/>
      <c r="AB802" s="402"/>
      <c r="AC802" s="198"/>
      <c r="AD802" s="219"/>
      <c r="AE802" s="401"/>
      <c r="AF802" s="402"/>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1"/>
      <c r="T803" s="402"/>
      <c r="U803" s="198"/>
      <c r="V803" s="219"/>
      <c r="W803" s="401"/>
      <c r="X803" s="402"/>
      <c r="Y803" s="198"/>
      <c r="Z803" s="219"/>
      <c r="AA803" s="401"/>
      <c r="AB803" s="402"/>
      <c r="AC803" s="198"/>
      <c r="AD803" s="219"/>
      <c r="AE803" s="401"/>
      <c r="AF803" s="402"/>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1"/>
      <c r="T804" s="402"/>
      <c r="U804" s="198"/>
      <c r="V804" s="219"/>
      <c r="W804" s="401"/>
      <c r="X804" s="402"/>
      <c r="Y804" s="198"/>
      <c r="Z804" s="219"/>
      <c r="AA804" s="401"/>
      <c r="AB804" s="402"/>
      <c r="AC804" s="198"/>
      <c r="AD804" s="219"/>
      <c r="AE804" s="401"/>
      <c r="AF804" s="402"/>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1"/>
      <c r="T805" s="402"/>
      <c r="U805" s="198"/>
      <c r="V805" s="219"/>
      <c r="W805" s="401"/>
      <c r="X805" s="402"/>
      <c r="Y805" s="198"/>
      <c r="Z805" s="219"/>
      <c r="AA805" s="401"/>
      <c r="AB805" s="402"/>
      <c r="AC805" s="198"/>
      <c r="AD805" s="219"/>
      <c r="AE805" s="401"/>
      <c r="AF805" s="402"/>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1"/>
      <c r="T806" s="402"/>
      <c r="U806" s="198"/>
      <c r="V806" s="219"/>
      <c r="W806" s="401"/>
      <c r="X806" s="402"/>
      <c r="Y806" s="198"/>
      <c r="Z806" s="219"/>
      <c r="AA806" s="401"/>
      <c r="AB806" s="402"/>
      <c r="AC806" s="198"/>
      <c r="AD806" s="219"/>
      <c r="AE806" s="401"/>
      <c r="AF806" s="402"/>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1"/>
      <c r="T807" s="402"/>
      <c r="U807" s="198"/>
      <c r="V807" s="219"/>
      <c r="W807" s="401"/>
      <c r="X807" s="402"/>
      <c r="Y807" s="198"/>
      <c r="Z807" s="219"/>
      <c r="AA807" s="401"/>
      <c r="AB807" s="402"/>
      <c r="AC807" s="198"/>
      <c r="AD807" s="219"/>
      <c r="AE807" s="401"/>
      <c r="AF807" s="402"/>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1"/>
      <c r="T808" s="402"/>
      <c r="U808" s="198"/>
      <c r="V808" s="219"/>
      <c r="W808" s="401"/>
      <c r="X808" s="402"/>
      <c r="Y808" s="198"/>
      <c r="Z808" s="219"/>
      <c r="AA808" s="401"/>
      <c r="AB808" s="402"/>
      <c r="AC808" s="198"/>
      <c r="AD808" s="219"/>
      <c r="AE808" s="401"/>
      <c r="AF808" s="402"/>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1"/>
      <c r="T809" s="402"/>
      <c r="U809" s="198"/>
      <c r="V809" s="219"/>
      <c r="W809" s="401"/>
      <c r="X809" s="402"/>
      <c r="Y809" s="198"/>
      <c r="Z809" s="219"/>
      <c r="AA809" s="401"/>
      <c r="AB809" s="402"/>
      <c r="AC809" s="198"/>
      <c r="AD809" s="219"/>
      <c r="AE809" s="401"/>
      <c r="AF809" s="402"/>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1"/>
      <c r="T810" s="402"/>
      <c r="U810" s="198"/>
      <c r="V810" s="219"/>
      <c r="W810" s="401"/>
      <c r="X810" s="402"/>
      <c r="Y810" s="198"/>
      <c r="Z810" s="219"/>
      <c r="AA810" s="401"/>
      <c r="AB810" s="402"/>
      <c r="AC810" s="198"/>
      <c r="AD810" s="219"/>
      <c r="AE810" s="401"/>
      <c r="AF810" s="402"/>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1"/>
      <c r="T811" s="402"/>
      <c r="U811" s="198"/>
      <c r="V811" s="219"/>
      <c r="W811" s="401"/>
      <c r="X811" s="402"/>
      <c r="Y811" s="198"/>
      <c r="Z811" s="219"/>
      <c r="AA811" s="401"/>
      <c r="AB811" s="402"/>
      <c r="AC811" s="198"/>
      <c r="AD811" s="219"/>
      <c r="AE811" s="401"/>
      <c r="AF811" s="402"/>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1"/>
      <c r="T812" s="402"/>
      <c r="U812" s="198"/>
      <c r="V812" s="219"/>
      <c r="W812" s="401"/>
      <c r="X812" s="402"/>
      <c r="Y812" s="198"/>
      <c r="Z812" s="219"/>
      <c r="AA812" s="401"/>
      <c r="AB812" s="402"/>
      <c r="AC812" s="198"/>
      <c r="AD812" s="219"/>
      <c r="AE812" s="401"/>
      <c r="AF812" s="402"/>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1"/>
      <c r="T813" s="402"/>
      <c r="U813" s="198"/>
      <c r="V813" s="219"/>
      <c r="W813" s="401"/>
      <c r="X813" s="402"/>
      <c r="Y813" s="198"/>
      <c r="Z813" s="219"/>
      <c r="AA813" s="401"/>
      <c r="AB813" s="402"/>
      <c r="AC813" s="198"/>
      <c r="AD813" s="219"/>
      <c r="AE813" s="401"/>
      <c r="AF813" s="402"/>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1"/>
      <c r="T814" s="402"/>
      <c r="U814" s="198"/>
      <c r="V814" s="219"/>
      <c r="W814" s="401"/>
      <c r="X814" s="402"/>
      <c r="Y814" s="198"/>
      <c r="Z814" s="219"/>
      <c r="AA814" s="401"/>
      <c r="AB814" s="402"/>
      <c r="AC814" s="198"/>
      <c r="AD814" s="219"/>
      <c r="AE814" s="401"/>
      <c r="AF814" s="402"/>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1"/>
      <c r="T815" s="402"/>
      <c r="U815" s="198"/>
      <c r="V815" s="219"/>
      <c r="W815" s="401"/>
      <c r="X815" s="402"/>
      <c r="Y815" s="198"/>
      <c r="Z815" s="219"/>
      <c r="AA815" s="401"/>
      <c r="AB815" s="402"/>
      <c r="AC815" s="198"/>
      <c r="AD815" s="219"/>
      <c r="AE815" s="401"/>
      <c r="AF815" s="402"/>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1"/>
      <c r="T816" s="402"/>
      <c r="U816" s="198"/>
      <c r="V816" s="219"/>
      <c r="W816" s="401"/>
      <c r="X816" s="402"/>
      <c r="Y816" s="198"/>
      <c r="Z816" s="219"/>
      <c r="AA816" s="401"/>
      <c r="AB816" s="402"/>
      <c r="AC816" s="198"/>
      <c r="AD816" s="219"/>
      <c r="AE816" s="401"/>
      <c r="AF816" s="402"/>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1"/>
      <c r="T817" s="402"/>
      <c r="U817" s="198"/>
      <c r="V817" s="219"/>
      <c r="W817" s="401"/>
      <c r="X817" s="402"/>
      <c r="Y817" s="198"/>
      <c r="Z817" s="219"/>
      <c r="AA817" s="401"/>
      <c r="AB817" s="402"/>
      <c r="AC817" s="198"/>
      <c r="AD817" s="219"/>
      <c r="AE817" s="401"/>
      <c r="AF817" s="402"/>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1"/>
      <c r="T818" s="402"/>
      <c r="U818" s="198"/>
      <c r="V818" s="219"/>
      <c r="W818" s="401"/>
      <c r="X818" s="402"/>
      <c r="Y818" s="198"/>
      <c r="Z818" s="219"/>
      <c r="AA818" s="401"/>
      <c r="AB818" s="402"/>
      <c r="AC818" s="198"/>
      <c r="AD818" s="219"/>
      <c r="AE818" s="401"/>
      <c r="AF818" s="402"/>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1"/>
      <c r="T819" s="402"/>
      <c r="U819" s="198"/>
      <c r="V819" s="219"/>
      <c r="W819" s="401"/>
      <c r="X819" s="402"/>
      <c r="Y819" s="198"/>
      <c r="Z819" s="219"/>
      <c r="AA819" s="401"/>
      <c r="AB819" s="402"/>
      <c r="AC819" s="198"/>
      <c r="AD819" s="219"/>
      <c r="AE819" s="401"/>
      <c r="AF819" s="402"/>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1"/>
      <c r="T820" s="402"/>
      <c r="U820" s="198"/>
      <c r="V820" s="219"/>
      <c r="W820" s="401"/>
      <c r="X820" s="402"/>
      <c r="Y820" s="198"/>
      <c r="Z820" s="219"/>
      <c r="AA820" s="401"/>
      <c r="AB820" s="402"/>
      <c r="AC820" s="198"/>
      <c r="AD820" s="219"/>
      <c r="AE820" s="401"/>
      <c r="AF820" s="402"/>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1"/>
      <c r="T821" s="402"/>
      <c r="U821" s="198"/>
      <c r="V821" s="219"/>
      <c r="W821" s="401"/>
      <c r="X821" s="402"/>
      <c r="Y821" s="198"/>
      <c r="Z821" s="219"/>
      <c r="AA821" s="401"/>
      <c r="AB821" s="402"/>
      <c r="AC821" s="198"/>
      <c r="AD821" s="219"/>
      <c r="AE821" s="401"/>
      <c r="AF821" s="402"/>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1"/>
      <c r="T822" s="402"/>
      <c r="U822" s="198"/>
      <c r="V822" s="219"/>
      <c r="W822" s="401"/>
      <c r="X822" s="402"/>
      <c r="Y822" s="198"/>
      <c r="Z822" s="219"/>
      <c r="AA822" s="401"/>
      <c r="AB822" s="402"/>
      <c r="AC822" s="198"/>
      <c r="AD822" s="219"/>
      <c r="AE822" s="401"/>
      <c r="AF822" s="402"/>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1"/>
      <c r="T823" s="402"/>
      <c r="U823" s="198"/>
      <c r="V823" s="219"/>
      <c r="W823" s="401"/>
      <c r="X823" s="402"/>
      <c r="Y823" s="198"/>
      <c r="Z823" s="219"/>
      <c r="AA823" s="401"/>
      <c r="AB823" s="402"/>
      <c r="AC823" s="198"/>
      <c r="AD823" s="219"/>
      <c r="AE823" s="401"/>
      <c r="AF823" s="402"/>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1"/>
      <c r="T824" s="402"/>
      <c r="U824" s="198"/>
      <c r="V824" s="219"/>
      <c r="W824" s="401"/>
      <c r="X824" s="402"/>
      <c r="Y824" s="198"/>
      <c r="Z824" s="219"/>
      <c r="AA824" s="401"/>
      <c r="AB824" s="402"/>
      <c r="AC824" s="198"/>
      <c r="AD824" s="219"/>
      <c r="AE824" s="401"/>
      <c r="AF824" s="402"/>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1"/>
      <c r="T825" s="402"/>
      <c r="U825" s="198"/>
      <c r="V825" s="219"/>
      <c r="W825" s="401"/>
      <c r="X825" s="402"/>
      <c r="Y825" s="198"/>
      <c r="Z825" s="219"/>
      <c r="AA825" s="401"/>
      <c r="AB825" s="402"/>
      <c r="AC825" s="198"/>
      <c r="AD825" s="219"/>
      <c r="AE825" s="401"/>
      <c r="AF825" s="402"/>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1"/>
      <c r="T826" s="402"/>
      <c r="U826" s="198"/>
      <c r="V826" s="219"/>
      <c r="W826" s="401"/>
      <c r="X826" s="402"/>
      <c r="Y826" s="198"/>
      <c r="Z826" s="219"/>
      <c r="AA826" s="401"/>
      <c r="AB826" s="402"/>
      <c r="AC826" s="198"/>
      <c r="AD826" s="219"/>
      <c r="AE826" s="401"/>
      <c r="AF826" s="402"/>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1"/>
      <c r="T827" s="402"/>
      <c r="U827" s="198"/>
      <c r="V827" s="219"/>
      <c r="W827" s="401"/>
      <c r="X827" s="402"/>
      <c r="Y827" s="198"/>
      <c r="Z827" s="219"/>
      <c r="AA827" s="401"/>
      <c r="AB827" s="402"/>
      <c r="AC827" s="198"/>
      <c r="AD827" s="219"/>
      <c r="AE827" s="401"/>
      <c r="AF827" s="402"/>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1"/>
      <c r="T828" s="402"/>
      <c r="U828" s="198"/>
      <c r="V828" s="219"/>
      <c r="W828" s="401"/>
      <c r="X828" s="402"/>
      <c r="Y828" s="198"/>
      <c r="Z828" s="219"/>
      <c r="AA828" s="401"/>
      <c r="AB828" s="402"/>
      <c r="AC828" s="198"/>
      <c r="AD828" s="219"/>
      <c r="AE828" s="401"/>
      <c r="AF828" s="402"/>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1"/>
      <c r="T829" s="402"/>
      <c r="U829" s="198"/>
      <c r="V829" s="219"/>
      <c r="W829" s="401"/>
      <c r="X829" s="402"/>
      <c r="Y829" s="198"/>
      <c r="Z829" s="219"/>
      <c r="AA829" s="401"/>
      <c r="AB829" s="402"/>
      <c r="AC829" s="198"/>
      <c r="AD829" s="219"/>
      <c r="AE829" s="401"/>
      <c r="AF829" s="402"/>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1"/>
      <c r="T830" s="402"/>
      <c r="U830" s="198"/>
      <c r="V830" s="219"/>
      <c r="W830" s="401"/>
      <c r="X830" s="402"/>
      <c r="Y830" s="198"/>
      <c r="Z830" s="219"/>
      <c r="AA830" s="401"/>
      <c r="AB830" s="402"/>
      <c r="AC830" s="198"/>
      <c r="AD830" s="219"/>
      <c r="AE830" s="401"/>
      <c r="AF830" s="402"/>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1"/>
      <c r="T831" s="402"/>
      <c r="U831" s="198"/>
      <c r="V831" s="219"/>
      <c r="W831" s="401"/>
      <c r="X831" s="402"/>
      <c r="Y831" s="198"/>
      <c r="Z831" s="219"/>
      <c r="AA831" s="401"/>
      <c r="AB831" s="402"/>
      <c r="AC831" s="198"/>
      <c r="AD831" s="219"/>
      <c r="AE831" s="401"/>
      <c r="AF831" s="402"/>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1"/>
      <c r="T832" s="402"/>
      <c r="U832" s="198"/>
      <c r="V832" s="219"/>
      <c r="W832" s="401"/>
      <c r="X832" s="402"/>
      <c r="Y832" s="198"/>
      <c r="Z832" s="219"/>
      <c r="AA832" s="401"/>
      <c r="AB832" s="402"/>
      <c r="AC832" s="198"/>
      <c r="AD832" s="219"/>
      <c r="AE832" s="401"/>
      <c r="AF832" s="402"/>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1"/>
      <c r="T833" s="402"/>
      <c r="U833" s="198"/>
      <c r="V833" s="219"/>
      <c r="W833" s="401"/>
      <c r="X833" s="402"/>
      <c r="Y833" s="198"/>
      <c r="Z833" s="219"/>
      <c r="AA833" s="401"/>
      <c r="AB833" s="402"/>
      <c r="AC833" s="198"/>
      <c r="AD833" s="219"/>
      <c r="AE833" s="401"/>
      <c r="AF833" s="402"/>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1"/>
      <c r="T834" s="402"/>
      <c r="U834" s="198"/>
      <c r="V834" s="219"/>
      <c r="W834" s="401"/>
      <c r="X834" s="402"/>
      <c r="Y834" s="198"/>
      <c r="Z834" s="219"/>
      <c r="AA834" s="401"/>
      <c r="AB834" s="402"/>
      <c r="AC834" s="198"/>
      <c r="AD834" s="219"/>
      <c r="AE834" s="401"/>
      <c r="AF834" s="402"/>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1"/>
      <c r="T835" s="402"/>
      <c r="U835" s="198"/>
      <c r="V835" s="219"/>
      <c r="W835" s="401"/>
      <c r="X835" s="402"/>
      <c r="Y835" s="198"/>
      <c r="Z835" s="219"/>
      <c r="AA835" s="401"/>
      <c r="AB835" s="402"/>
      <c r="AC835" s="198"/>
      <c r="AD835" s="219"/>
      <c r="AE835" s="401"/>
      <c r="AF835" s="402"/>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1"/>
      <c r="T836" s="402"/>
      <c r="U836" s="198"/>
      <c r="V836" s="219"/>
      <c r="W836" s="401"/>
      <c r="X836" s="402"/>
      <c r="Y836" s="198"/>
      <c r="Z836" s="219"/>
      <c r="AA836" s="401"/>
      <c r="AB836" s="402"/>
      <c r="AC836" s="198"/>
      <c r="AD836" s="219"/>
      <c r="AE836" s="401"/>
      <c r="AF836" s="402"/>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1"/>
      <c r="T837" s="402"/>
      <c r="U837" s="198"/>
      <c r="V837" s="219"/>
      <c r="W837" s="401"/>
      <c r="X837" s="402"/>
      <c r="Y837" s="198"/>
      <c r="Z837" s="219"/>
      <c r="AA837" s="401"/>
      <c r="AB837" s="402"/>
      <c r="AC837" s="198"/>
      <c r="AD837" s="219"/>
      <c r="AE837" s="401"/>
      <c r="AF837" s="402"/>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1"/>
      <c r="T838" s="402"/>
      <c r="U838" s="198"/>
      <c r="V838" s="219"/>
      <c r="W838" s="401"/>
      <c r="X838" s="402"/>
      <c r="Y838" s="198"/>
      <c r="Z838" s="219"/>
      <c r="AA838" s="401"/>
      <c r="AB838" s="402"/>
      <c r="AC838" s="198"/>
      <c r="AD838" s="219"/>
      <c r="AE838" s="401"/>
      <c r="AF838" s="402"/>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1"/>
      <c r="T839" s="402"/>
      <c r="U839" s="198"/>
      <c r="V839" s="219"/>
      <c r="W839" s="401"/>
      <c r="X839" s="402"/>
      <c r="Y839" s="198"/>
      <c r="Z839" s="219"/>
      <c r="AA839" s="401"/>
      <c r="AB839" s="402"/>
      <c r="AC839" s="198"/>
      <c r="AD839" s="219"/>
      <c r="AE839" s="401"/>
      <c r="AF839" s="402"/>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1"/>
      <c r="T840" s="402"/>
      <c r="U840" s="198"/>
      <c r="V840" s="219"/>
      <c r="W840" s="401"/>
      <c r="X840" s="402"/>
      <c r="Y840" s="198"/>
      <c r="Z840" s="219"/>
      <c r="AA840" s="401"/>
      <c r="AB840" s="402"/>
      <c r="AC840" s="198"/>
      <c r="AD840" s="219"/>
      <c r="AE840" s="401"/>
      <c r="AF840" s="402"/>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1"/>
      <c r="T841" s="402"/>
      <c r="U841" s="198"/>
      <c r="V841" s="219"/>
      <c r="W841" s="401"/>
      <c r="X841" s="402"/>
      <c r="Y841" s="198"/>
      <c r="Z841" s="219"/>
      <c r="AA841" s="401"/>
      <c r="AB841" s="402"/>
      <c r="AC841" s="198"/>
      <c r="AD841" s="219"/>
      <c r="AE841" s="401"/>
      <c r="AF841" s="402"/>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1"/>
      <c r="T842" s="402"/>
      <c r="U842" s="198"/>
      <c r="V842" s="219"/>
      <c r="W842" s="401"/>
      <c r="X842" s="402"/>
      <c r="Y842" s="198"/>
      <c r="Z842" s="219"/>
      <c r="AA842" s="401"/>
      <c r="AB842" s="402"/>
      <c r="AC842" s="198"/>
      <c r="AD842" s="219"/>
      <c r="AE842" s="401"/>
      <c r="AF842" s="402"/>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1"/>
      <c r="T843" s="402"/>
      <c r="U843" s="198"/>
      <c r="V843" s="219"/>
      <c r="W843" s="401"/>
      <c r="X843" s="402"/>
      <c r="Y843" s="198"/>
      <c r="Z843" s="219"/>
      <c r="AA843" s="401"/>
      <c r="AB843" s="402"/>
      <c r="AC843" s="198"/>
      <c r="AD843" s="219"/>
      <c r="AE843" s="401"/>
      <c r="AF843" s="402"/>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1"/>
      <c r="T844" s="402"/>
      <c r="U844" s="198"/>
      <c r="V844" s="219"/>
      <c r="W844" s="401"/>
      <c r="X844" s="402"/>
      <c r="Y844" s="198"/>
      <c r="Z844" s="219"/>
      <c r="AA844" s="401"/>
      <c r="AB844" s="402"/>
      <c r="AC844" s="198"/>
      <c r="AD844" s="219"/>
      <c r="AE844" s="401"/>
      <c r="AF844" s="402"/>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1"/>
      <c r="T845" s="402"/>
      <c r="U845" s="198"/>
      <c r="V845" s="219"/>
      <c r="W845" s="401"/>
      <c r="X845" s="402"/>
      <c r="Y845" s="198"/>
      <c r="Z845" s="219"/>
      <c r="AA845" s="401"/>
      <c r="AB845" s="402"/>
      <c r="AC845" s="198"/>
      <c r="AD845" s="219"/>
      <c r="AE845" s="401"/>
      <c r="AF845" s="402"/>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1"/>
      <c r="T846" s="402"/>
      <c r="U846" s="198"/>
      <c r="V846" s="219"/>
      <c r="W846" s="401"/>
      <c r="X846" s="402"/>
      <c r="Y846" s="198"/>
      <c r="Z846" s="219"/>
      <c r="AA846" s="401"/>
      <c r="AB846" s="402"/>
      <c r="AC846" s="198"/>
      <c r="AD846" s="219"/>
      <c r="AE846" s="401"/>
      <c r="AF846" s="402"/>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1"/>
      <c r="T847" s="402"/>
      <c r="U847" s="198"/>
      <c r="V847" s="219"/>
      <c r="W847" s="401"/>
      <c r="X847" s="402"/>
      <c r="Y847" s="198"/>
      <c r="Z847" s="219"/>
      <c r="AA847" s="401"/>
      <c r="AB847" s="402"/>
      <c r="AC847" s="198"/>
      <c r="AD847" s="219"/>
      <c r="AE847" s="401"/>
      <c r="AF847" s="402"/>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1"/>
      <c r="T848" s="402"/>
      <c r="U848" s="198"/>
      <c r="V848" s="219"/>
      <c r="W848" s="401"/>
      <c r="X848" s="402"/>
      <c r="Y848" s="198"/>
      <c r="Z848" s="219"/>
      <c r="AA848" s="401"/>
      <c r="AB848" s="402"/>
      <c r="AC848" s="198"/>
      <c r="AD848" s="219"/>
      <c r="AE848" s="401"/>
      <c r="AF848" s="402"/>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1"/>
      <c r="T849" s="402"/>
      <c r="U849" s="198"/>
      <c r="V849" s="219"/>
      <c r="W849" s="401"/>
      <c r="X849" s="402"/>
      <c r="Y849" s="198"/>
      <c r="Z849" s="219"/>
      <c r="AA849" s="401"/>
      <c r="AB849" s="402"/>
      <c r="AC849" s="198"/>
      <c r="AD849" s="219"/>
      <c r="AE849" s="401"/>
      <c r="AF849" s="402"/>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1"/>
      <c r="T850" s="402"/>
      <c r="U850" s="198"/>
      <c r="V850" s="219"/>
      <c r="W850" s="401"/>
      <c r="X850" s="402"/>
      <c r="Y850" s="198"/>
      <c r="Z850" s="219"/>
      <c r="AA850" s="401"/>
      <c r="AB850" s="402"/>
      <c r="AC850" s="198"/>
      <c r="AD850" s="219"/>
      <c r="AE850" s="401"/>
      <c r="AF850" s="402"/>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1"/>
      <c r="T851" s="402"/>
      <c r="U851" s="198"/>
      <c r="V851" s="219"/>
      <c r="W851" s="401"/>
      <c r="X851" s="402"/>
      <c r="Y851" s="198"/>
      <c r="Z851" s="219"/>
      <c r="AA851" s="401"/>
      <c r="AB851" s="402"/>
      <c r="AC851" s="198"/>
      <c r="AD851" s="219"/>
      <c r="AE851" s="401"/>
      <c r="AF851" s="402"/>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1"/>
      <c r="T852" s="402"/>
      <c r="U852" s="198"/>
      <c r="V852" s="219"/>
      <c r="W852" s="401"/>
      <c r="X852" s="402"/>
      <c r="Y852" s="198"/>
      <c r="Z852" s="219"/>
      <c r="AA852" s="401"/>
      <c r="AB852" s="402"/>
      <c r="AC852" s="198"/>
      <c r="AD852" s="219"/>
      <c r="AE852" s="401"/>
      <c r="AF852" s="402"/>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1"/>
      <c r="T853" s="402"/>
      <c r="U853" s="198"/>
      <c r="V853" s="219"/>
      <c r="W853" s="401"/>
      <c r="X853" s="402"/>
      <c r="Y853" s="198"/>
      <c r="Z853" s="219"/>
      <c r="AA853" s="401"/>
      <c r="AB853" s="402"/>
      <c r="AC853" s="198"/>
      <c r="AD853" s="219"/>
      <c r="AE853" s="401"/>
      <c r="AF853" s="402"/>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1"/>
      <c r="T854" s="402"/>
      <c r="U854" s="198"/>
      <c r="V854" s="219"/>
      <c r="W854" s="401"/>
      <c r="X854" s="402"/>
      <c r="Y854" s="198"/>
      <c r="Z854" s="219"/>
      <c r="AA854" s="401"/>
      <c r="AB854" s="402"/>
      <c r="AC854" s="198"/>
      <c r="AD854" s="219"/>
      <c r="AE854" s="401"/>
      <c r="AF854" s="402"/>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1"/>
      <c r="T855" s="402"/>
      <c r="U855" s="198"/>
      <c r="V855" s="219"/>
      <c r="W855" s="401"/>
      <c r="X855" s="402"/>
      <c r="Y855" s="198"/>
      <c r="Z855" s="219"/>
      <c r="AA855" s="401"/>
      <c r="AB855" s="402"/>
      <c r="AC855" s="198"/>
      <c r="AD855" s="219"/>
      <c r="AE855" s="401"/>
      <c r="AF855" s="402"/>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1"/>
      <c r="T856" s="402"/>
      <c r="U856" s="198"/>
      <c r="V856" s="219"/>
      <c r="W856" s="401"/>
      <c r="X856" s="402"/>
      <c r="Y856" s="198"/>
      <c r="Z856" s="219"/>
      <c r="AA856" s="401"/>
      <c r="AB856" s="402"/>
      <c r="AC856" s="198"/>
      <c r="AD856" s="219"/>
      <c r="AE856" s="401"/>
      <c r="AF856" s="402"/>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1"/>
      <c r="T857" s="402"/>
      <c r="U857" s="198"/>
      <c r="V857" s="219"/>
      <c r="W857" s="401"/>
      <c r="X857" s="402"/>
      <c r="Y857" s="198"/>
      <c r="Z857" s="219"/>
      <c r="AA857" s="401"/>
      <c r="AB857" s="402"/>
      <c r="AC857" s="198"/>
      <c r="AD857" s="219"/>
      <c r="AE857" s="401"/>
      <c r="AF857" s="402"/>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1"/>
      <c r="T858" s="402"/>
      <c r="U858" s="198"/>
      <c r="V858" s="219"/>
      <c r="W858" s="401"/>
      <c r="X858" s="402"/>
      <c r="Y858" s="198"/>
      <c r="Z858" s="219"/>
      <c r="AA858" s="401"/>
      <c r="AB858" s="402"/>
      <c r="AC858" s="198"/>
      <c r="AD858" s="219"/>
      <c r="AE858" s="401"/>
      <c r="AF858" s="402"/>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1"/>
      <c r="T859" s="402"/>
      <c r="U859" s="198"/>
      <c r="V859" s="219"/>
      <c r="W859" s="401"/>
      <c r="X859" s="402"/>
      <c r="Y859" s="198"/>
      <c r="Z859" s="219"/>
      <c r="AA859" s="401"/>
      <c r="AB859" s="402"/>
      <c r="AC859" s="198"/>
      <c r="AD859" s="219"/>
      <c r="AE859" s="401"/>
      <c r="AF859" s="402"/>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1"/>
      <c r="T860" s="402"/>
      <c r="U860" s="198"/>
      <c r="V860" s="219"/>
      <c r="W860" s="401"/>
      <c r="X860" s="402"/>
      <c r="Y860" s="198"/>
      <c r="Z860" s="219"/>
      <c r="AA860" s="401"/>
      <c r="AB860" s="402"/>
      <c r="AC860" s="198"/>
      <c r="AD860" s="219"/>
      <c r="AE860" s="401"/>
      <c r="AF860" s="402"/>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1"/>
      <c r="T861" s="402"/>
      <c r="U861" s="198"/>
      <c r="V861" s="219"/>
      <c r="W861" s="401"/>
      <c r="X861" s="402"/>
      <c r="Y861" s="198"/>
      <c r="Z861" s="219"/>
      <c r="AA861" s="401"/>
      <c r="AB861" s="402"/>
      <c r="AC861" s="198"/>
      <c r="AD861" s="219"/>
      <c r="AE861" s="401"/>
      <c r="AF861" s="402"/>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1"/>
      <c r="T862" s="402"/>
      <c r="U862" s="198"/>
      <c r="V862" s="219"/>
      <c r="W862" s="401"/>
      <c r="X862" s="402"/>
      <c r="Y862" s="198"/>
      <c r="Z862" s="219"/>
      <c r="AA862" s="401"/>
      <c r="AB862" s="402"/>
      <c r="AC862" s="198"/>
      <c r="AD862" s="219"/>
      <c r="AE862" s="401"/>
      <c r="AF862" s="402"/>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1"/>
      <c r="T863" s="402"/>
      <c r="U863" s="198"/>
      <c r="V863" s="219"/>
      <c r="W863" s="401"/>
      <c r="X863" s="402"/>
      <c r="Y863" s="198"/>
      <c r="Z863" s="219"/>
      <c r="AA863" s="401"/>
      <c r="AB863" s="402"/>
      <c r="AC863" s="198"/>
      <c r="AD863" s="219"/>
      <c r="AE863" s="401"/>
      <c r="AF863" s="402"/>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1"/>
      <c r="T864" s="402"/>
      <c r="U864" s="198"/>
      <c r="V864" s="219"/>
      <c r="W864" s="401"/>
      <c r="X864" s="402"/>
      <c r="Y864" s="198"/>
      <c r="Z864" s="219"/>
      <c r="AA864" s="401"/>
      <c r="AB864" s="402"/>
      <c r="AC864" s="198"/>
      <c r="AD864" s="219"/>
      <c r="AE864" s="401"/>
      <c r="AF864" s="402"/>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1"/>
      <c r="T865" s="402"/>
      <c r="U865" s="198"/>
      <c r="V865" s="219"/>
      <c r="W865" s="401"/>
      <c r="X865" s="402"/>
      <c r="Y865" s="198"/>
      <c r="Z865" s="219"/>
      <c r="AA865" s="401"/>
      <c r="AB865" s="402"/>
      <c r="AC865" s="198"/>
      <c r="AD865" s="219"/>
      <c r="AE865" s="401"/>
      <c r="AF865" s="402"/>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1"/>
      <c r="T866" s="402"/>
      <c r="U866" s="198"/>
      <c r="V866" s="219"/>
      <c r="W866" s="401"/>
      <c r="X866" s="402"/>
      <c r="Y866" s="198"/>
      <c r="Z866" s="219"/>
      <c r="AA866" s="401"/>
      <c r="AB866" s="402"/>
      <c r="AC866" s="198"/>
      <c r="AD866" s="219"/>
      <c r="AE866" s="401"/>
      <c r="AF866" s="402"/>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1"/>
      <c r="T867" s="402"/>
      <c r="U867" s="198"/>
      <c r="V867" s="219"/>
      <c r="W867" s="401"/>
      <c r="X867" s="402"/>
      <c r="Y867" s="198"/>
      <c r="Z867" s="219"/>
      <c r="AA867" s="401"/>
      <c r="AB867" s="402"/>
      <c r="AC867" s="198"/>
      <c r="AD867" s="219"/>
      <c r="AE867" s="401"/>
      <c r="AF867" s="402"/>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1"/>
      <c r="T868" s="402"/>
      <c r="U868" s="198"/>
      <c r="V868" s="219"/>
      <c r="W868" s="401"/>
      <c r="X868" s="402"/>
      <c r="Y868" s="198"/>
      <c r="Z868" s="219"/>
      <c r="AA868" s="401"/>
      <c r="AB868" s="402"/>
      <c r="AC868" s="198"/>
      <c r="AD868" s="219"/>
      <c r="AE868" s="401"/>
      <c r="AF868" s="402"/>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1"/>
      <c r="T869" s="402"/>
      <c r="U869" s="198"/>
      <c r="V869" s="219"/>
      <c r="W869" s="401"/>
      <c r="X869" s="402"/>
      <c r="Y869" s="198"/>
      <c r="Z869" s="219"/>
      <c r="AA869" s="401"/>
      <c r="AB869" s="402"/>
      <c r="AC869" s="198"/>
      <c r="AD869" s="219"/>
      <c r="AE869" s="401"/>
      <c r="AF869" s="402"/>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1"/>
      <c r="T870" s="402"/>
      <c r="U870" s="198"/>
      <c r="V870" s="219"/>
      <c r="W870" s="401"/>
      <c r="X870" s="402"/>
      <c r="Y870" s="198"/>
      <c r="Z870" s="219"/>
      <c r="AA870" s="401"/>
      <c r="AB870" s="402"/>
      <c r="AC870" s="198"/>
      <c r="AD870" s="219"/>
      <c r="AE870" s="401"/>
      <c r="AF870" s="402"/>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1"/>
      <c r="T871" s="402"/>
      <c r="U871" s="198"/>
      <c r="V871" s="219"/>
      <c r="W871" s="401"/>
      <c r="X871" s="402"/>
      <c r="Y871" s="198"/>
      <c r="Z871" s="219"/>
      <c r="AA871" s="401"/>
      <c r="AB871" s="402"/>
      <c r="AC871" s="198"/>
      <c r="AD871" s="219"/>
      <c r="AE871" s="401"/>
      <c r="AF871" s="402"/>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1"/>
      <c r="T872" s="402"/>
      <c r="U872" s="198"/>
      <c r="V872" s="219"/>
      <c r="W872" s="401"/>
      <c r="X872" s="402"/>
      <c r="Y872" s="198"/>
      <c r="Z872" s="219"/>
      <c r="AA872" s="401"/>
      <c r="AB872" s="402"/>
      <c r="AC872" s="198"/>
      <c r="AD872" s="219"/>
      <c r="AE872" s="401"/>
      <c r="AF872" s="402"/>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1"/>
      <c r="T873" s="402"/>
      <c r="U873" s="198"/>
      <c r="V873" s="219"/>
      <c r="W873" s="401"/>
      <c r="X873" s="402"/>
      <c r="Y873" s="198"/>
      <c r="Z873" s="219"/>
      <c r="AA873" s="401"/>
      <c r="AB873" s="402"/>
      <c r="AC873" s="198"/>
      <c r="AD873" s="219"/>
      <c r="AE873" s="401"/>
      <c r="AF873" s="402"/>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1"/>
      <c r="T874" s="402"/>
      <c r="U874" s="198"/>
      <c r="V874" s="219"/>
      <c r="W874" s="401"/>
      <c r="X874" s="402"/>
      <c r="Y874" s="198"/>
      <c r="Z874" s="219"/>
      <c r="AA874" s="401"/>
      <c r="AB874" s="402"/>
      <c r="AC874" s="198"/>
      <c r="AD874" s="219"/>
      <c r="AE874" s="401"/>
      <c r="AF874" s="402"/>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1"/>
      <c r="T875" s="402"/>
      <c r="U875" s="198"/>
      <c r="V875" s="219"/>
      <c r="W875" s="401"/>
      <c r="X875" s="402"/>
      <c r="Y875" s="198"/>
      <c r="Z875" s="219"/>
      <c r="AA875" s="401"/>
      <c r="AB875" s="402"/>
      <c r="AC875" s="198"/>
      <c r="AD875" s="219"/>
      <c r="AE875" s="401"/>
      <c r="AF875" s="402"/>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1"/>
      <c r="T876" s="402"/>
      <c r="U876" s="198"/>
      <c r="V876" s="219"/>
      <c r="W876" s="401"/>
      <c r="X876" s="402"/>
      <c r="Y876" s="198"/>
      <c r="Z876" s="219"/>
      <c r="AA876" s="401"/>
      <c r="AB876" s="402"/>
      <c r="AC876" s="198"/>
      <c r="AD876" s="219"/>
      <c r="AE876" s="401"/>
      <c r="AF876" s="402"/>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1"/>
      <c r="T877" s="402"/>
      <c r="U877" s="198"/>
      <c r="V877" s="219"/>
      <c r="W877" s="401"/>
      <c r="X877" s="402"/>
      <c r="Y877" s="198"/>
      <c r="Z877" s="219"/>
      <c r="AA877" s="401"/>
      <c r="AB877" s="402"/>
      <c r="AC877" s="198"/>
      <c r="AD877" s="219"/>
      <c r="AE877" s="401"/>
      <c r="AF877" s="402"/>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1"/>
      <c r="T878" s="402"/>
      <c r="U878" s="198"/>
      <c r="V878" s="219"/>
      <c r="W878" s="401"/>
      <c r="X878" s="402"/>
      <c r="Y878" s="198"/>
      <c r="Z878" s="219"/>
      <c r="AA878" s="401"/>
      <c r="AB878" s="402"/>
      <c r="AC878" s="198"/>
      <c r="AD878" s="219"/>
      <c r="AE878" s="401"/>
      <c r="AF878" s="402"/>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1"/>
      <c r="T879" s="402"/>
      <c r="U879" s="198"/>
      <c r="V879" s="219"/>
      <c r="W879" s="401"/>
      <c r="X879" s="402"/>
      <c r="Y879" s="198"/>
      <c r="Z879" s="219"/>
      <c r="AA879" s="401"/>
      <c r="AB879" s="402"/>
      <c r="AC879" s="198"/>
      <c r="AD879" s="219"/>
      <c r="AE879" s="401"/>
      <c r="AF879" s="402"/>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1"/>
      <c r="T880" s="402"/>
      <c r="U880" s="198"/>
      <c r="V880" s="219"/>
      <c r="W880" s="401"/>
      <c r="X880" s="402"/>
      <c r="Y880" s="198"/>
      <c r="Z880" s="219"/>
      <c r="AA880" s="401"/>
      <c r="AB880" s="402"/>
      <c r="AC880" s="198"/>
      <c r="AD880" s="219"/>
      <c r="AE880" s="401"/>
      <c r="AF880" s="402"/>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1"/>
      <c r="T881" s="402"/>
      <c r="U881" s="198"/>
      <c r="V881" s="219"/>
      <c r="W881" s="401"/>
      <c r="X881" s="402"/>
      <c r="Y881" s="198"/>
      <c r="Z881" s="219"/>
      <c r="AA881" s="401"/>
      <c r="AB881" s="402"/>
      <c r="AC881" s="198"/>
      <c r="AD881" s="219"/>
      <c r="AE881" s="401"/>
      <c r="AF881" s="402"/>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1"/>
      <c r="T882" s="402"/>
      <c r="U882" s="198"/>
      <c r="V882" s="219"/>
      <c r="W882" s="401"/>
      <c r="X882" s="402"/>
      <c r="Y882" s="198"/>
      <c r="Z882" s="219"/>
      <c r="AA882" s="401"/>
      <c r="AB882" s="402"/>
      <c r="AC882" s="198"/>
      <c r="AD882" s="219"/>
      <c r="AE882" s="401"/>
      <c r="AF882" s="402"/>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1"/>
      <c r="T883" s="402"/>
      <c r="U883" s="198"/>
      <c r="V883" s="219"/>
      <c r="W883" s="401"/>
      <c r="X883" s="402"/>
      <c r="Y883" s="198"/>
      <c r="Z883" s="219"/>
      <c r="AA883" s="401"/>
      <c r="AB883" s="402"/>
      <c r="AC883" s="198"/>
      <c r="AD883" s="219"/>
      <c r="AE883" s="401"/>
      <c r="AF883" s="402"/>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1"/>
      <c r="T884" s="402"/>
      <c r="U884" s="198"/>
      <c r="V884" s="219"/>
      <c r="W884" s="401"/>
      <c r="X884" s="402"/>
      <c r="Y884" s="198"/>
      <c r="Z884" s="219"/>
      <c r="AA884" s="401"/>
      <c r="AB884" s="402"/>
      <c r="AC884" s="198"/>
      <c r="AD884" s="219"/>
      <c r="AE884" s="401"/>
      <c r="AF884" s="402"/>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1"/>
      <c r="T885" s="402"/>
      <c r="U885" s="198"/>
      <c r="V885" s="219"/>
      <c r="W885" s="401"/>
      <c r="X885" s="402"/>
      <c r="Y885" s="198"/>
      <c r="Z885" s="219"/>
      <c r="AA885" s="401"/>
      <c r="AB885" s="402"/>
      <c r="AC885" s="198"/>
      <c r="AD885" s="219"/>
      <c r="AE885" s="401"/>
      <c r="AF885" s="402"/>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1"/>
      <c r="T886" s="402"/>
      <c r="U886" s="198"/>
      <c r="V886" s="219"/>
      <c r="W886" s="401"/>
      <c r="X886" s="402"/>
      <c r="Y886" s="198"/>
      <c r="Z886" s="219"/>
      <c r="AA886" s="401"/>
      <c r="AB886" s="402"/>
      <c r="AC886" s="198"/>
      <c r="AD886" s="219"/>
      <c r="AE886" s="401"/>
      <c r="AF886" s="402"/>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1"/>
      <c r="T887" s="402"/>
      <c r="U887" s="198"/>
      <c r="V887" s="219"/>
      <c r="W887" s="401"/>
      <c r="X887" s="402"/>
      <c r="Y887" s="198"/>
      <c r="Z887" s="219"/>
      <c r="AA887" s="401"/>
      <c r="AB887" s="402"/>
      <c r="AC887" s="198"/>
      <c r="AD887" s="219"/>
      <c r="AE887" s="401"/>
      <c r="AF887" s="402"/>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1"/>
      <c r="T888" s="402"/>
      <c r="U888" s="198"/>
      <c r="V888" s="219"/>
      <c r="W888" s="401"/>
      <c r="X888" s="402"/>
      <c r="Y888" s="198"/>
      <c r="Z888" s="219"/>
      <c r="AA888" s="401"/>
      <c r="AB888" s="402"/>
      <c r="AC888" s="198"/>
      <c r="AD888" s="219"/>
      <c r="AE888" s="401"/>
      <c r="AF888" s="402"/>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1"/>
      <c r="T889" s="402"/>
      <c r="U889" s="198"/>
      <c r="V889" s="219"/>
      <c r="W889" s="401"/>
      <c r="X889" s="402"/>
      <c r="Y889" s="198"/>
      <c r="Z889" s="219"/>
      <c r="AA889" s="401"/>
      <c r="AB889" s="402"/>
      <c r="AC889" s="198"/>
      <c r="AD889" s="219"/>
      <c r="AE889" s="401"/>
      <c r="AF889" s="402"/>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1"/>
      <c r="T890" s="402"/>
      <c r="U890" s="198"/>
      <c r="V890" s="219"/>
      <c r="W890" s="401"/>
      <c r="X890" s="402"/>
      <c r="Y890" s="198"/>
      <c r="Z890" s="219"/>
      <c r="AA890" s="401"/>
      <c r="AB890" s="402"/>
      <c r="AC890" s="198"/>
      <c r="AD890" s="219"/>
      <c r="AE890" s="401"/>
      <c r="AF890" s="402"/>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1"/>
      <c r="T891" s="402"/>
      <c r="U891" s="198"/>
      <c r="V891" s="219"/>
      <c r="W891" s="401"/>
      <c r="X891" s="402"/>
      <c r="Y891" s="198"/>
      <c r="Z891" s="219"/>
      <c r="AA891" s="401"/>
      <c r="AB891" s="402"/>
      <c r="AC891" s="198"/>
      <c r="AD891" s="219"/>
      <c r="AE891" s="401"/>
      <c r="AF891" s="402"/>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1"/>
      <c r="T892" s="402"/>
      <c r="U892" s="198"/>
      <c r="V892" s="219"/>
      <c r="W892" s="401"/>
      <c r="X892" s="402"/>
      <c r="Y892" s="198"/>
      <c r="Z892" s="219"/>
      <c r="AA892" s="401"/>
      <c r="AB892" s="402"/>
      <c r="AC892" s="198"/>
      <c r="AD892" s="219"/>
      <c r="AE892" s="401"/>
      <c r="AF892" s="402"/>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1"/>
      <c r="T893" s="402"/>
      <c r="U893" s="198"/>
      <c r="V893" s="219"/>
      <c r="W893" s="401"/>
      <c r="X893" s="402"/>
      <c r="Y893" s="198"/>
      <c r="Z893" s="219"/>
      <c r="AA893" s="401"/>
      <c r="AB893" s="402"/>
      <c r="AC893" s="198"/>
      <c r="AD893" s="219"/>
      <c r="AE893" s="401"/>
      <c r="AF893" s="402"/>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1"/>
      <c r="T894" s="402"/>
      <c r="U894" s="198"/>
      <c r="V894" s="219"/>
      <c r="W894" s="401"/>
      <c r="X894" s="402"/>
      <c r="Y894" s="198"/>
      <c r="Z894" s="219"/>
      <c r="AA894" s="401"/>
      <c r="AB894" s="402"/>
      <c r="AC894" s="198"/>
      <c r="AD894" s="219"/>
      <c r="AE894" s="401"/>
      <c r="AF894" s="402"/>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1"/>
      <c r="T895" s="402"/>
      <c r="U895" s="198"/>
      <c r="V895" s="219"/>
      <c r="W895" s="401"/>
      <c r="X895" s="402"/>
      <c r="Y895" s="198"/>
      <c r="Z895" s="219"/>
      <c r="AA895" s="401"/>
      <c r="AB895" s="402"/>
      <c r="AC895" s="198"/>
      <c r="AD895" s="219"/>
      <c r="AE895" s="401"/>
      <c r="AF895" s="402"/>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1"/>
      <c r="T896" s="402"/>
      <c r="U896" s="198"/>
      <c r="V896" s="219"/>
      <c r="W896" s="401"/>
      <c r="X896" s="402"/>
      <c r="Y896" s="198"/>
      <c r="Z896" s="219"/>
      <c r="AA896" s="401"/>
      <c r="AB896" s="402"/>
      <c r="AC896" s="198"/>
      <c r="AD896" s="219"/>
      <c r="AE896" s="401"/>
      <c r="AF896" s="402"/>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1"/>
      <c r="T897" s="402"/>
      <c r="U897" s="198"/>
      <c r="V897" s="219"/>
      <c r="W897" s="401"/>
      <c r="X897" s="402"/>
      <c r="Y897" s="198"/>
      <c r="Z897" s="219"/>
      <c r="AA897" s="401"/>
      <c r="AB897" s="402"/>
      <c r="AC897" s="198"/>
      <c r="AD897" s="219"/>
      <c r="AE897" s="401"/>
      <c r="AF897" s="402"/>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1"/>
      <c r="T898" s="402"/>
      <c r="U898" s="198"/>
      <c r="V898" s="219"/>
      <c r="W898" s="401"/>
      <c r="X898" s="402"/>
      <c r="Y898" s="198"/>
      <c r="Z898" s="219"/>
      <c r="AA898" s="401"/>
      <c r="AB898" s="402"/>
      <c r="AC898" s="198"/>
      <c r="AD898" s="219"/>
      <c r="AE898" s="401"/>
      <c r="AF898" s="402"/>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1"/>
      <c r="T899" s="402"/>
      <c r="U899" s="198"/>
      <c r="V899" s="219"/>
      <c r="W899" s="401"/>
      <c r="X899" s="402"/>
      <c r="Y899" s="198"/>
      <c r="Z899" s="219"/>
      <c r="AA899" s="401"/>
      <c r="AB899" s="402"/>
      <c r="AC899" s="198"/>
      <c r="AD899" s="219"/>
      <c r="AE899" s="401"/>
      <c r="AF899" s="402"/>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1"/>
      <c r="T900" s="402"/>
      <c r="U900" s="198"/>
      <c r="V900" s="219"/>
      <c r="W900" s="401"/>
      <c r="X900" s="402"/>
      <c r="Y900" s="198"/>
      <c r="Z900" s="219"/>
      <c r="AA900" s="401"/>
      <c r="AB900" s="402"/>
      <c r="AC900" s="198"/>
      <c r="AD900" s="219"/>
      <c r="AE900" s="401"/>
      <c r="AF900" s="402"/>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1"/>
      <c r="T901" s="402"/>
      <c r="U901" s="198"/>
      <c r="V901" s="219"/>
      <c r="W901" s="401"/>
      <c r="X901" s="402"/>
      <c r="Y901" s="198"/>
      <c r="Z901" s="219"/>
      <c r="AA901" s="401"/>
      <c r="AB901" s="402"/>
      <c r="AC901" s="198"/>
      <c r="AD901" s="219"/>
      <c r="AE901" s="401"/>
      <c r="AF901" s="402"/>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1"/>
      <c r="T902" s="402"/>
      <c r="U902" s="198"/>
      <c r="V902" s="219"/>
      <c r="W902" s="401"/>
      <c r="X902" s="402"/>
      <c r="Y902" s="198"/>
      <c r="Z902" s="219"/>
      <c r="AA902" s="401"/>
      <c r="AB902" s="402"/>
      <c r="AC902" s="198"/>
      <c r="AD902" s="219"/>
      <c r="AE902" s="401"/>
      <c r="AF902" s="402"/>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1"/>
      <c r="T903" s="402"/>
      <c r="U903" s="198"/>
      <c r="V903" s="219"/>
      <c r="W903" s="401"/>
      <c r="X903" s="402"/>
      <c r="Y903" s="198"/>
      <c r="Z903" s="219"/>
      <c r="AA903" s="401"/>
      <c r="AB903" s="402"/>
      <c r="AC903" s="198"/>
      <c r="AD903" s="219"/>
      <c r="AE903" s="401"/>
      <c r="AF903" s="402"/>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1"/>
      <c r="T904" s="402"/>
      <c r="U904" s="198"/>
      <c r="V904" s="219"/>
      <c r="W904" s="401"/>
      <c r="X904" s="402"/>
      <c r="Y904" s="198"/>
      <c r="Z904" s="219"/>
      <c r="AA904" s="401"/>
      <c r="AB904" s="402"/>
      <c r="AC904" s="198"/>
      <c r="AD904" s="219"/>
      <c r="AE904" s="401"/>
      <c r="AF904" s="402"/>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1"/>
      <c r="T905" s="402"/>
      <c r="U905" s="198"/>
      <c r="V905" s="219"/>
      <c r="W905" s="401"/>
      <c r="X905" s="402"/>
      <c r="Y905" s="198"/>
      <c r="Z905" s="219"/>
      <c r="AA905" s="401"/>
      <c r="AB905" s="402"/>
      <c r="AC905" s="198"/>
      <c r="AD905" s="219"/>
      <c r="AE905" s="401"/>
      <c r="AF905" s="402"/>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1"/>
      <c r="T906" s="402"/>
      <c r="U906" s="198"/>
      <c r="V906" s="219"/>
      <c r="W906" s="401"/>
      <c r="X906" s="402"/>
      <c r="Y906" s="198"/>
      <c r="Z906" s="219"/>
      <c r="AA906" s="401"/>
      <c r="AB906" s="402"/>
      <c r="AC906" s="198"/>
      <c r="AD906" s="219"/>
      <c r="AE906" s="401"/>
      <c r="AF906" s="402"/>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1"/>
      <c r="T907" s="402"/>
      <c r="U907" s="198"/>
      <c r="V907" s="219"/>
      <c r="W907" s="401"/>
      <c r="X907" s="402"/>
      <c r="Y907" s="198"/>
      <c r="Z907" s="219"/>
      <c r="AA907" s="401"/>
      <c r="AB907" s="402"/>
      <c r="AC907" s="198"/>
      <c r="AD907" s="219"/>
      <c r="AE907" s="401"/>
      <c r="AF907" s="402"/>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1"/>
      <c r="T908" s="402"/>
      <c r="U908" s="198"/>
      <c r="V908" s="219"/>
      <c r="W908" s="401"/>
      <c r="X908" s="402"/>
      <c r="Y908" s="198"/>
      <c r="Z908" s="219"/>
      <c r="AA908" s="401"/>
      <c r="AB908" s="402"/>
      <c r="AC908" s="198"/>
      <c r="AD908" s="219"/>
      <c r="AE908" s="401"/>
      <c r="AF908" s="402"/>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1"/>
      <c r="T909" s="402"/>
      <c r="U909" s="198"/>
      <c r="V909" s="219"/>
      <c r="W909" s="401"/>
      <c r="X909" s="402"/>
      <c r="Y909" s="198"/>
      <c r="Z909" s="219"/>
      <c r="AA909" s="401"/>
      <c r="AB909" s="402"/>
      <c r="AC909" s="198"/>
      <c r="AD909" s="219"/>
      <c r="AE909" s="401"/>
      <c r="AF909" s="402"/>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1"/>
      <c r="T910" s="402"/>
      <c r="U910" s="198"/>
      <c r="V910" s="219"/>
      <c r="W910" s="401"/>
      <c r="X910" s="402"/>
      <c r="Y910" s="198"/>
      <c r="Z910" s="219"/>
      <c r="AA910" s="401"/>
      <c r="AB910" s="402"/>
      <c r="AC910" s="198"/>
      <c r="AD910" s="219"/>
      <c r="AE910" s="401"/>
      <c r="AF910" s="402"/>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1"/>
      <c r="T911" s="402"/>
      <c r="U911" s="198"/>
      <c r="V911" s="219"/>
      <c r="W911" s="401"/>
      <c r="X911" s="402"/>
      <c r="Y911" s="198"/>
      <c r="Z911" s="219"/>
      <c r="AA911" s="401"/>
      <c r="AB911" s="402"/>
      <c r="AC911" s="198"/>
      <c r="AD911" s="219"/>
      <c r="AE911" s="401"/>
      <c r="AF911" s="402"/>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1"/>
      <c r="T912" s="402"/>
      <c r="U912" s="198"/>
      <c r="V912" s="219"/>
      <c r="W912" s="401"/>
      <c r="X912" s="402"/>
      <c r="Y912" s="198"/>
      <c r="Z912" s="219"/>
      <c r="AA912" s="401"/>
      <c r="AB912" s="402"/>
      <c r="AC912" s="198"/>
      <c r="AD912" s="219"/>
      <c r="AE912" s="401"/>
      <c r="AF912" s="402"/>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1"/>
      <c r="T913" s="402"/>
      <c r="U913" s="198"/>
      <c r="V913" s="219"/>
      <c r="W913" s="401"/>
      <c r="X913" s="402"/>
      <c r="Y913" s="198"/>
      <c r="Z913" s="219"/>
      <c r="AA913" s="401"/>
      <c r="AB913" s="402"/>
      <c r="AC913" s="198"/>
      <c r="AD913" s="219"/>
      <c r="AE913" s="401"/>
      <c r="AF913" s="402"/>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1"/>
      <c r="T914" s="402"/>
      <c r="U914" s="198"/>
      <c r="V914" s="219"/>
      <c r="W914" s="401"/>
      <c r="X914" s="402"/>
      <c r="Y914" s="198"/>
      <c r="Z914" s="219"/>
      <c r="AA914" s="401"/>
      <c r="AB914" s="402"/>
      <c r="AC914" s="198"/>
      <c r="AD914" s="219"/>
      <c r="AE914" s="401"/>
      <c r="AF914" s="402"/>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1"/>
      <c r="T915" s="402"/>
      <c r="U915" s="198"/>
      <c r="V915" s="219"/>
      <c r="W915" s="401"/>
      <c r="X915" s="402"/>
      <c r="Y915" s="198"/>
      <c r="Z915" s="219"/>
      <c r="AA915" s="401"/>
      <c r="AB915" s="402"/>
      <c r="AC915" s="198"/>
      <c r="AD915" s="219"/>
      <c r="AE915" s="401"/>
      <c r="AF915" s="402"/>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1"/>
      <c r="T916" s="402"/>
      <c r="U916" s="198"/>
      <c r="V916" s="219"/>
      <c r="W916" s="401"/>
      <c r="X916" s="402"/>
      <c r="Y916" s="198"/>
      <c r="Z916" s="219"/>
      <c r="AA916" s="401"/>
      <c r="AB916" s="402"/>
      <c r="AC916" s="198"/>
      <c r="AD916" s="219"/>
      <c r="AE916" s="401"/>
      <c r="AF916" s="402"/>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1"/>
      <c r="T917" s="402"/>
      <c r="U917" s="198"/>
      <c r="V917" s="219"/>
      <c r="W917" s="401"/>
      <c r="X917" s="402"/>
      <c r="Y917" s="198"/>
      <c r="Z917" s="219"/>
      <c r="AA917" s="401"/>
      <c r="AB917" s="402"/>
      <c r="AC917" s="198"/>
      <c r="AD917" s="219"/>
      <c r="AE917" s="401"/>
      <c r="AF917" s="402"/>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1"/>
      <c r="T918" s="402"/>
      <c r="U918" s="198"/>
      <c r="V918" s="219"/>
      <c r="W918" s="401"/>
      <c r="X918" s="402"/>
      <c r="Y918" s="198"/>
      <c r="Z918" s="219"/>
      <c r="AA918" s="401"/>
      <c r="AB918" s="402"/>
      <c r="AC918" s="198"/>
      <c r="AD918" s="219"/>
      <c r="AE918" s="401"/>
      <c r="AF918" s="402"/>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1"/>
      <c r="T919" s="402"/>
      <c r="U919" s="198"/>
      <c r="V919" s="219"/>
      <c r="W919" s="401"/>
      <c r="X919" s="402"/>
      <c r="Y919" s="198"/>
      <c r="Z919" s="219"/>
      <c r="AA919" s="401"/>
      <c r="AB919" s="402"/>
      <c r="AC919" s="198"/>
      <c r="AD919" s="219"/>
      <c r="AE919" s="401"/>
      <c r="AF919" s="402"/>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1"/>
      <c r="T920" s="402"/>
      <c r="U920" s="198"/>
      <c r="V920" s="219"/>
      <c r="W920" s="401"/>
      <c r="X920" s="402"/>
      <c r="Y920" s="198"/>
      <c r="Z920" s="219"/>
      <c r="AA920" s="401"/>
      <c r="AB920" s="402"/>
      <c r="AC920" s="198"/>
      <c r="AD920" s="219"/>
      <c r="AE920" s="401"/>
      <c r="AF920" s="402"/>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1"/>
      <c r="T921" s="402"/>
      <c r="U921" s="198"/>
      <c r="V921" s="219"/>
      <c r="W921" s="401"/>
      <c r="X921" s="402"/>
      <c r="Y921" s="198"/>
      <c r="Z921" s="219"/>
      <c r="AA921" s="401"/>
      <c r="AB921" s="402"/>
      <c r="AC921" s="198"/>
      <c r="AD921" s="219"/>
      <c r="AE921" s="401"/>
      <c r="AF921" s="402"/>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1"/>
      <c r="T922" s="402"/>
      <c r="U922" s="198"/>
      <c r="V922" s="219"/>
      <c r="W922" s="401"/>
      <c r="X922" s="402"/>
      <c r="Y922" s="198"/>
      <c r="Z922" s="219"/>
      <c r="AA922" s="401"/>
      <c r="AB922" s="402"/>
      <c r="AC922" s="198"/>
      <c r="AD922" s="219"/>
      <c r="AE922" s="401"/>
      <c r="AF922" s="402"/>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1"/>
      <c r="T923" s="402"/>
      <c r="U923" s="198"/>
      <c r="V923" s="219"/>
      <c r="W923" s="401"/>
      <c r="X923" s="402"/>
      <c r="Y923" s="198"/>
      <c r="Z923" s="219"/>
      <c r="AA923" s="401"/>
      <c r="AB923" s="402"/>
      <c r="AC923" s="198"/>
      <c r="AD923" s="219"/>
      <c r="AE923" s="401"/>
      <c r="AF923" s="402"/>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1"/>
      <c r="T924" s="402"/>
      <c r="U924" s="198"/>
      <c r="V924" s="219"/>
      <c r="W924" s="401"/>
      <c r="X924" s="402"/>
      <c r="Y924" s="198"/>
      <c r="Z924" s="219"/>
      <c r="AA924" s="401"/>
      <c r="AB924" s="402"/>
      <c r="AC924" s="198"/>
      <c r="AD924" s="219"/>
      <c r="AE924" s="401"/>
      <c r="AF924" s="402"/>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1"/>
      <c r="T925" s="402"/>
      <c r="U925" s="198"/>
      <c r="V925" s="219"/>
      <c r="W925" s="401"/>
      <c r="X925" s="402"/>
      <c r="Y925" s="198"/>
      <c r="Z925" s="219"/>
      <c r="AA925" s="401"/>
      <c r="AB925" s="402"/>
      <c r="AC925" s="198"/>
      <c r="AD925" s="219"/>
      <c r="AE925" s="401"/>
      <c r="AF925" s="402"/>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1"/>
      <c r="T926" s="402"/>
      <c r="U926" s="198"/>
      <c r="V926" s="219"/>
      <c r="W926" s="401"/>
      <c r="X926" s="402"/>
      <c r="Y926" s="198"/>
      <c r="Z926" s="219"/>
      <c r="AA926" s="401"/>
      <c r="AB926" s="402"/>
      <c r="AC926" s="198"/>
      <c r="AD926" s="219"/>
      <c r="AE926" s="401"/>
      <c r="AF926" s="402"/>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1"/>
      <c r="T927" s="402"/>
      <c r="U927" s="198"/>
      <c r="V927" s="219"/>
      <c r="W927" s="401"/>
      <c r="X927" s="402"/>
      <c r="Y927" s="198"/>
      <c r="Z927" s="219"/>
      <c r="AA927" s="401"/>
      <c r="AB927" s="402"/>
      <c r="AC927" s="198"/>
      <c r="AD927" s="219"/>
      <c r="AE927" s="401"/>
      <c r="AF927" s="402"/>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1"/>
      <c r="T928" s="402"/>
      <c r="U928" s="198"/>
      <c r="V928" s="219"/>
      <c r="W928" s="401"/>
      <c r="X928" s="402"/>
      <c r="Y928" s="198"/>
      <c r="Z928" s="219"/>
      <c r="AA928" s="401"/>
      <c r="AB928" s="402"/>
      <c r="AC928" s="198"/>
      <c r="AD928" s="219"/>
      <c r="AE928" s="401"/>
      <c r="AF928" s="402"/>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1"/>
      <c r="T929" s="402"/>
      <c r="U929" s="198"/>
      <c r="V929" s="219"/>
      <c r="W929" s="401"/>
      <c r="X929" s="402"/>
      <c r="Y929" s="198"/>
      <c r="Z929" s="219"/>
      <c r="AA929" s="401"/>
      <c r="AB929" s="402"/>
      <c r="AC929" s="198"/>
      <c r="AD929" s="219"/>
      <c r="AE929" s="401"/>
      <c r="AF929" s="402"/>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1"/>
      <c r="T930" s="402"/>
      <c r="U930" s="198"/>
      <c r="V930" s="219"/>
      <c r="W930" s="401"/>
      <c r="X930" s="402"/>
      <c r="Y930" s="198"/>
      <c r="Z930" s="219"/>
      <c r="AA930" s="401"/>
      <c r="AB930" s="402"/>
      <c r="AC930" s="198"/>
      <c r="AD930" s="219"/>
      <c r="AE930" s="401"/>
      <c r="AF930" s="402"/>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1"/>
      <c r="T931" s="402"/>
      <c r="U931" s="198"/>
      <c r="V931" s="219"/>
      <c r="W931" s="401"/>
      <c r="X931" s="402"/>
      <c r="Y931" s="198"/>
      <c r="Z931" s="219"/>
      <c r="AA931" s="401"/>
      <c r="AB931" s="402"/>
      <c r="AC931" s="198"/>
      <c r="AD931" s="219"/>
      <c r="AE931" s="401"/>
      <c r="AF931" s="402"/>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1"/>
      <c r="T932" s="402"/>
      <c r="U932" s="198"/>
      <c r="V932" s="219"/>
      <c r="W932" s="401"/>
      <c r="X932" s="402"/>
      <c r="Y932" s="198"/>
      <c r="Z932" s="219"/>
      <c r="AA932" s="401"/>
      <c r="AB932" s="402"/>
      <c r="AC932" s="198"/>
      <c r="AD932" s="219"/>
      <c r="AE932" s="401"/>
      <c r="AF932" s="402"/>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1"/>
      <c r="T933" s="402"/>
      <c r="U933" s="198"/>
      <c r="V933" s="219"/>
      <c r="W933" s="401"/>
      <c r="X933" s="402"/>
      <c r="Y933" s="198"/>
      <c r="Z933" s="219"/>
      <c r="AA933" s="401"/>
      <c r="AB933" s="402"/>
      <c r="AC933" s="198"/>
      <c r="AD933" s="219"/>
      <c r="AE933" s="401"/>
      <c r="AF933" s="402"/>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1"/>
      <c r="T934" s="402"/>
      <c r="U934" s="198"/>
      <c r="V934" s="219"/>
      <c r="W934" s="401"/>
      <c r="X934" s="402"/>
      <c r="Y934" s="198"/>
      <c r="Z934" s="219"/>
      <c r="AA934" s="401"/>
      <c r="AB934" s="402"/>
      <c r="AC934" s="198"/>
      <c r="AD934" s="219"/>
      <c r="AE934" s="401"/>
      <c r="AF934" s="402"/>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1"/>
      <c r="T935" s="402"/>
      <c r="U935" s="198"/>
      <c r="V935" s="219"/>
      <c r="W935" s="401"/>
      <c r="X935" s="402"/>
      <c r="Y935" s="198"/>
      <c r="Z935" s="219"/>
      <c r="AA935" s="401"/>
      <c r="AB935" s="402"/>
      <c r="AC935" s="198"/>
      <c r="AD935" s="219"/>
      <c r="AE935" s="401"/>
      <c r="AF935" s="402"/>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1"/>
      <c r="T936" s="402"/>
      <c r="U936" s="198"/>
      <c r="V936" s="219"/>
      <c r="W936" s="401"/>
      <c r="X936" s="402"/>
      <c r="Y936" s="198"/>
      <c r="Z936" s="219"/>
      <c r="AA936" s="401"/>
      <c r="AB936" s="402"/>
      <c r="AC936" s="198"/>
      <c r="AD936" s="219"/>
      <c r="AE936" s="401"/>
      <c r="AF936" s="402"/>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1"/>
      <c r="T937" s="402"/>
      <c r="U937" s="198"/>
      <c r="V937" s="219"/>
      <c r="W937" s="401"/>
      <c r="X937" s="402"/>
      <c r="Y937" s="198"/>
      <c r="Z937" s="219"/>
      <c r="AA937" s="401"/>
      <c r="AB937" s="402"/>
      <c r="AC937" s="198"/>
      <c r="AD937" s="219"/>
      <c r="AE937" s="401"/>
      <c r="AF937" s="402"/>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1"/>
      <c r="T938" s="402"/>
      <c r="U938" s="198"/>
      <c r="V938" s="219"/>
      <c r="W938" s="401"/>
      <c r="X938" s="402"/>
      <c r="Y938" s="198"/>
      <c r="Z938" s="219"/>
      <c r="AA938" s="401"/>
      <c r="AB938" s="402"/>
      <c r="AC938" s="198"/>
      <c r="AD938" s="219"/>
      <c r="AE938" s="401"/>
      <c r="AF938" s="402"/>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1"/>
      <c r="T939" s="402"/>
      <c r="U939" s="198"/>
      <c r="V939" s="219"/>
      <c r="W939" s="401"/>
      <c r="X939" s="402"/>
      <c r="Y939" s="198"/>
      <c r="Z939" s="219"/>
      <c r="AA939" s="401"/>
      <c r="AB939" s="402"/>
      <c r="AC939" s="198"/>
      <c r="AD939" s="219"/>
      <c r="AE939" s="401"/>
      <c r="AF939" s="402"/>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1"/>
      <c r="T940" s="402"/>
      <c r="U940" s="198"/>
      <c r="V940" s="219"/>
      <c r="W940" s="401"/>
      <c r="X940" s="402"/>
      <c r="Y940" s="198"/>
      <c r="Z940" s="219"/>
      <c r="AA940" s="401"/>
      <c r="AB940" s="402"/>
      <c r="AC940" s="198"/>
      <c r="AD940" s="219"/>
      <c r="AE940" s="401"/>
      <c r="AF940" s="402"/>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1"/>
      <c r="T941" s="402"/>
      <c r="U941" s="198"/>
      <c r="V941" s="219"/>
      <c r="W941" s="401"/>
      <c r="X941" s="402"/>
      <c r="Y941" s="198"/>
      <c r="Z941" s="219"/>
      <c r="AA941" s="401"/>
      <c r="AB941" s="402"/>
      <c r="AC941" s="198"/>
      <c r="AD941" s="219"/>
      <c r="AE941" s="401"/>
      <c r="AF941" s="402"/>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1"/>
      <c r="T942" s="402"/>
      <c r="U942" s="198"/>
      <c r="V942" s="219"/>
      <c r="W942" s="401"/>
      <c r="X942" s="402"/>
      <c r="Y942" s="198"/>
      <c r="Z942" s="219"/>
      <c r="AA942" s="401"/>
      <c r="AB942" s="402"/>
      <c r="AC942" s="198"/>
      <c r="AD942" s="219"/>
      <c r="AE942" s="401"/>
      <c r="AF942" s="402"/>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1"/>
      <c r="T943" s="402"/>
      <c r="U943" s="198"/>
      <c r="V943" s="219"/>
      <c r="W943" s="401"/>
      <c r="X943" s="402"/>
      <c r="Y943" s="198"/>
      <c r="Z943" s="219"/>
      <c r="AA943" s="401"/>
      <c r="AB943" s="402"/>
      <c r="AC943" s="198"/>
      <c r="AD943" s="219"/>
      <c r="AE943" s="401"/>
      <c r="AF943" s="402"/>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1"/>
      <c r="T944" s="402"/>
      <c r="U944" s="198"/>
      <c r="V944" s="219"/>
      <c r="W944" s="401"/>
      <c r="X944" s="402"/>
      <c r="Y944" s="198"/>
      <c r="Z944" s="219"/>
      <c r="AA944" s="401"/>
      <c r="AB944" s="402"/>
      <c r="AC944" s="198"/>
      <c r="AD944" s="219"/>
      <c r="AE944" s="401"/>
      <c r="AF944" s="402"/>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1"/>
      <c r="T945" s="402"/>
      <c r="U945" s="198"/>
      <c r="V945" s="219"/>
      <c r="W945" s="401"/>
      <c r="X945" s="402"/>
      <c r="Y945" s="198"/>
      <c r="Z945" s="219"/>
      <c r="AA945" s="401"/>
      <c r="AB945" s="402"/>
      <c r="AC945" s="198"/>
      <c r="AD945" s="219"/>
      <c r="AE945" s="401"/>
      <c r="AF945" s="402"/>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1"/>
      <c r="T946" s="402"/>
      <c r="U946" s="198"/>
      <c r="V946" s="219"/>
      <c r="W946" s="401"/>
      <c r="X946" s="402"/>
      <c r="Y946" s="198"/>
      <c r="Z946" s="219"/>
      <c r="AA946" s="401"/>
      <c r="AB946" s="402"/>
      <c r="AC946" s="198"/>
      <c r="AD946" s="219"/>
      <c r="AE946" s="401"/>
      <c r="AF946" s="402"/>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1"/>
      <c r="T947" s="402"/>
      <c r="U947" s="198"/>
      <c r="V947" s="219"/>
      <c r="W947" s="401"/>
      <c r="X947" s="402"/>
      <c r="Y947" s="198"/>
      <c r="Z947" s="219"/>
      <c r="AA947" s="401"/>
      <c r="AB947" s="402"/>
      <c r="AC947" s="198"/>
      <c r="AD947" s="219"/>
      <c r="AE947" s="401"/>
      <c r="AF947" s="402"/>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1"/>
      <c r="T948" s="402"/>
      <c r="U948" s="198"/>
      <c r="V948" s="219"/>
      <c r="W948" s="401"/>
      <c r="X948" s="402"/>
      <c r="Y948" s="198"/>
      <c r="Z948" s="219"/>
      <c r="AA948" s="401"/>
      <c r="AB948" s="402"/>
      <c r="AC948" s="198"/>
      <c r="AD948" s="219"/>
      <c r="AE948" s="401"/>
      <c r="AF948" s="402"/>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1"/>
      <c r="T949" s="402"/>
      <c r="U949" s="198"/>
      <c r="V949" s="219"/>
      <c r="W949" s="401"/>
      <c r="X949" s="402"/>
      <c r="Y949" s="198"/>
      <c r="Z949" s="219"/>
      <c r="AA949" s="401"/>
      <c r="AB949" s="402"/>
      <c r="AC949" s="198"/>
      <c r="AD949" s="219"/>
      <c r="AE949" s="401"/>
      <c r="AF949" s="402"/>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1"/>
      <c r="T950" s="402"/>
      <c r="U950" s="198"/>
      <c r="V950" s="219"/>
      <c r="W950" s="401"/>
      <c r="X950" s="402"/>
      <c r="Y950" s="198"/>
      <c r="Z950" s="219"/>
      <c r="AA950" s="401"/>
      <c r="AB950" s="402"/>
      <c r="AC950" s="198"/>
      <c r="AD950" s="219"/>
      <c r="AE950" s="401"/>
      <c r="AF950" s="402"/>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1"/>
      <c r="T951" s="402"/>
      <c r="U951" s="198"/>
      <c r="V951" s="219"/>
      <c r="W951" s="401"/>
      <c r="X951" s="402"/>
      <c r="Y951" s="198"/>
      <c r="Z951" s="219"/>
      <c r="AA951" s="401"/>
      <c r="AB951" s="402"/>
      <c r="AC951" s="198"/>
      <c r="AD951" s="219"/>
      <c r="AE951" s="401"/>
      <c r="AF951" s="402"/>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1"/>
      <c r="T952" s="402"/>
      <c r="U952" s="198"/>
      <c r="V952" s="219"/>
      <c r="W952" s="401"/>
      <c r="X952" s="402"/>
      <c r="Y952" s="198"/>
      <c r="Z952" s="219"/>
      <c r="AA952" s="401"/>
      <c r="AB952" s="402"/>
      <c r="AC952" s="198"/>
      <c r="AD952" s="219"/>
      <c r="AE952" s="401"/>
      <c r="AF952" s="402"/>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1"/>
      <c r="T953" s="402"/>
      <c r="U953" s="198"/>
      <c r="V953" s="219"/>
      <c r="W953" s="401"/>
      <c r="X953" s="402"/>
      <c r="Y953" s="198"/>
      <c r="Z953" s="219"/>
      <c r="AA953" s="401"/>
      <c r="AB953" s="402"/>
      <c r="AC953" s="198"/>
      <c r="AD953" s="219"/>
      <c r="AE953" s="401"/>
      <c r="AF953" s="402"/>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1"/>
      <c r="T954" s="402"/>
      <c r="U954" s="198"/>
      <c r="V954" s="219"/>
      <c r="W954" s="401"/>
      <c r="X954" s="402"/>
      <c r="Y954" s="198"/>
      <c r="Z954" s="219"/>
      <c r="AA954" s="401"/>
      <c r="AB954" s="402"/>
      <c r="AC954" s="198"/>
      <c r="AD954" s="219"/>
      <c r="AE954" s="401"/>
      <c r="AF954" s="402"/>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1"/>
      <c r="T955" s="402"/>
      <c r="U955" s="198"/>
      <c r="V955" s="219"/>
      <c r="W955" s="401"/>
      <c r="X955" s="402"/>
      <c r="Y955" s="198"/>
      <c r="Z955" s="219"/>
      <c r="AA955" s="401"/>
      <c r="AB955" s="402"/>
      <c r="AC955" s="198"/>
      <c r="AD955" s="219"/>
      <c r="AE955" s="401"/>
      <c r="AF955" s="402"/>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1"/>
      <c r="T956" s="402"/>
      <c r="U956" s="198"/>
      <c r="V956" s="219"/>
      <c r="W956" s="401"/>
      <c r="X956" s="402"/>
      <c r="Y956" s="198"/>
      <c r="Z956" s="219"/>
      <c r="AA956" s="401"/>
      <c r="AB956" s="402"/>
      <c r="AC956" s="198"/>
      <c r="AD956" s="219"/>
      <c r="AE956" s="401"/>
      <c r="AF956" s="402"/>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1"/>
      <c r="T957" s="402"/>
      <c r="U957" s="198"/>
      <c r="V957" s="219"/>
      <c r="W957" s="401"/>
      <c r="X957" s="402"/>
      <c r="Y957" s="198"/>
      <c r="Z957" s="219"/>
      <c r="AA957" s="401"/>
      <c r="AB957" s="402"/>
      <c r="AC957" s="198"/>
      <c r="AD957" s="219"/>
      <c r="AE957" s="401"/>
      <c r="AF957" s="402"/>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1"/>
      <c r="T958" s="402"/>
      <c r="U958" s="198"/>
      <c r="V958" s="219"/>
      <c r="W958" s="401"/>
      <c r="X958" s="402"/>
      <c r="Y958" s="198"/>
      <c r="Z958" s="219"/>
      <c r="AA958" s="401"/>
      <c r="AB958" s="402"/>
      <c r="AC958" s="198"/>
      <c r="AD958" s="219"/>
      <c r="AE958" s="401"/>
      <c r="AF958" s="402"/>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1"/>
      <c r="T959" s="402"/>
      <c r="U959" s="198"/>
      <c r="V959" s="219"/>
      <c r="W959" s="401"/>
      <c r="X959" s="402"/>
      <c r="Y959" s="198"/>
      <c r="Z959" s="219"/>
      <c r="AA959" s="401"/>
      <c r="AB959" s="402"/>
      <c r="AC959" s="198"/>
      <c r="AD959" s="219"/>
      <c r="AE959" s="401"/>
      <c r="AF959" s="402"/>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1"/>
      <c r="T960" s="402"/>
      <c r="U960" s="198"/>
      <c r="V960" s="219"/>
      <c r="W960" s="401"/>
      <c r="X960" s="402"/>
      <c r="Y960" s="198"/>
      <c r="Z960" s="219"/>
      <c r="AA960" s="401"/>
      <c r="AB960" s="402"/>
      <c r="AC960" s="198"/>
      <c r="AD960" s="219"/>
      <c r="AE960" s="401"/>
      <c r="AF960" s="402"/>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1"/>
      <c r="T961" s="402"/>
      <c r="U961" s="198"/>
      <c r="V961" s="219"/>
      <c r="W961" s="401"/>
      <c r="X961" s="402"/>
      <c r="Y961" s="198"/>
      <c r="Z961" s="219"/>
      <c r="AA961" s="401"/>
      <c r="AB961" s="402"/>
      <c r="AC961" s="198"/>
      <c r="AD961" s="219"/>
      <c r="AE961" s="401"/>
      <c r="AF961" s="402"/>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1"/>
      <c r="T962" s="402"/>
      <c r="U962" s="198"/>
      <c r="V962" s="219"/>
      <c r="W962" s="401"/>
      <c r="X962" s="402"/>
      <c r="Y962" s="198"/>
      <c r="Z962" s="219"/>
      <c r="AA962" s="401"/>
      <c r="AB962" s="402"/>
      <c r="AC962" s="198"/>
      <c r="AD962" s="219"/>
      <c r="AE962" s="401"/>
      <c r="AF962" s="402"/>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1"/>
      <c r="T963" s="402"/>
      <c r="U963" s="198"/>
      <c r="V963" s="219"/>
      <c r="W963" s="401"/>
      <c r="X963" s="402"/>
      <c r="Y963" s="198"/>
      <c r="Z963" s="219"/>
      <c r="AA963" s="401"/>
      <c r="AB963" s="402"/>
      <c r="AC963" s="198"/>
      <c r="AD963" s="219"/>
      <c r="AE963" s="401"/>
      <c r="AF963" s="402"/>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1"/>
      <c r="T964" s="402"/>
      <c r="U964" s="198"/>
      <c r="V964" s="219"/>
      <c r="W964" s="401"/>
      <c r="X964" s="402"/>
      <c r="Y964" s="198"/>
      <c r="Z964" s="219"/>
      <c r="AA964" s="401"/>
      <c r="AB964" s="402"/>
      <c r="AC964" s="198"/>
      <c r="AD964" s="219"/>
      <c r="AE964" s="401"/>
      <c r="AF964" s="402"/>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1"/>
      <c r="T965" s="402"/>
      <c r="U965" s="198"/>
      <c r="V965" s="219"/>
      <c r="W965" s="401"/>
      <c r="X965" s="402"/>
      <c r="Y965" s="198"/>
      <c r="Z965" s="219"/>
      <c r="AA965" s="401"/>
      <c r="AB965" s="402"/>
      <c r="AC965" s="198"/>
      <c r="AD965" s="219"/>
      <c r="AE965" s="401"/>
      <c r="AF965" s="402"/>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1"/>
      <c r="T966" s="402"/>
      <c r="U966" s="198"/>
      <c r="V966" s="219"/>
      <c r="W966" s="401"/>
      <c r="X966" s="402"/>
      <c r="Y966" s="198"/>
      <c r="Z966" s="219"/>
      <c r="AA966" s="401"/>
      <c r="AB966" s="402"/>
      <c r="AC966" s="198"/>
      <c r="AD966" s="219"/>
      <c r="AE966" s="401"/>
      <c r="AF966" s="402"/>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1"/>
      <c r="T967" s="402"/>
      <c r="U967" s="198"/>
      <c r="V967" s="219"/>
      <c r="W967" s="401"/>
      <c r="X967" s="402"/>
      <c r="Y967" s="198"/>
      <c r="Z967" s="219"/>
      <c r="AA967" s="401"/>
      <c r="AB967" s="402"/>
      <c r="AC967" s="198"/>
      <c r="AD967" s="219"/>
      <c r="AE967" s="401"/>
      <c r="AF967" s="402"/>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1"/>
      <c r="T968" s="402"/>
      <c r="U968" s="198"/>
      <c r="V968" s="219"/>
      <c r="W968" s="401"/>
      <c r="X968" s="402"/>
      <c r="Y968" s="198"/>
      <c r="Z968" s="219"/>
      <c r="AA968" s="401"/>
      <c r="AB968" s="402"/>
      <c r="AC968" s="198"/>
      <c r="AD968" s="219"/>
      <c r="AE968" s="401"/>
      <c r="AF968" s="402"/>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1"/>
      <c r="T969" s="402"/>
      <c r="U969" s="198"/>
      <c r="V969" s="219"/>
      <c r="W969" s="401"/>
      <c r="X969" s="402"/>
      <c r="Y969" s="198"/>
      <c r="Z969" s="219"/>
      <c r="AA969" s="401"/>
      <c r="AB969" s="402"/>
      <c r="AC969" s="198"/>
      <c r="AD969" s="219"/>
      <c r="AE969" s="401"/>
      <c r="AF969" s="402"/>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1"/>
      <c r="T970" s="402"/>
      <c r="U970" s="198"/>
      <c r="V970" s="219"/>
      <c r="W970" s="401"/>
      <c r="X970" s="402"/>
      <c r="Y970" s="198"/>
      <c r="Z970" s="219"/>
      <c r="AA970" s="401"/>
      <c r="AB970" s="402"/>
      <c r="AC970" s="198"/>
      <c r="AD970" s="219"/>
      <c r="AE970" s="401"/>
      <c r="AF970" s="402"/>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1"/>
      <c r="T971" s="402"/>
      <c r="U971" s="198"/>
      <c r="V971" s="219"/>
      <c r="W971" s="401"/>
      <c r="X971" s="402"/>
      <c r="Y971" s="198"/>
      <c r="Z971" s="219"/>
      <c r="AA971" s="401"/>
      <c r="AB971" s="402"/>
      <c r="AC971" s="198"/>
      <c r="AD971" s="219"/>
      <c r="AE971" s="401"/>
      <c r="AF971" s="402"/>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1"/>
      <c r="T972" s="402"/>
      <c r="U972" s="198"/>
      <c r="V972" s="219"/>
      <c r="W972" s="401"/>
      <c r="X972" s="402"/>
      <c r="Y972" s="198"/>
      <c r="Z972" s="219"/>
      <c r="AA972" s="401"/>
      <c r="AB972" s="402"/>
      <c r="AC972" s="198"/>
      <c r="AD972" s="219"/>
      <c r="AE972" s="401"/>
      <c r="AF972" s="402"/>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1"/>
      <c r="T973" s="402"/>
      <c r="U973" s="198"/>
      <c r="V973" s="219"/>
      <c r="W973" s="401"/>
      <c r="X973" s="402"/>
      <c r="Y973" s="198"/>
      <c r="Z973" s="219"/>
      <c r="AA973" s="401"/>
      <c r="AB973" s="402"/>
      <c r="AC973" s="198"/>
      <c r="AD973" s="219"/>
      <c r="AE973" s="401"/>
      <c r="AF973" s="402"/>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1"/>
      <c r="T974" s="402"/>
      <c r="U974" s="198"/>
      <c r="V974" s="219"/>
      <c r="W974" s="401"/>
      <c r="X974" s="402"/>
      <c r="Y974" s="198"/>
      <c r="Z974" s="219"/>
      <c r="AA974" s="401"/>
      <c r="AB974" s="402"/>
      <c r="AC974" s="198"/>
      <c r="AD974" s="219"/>
      <c r="AE974" s="401"/>
      <c r="AF974" s="402"/>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1"/>
      <c r="T975" s="402"/>
      <c r="U975" s="198"/>
      <c r="V975" s="219"/>
      <c r="W975" s="401"/>
      <c r="X975" s="402"/>
      <c r="Y975" s="198"/>
      <c r="Z975" s="219"/>
      <c r="AA975" s="401"/>
      <c r="AB975" s="402"/>
      <c r="AC975" s="198"/>
      <c r="AD975" s="219"/>
      <c r="AE975" s="401"/>
      <c r="AF975" s="402"/>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1"/>
      <c r="T976" s="402"/>
      <c r="U976" s="198"/>
      <c r="V976" s="219"/>
      <c r="W976" s="401"/>
      <c r="X976" s="402"/>
      <c r="Y976" s="198"/>
      <c r="Z976" s="219"/>
      <c r="AA976" s="401"/>
      <c r="AB976" s="402"/>
      <c r="AC976" s="198"/>
      <c r="AD976" s="219"/>
      <c r="AE976" s="401"/>
      <c r="AF976" s="402"/>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1"/>
      <c r="T977" s="402"/>
      <c r="U977" s="198"/>
      <c r="V977" s="219"/>
      <c r="W977" s="401"/>
      <c r="X977" s="402"/>
      <c r="Y977" s="198"/>
      <c r="Z977" s="219"/>
      <c r="AA977" s="401"/>
      <c r="AB977" s="402"/>
      <c r="AC977" s="198"/>
      <c r="AD977" s="219"/>
      <c r="AE977" s="401"/>
      <c r="AF977" s="402"/>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1"/>
      <c r="T978" s="402"/>
      <c r="U978" s="198"/>
      <c r="V978" s="219"/>
      <c r="W978" s="401"/>
      <c r="X978" s="402"/>
      <c r="Y978" s="198"/>
      <c r="Z978" s="219"/>
      <c r="AA978" s="401"/>
      <c r="AB978" s="402"/>
      <c r="AC978" s="198"/>
      <c r="AD978" s="219"/>
      <c r="AE978" s="401"/>
      <c r="AF978" s="402"/>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1"/>
      <c r="T979" s="402"/>
      <c r="U979" s="198"/>
      <c r="V979" s="219"/>
      <c r="W979" s="401"/>
      <c r="X979" s="402"/>
      <c r="Y979" s="198"/>
      <c r="Z979" s="219"/>
      <c r="AA979" s="401"/>
      <c r="AB979" s="402"/>
      <c r="AC979" s="198"/>
      <c r="AD979" s="219"/>
      <c r="AE979" s="401"/>
      <c r="AF979" s="402"/>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1"/>
      <c r="T980" s="402"/>
      <c r="U980" s="198"/>
      <c r="V980" s="219"/>
      <c r="W980" s="401"/>
      <c r="X980" s="402"/>
      <c r="Y980" s="198"/>
      <c r="Z980" s="219"/>
      <c r="AA980" s="401"/>
      <c r="AB980" s="402"/>
      <c r="AC980" s="198"/>
      <c r="AD980" s="219"/>
      <c r="AE980" s="401"/>
      <c r="AF980" s="402"/>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1"/>
      <c r="T981" s="402"/>
      <c r="U981" s="198"/>
      <c r="V981" s="219"/>
      <c r="W981" s="401"/>
      <c r="X981" s="402"/>
      <c r="Y981" s="198"/>
      <c r="Z981" s="219"/>
      <c r="AA981" s="401"/>
      <c r="AB981" s="402"/>
      <c r="AC981" s="198"/>
      <c r="AD981" s="219"/>
      <c r="AE981" s="401"/>
      <c r="AF981" s="402"/>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1"/>
      <c r="T982" s="402"/>
      <c r="U982" s="198"/>
      <c r="V982" s="219"/>
      <c r="W982" s="401"/>
      <c r="X982" s="402"/>
      <c r="Y982" s="198"/>
      <c r="Z982" s="219"/>
      <c r="AA982" s="401"/>
      <c r="AB982" s="402"/>
      <c r="AC982" s="198"/>
      <c r="AD982" s="219"/>
      <c r="AE982" s="401"/>
      <c r="AF982" s="402"/>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1"/>
      <c r="T983" s="402"/>
      <c r="U983" s="198"/>
      <c r="V983" s="219"/>
      <c r="W983" s="401"/>
      <c r="X983" s="402"/>
      <c r="Y983" s="198"/>
      <c r="Z983" s="219"/>
      <c r="AA983" s="401"/>
      <c r="AB983" s="402"/>
      <c r="AC983" s="198"/>
      <c r="AD983" s="219"/>
      <c r="AE983" s="401"/>
      <c r="AF983" s="402"/>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1"/>
      <c r="T984" s="402"/>
      <c r="U984" s="198"/>
      <c r="V984" s="219"/>
      <c r="W984" s="401"/>
      <c r="X984" s="402"/>
      <c r="Y984" s="198"/>
      <c r="Z984" s="219"/>
      <c r="AA984" s="401"/>
      <c r="AB984" s="402"/>
      <c r="AC984" s="198"/>
      <c r="AD984" s="219"/>
      <c r="AE984" s="401"/>
      <c r="AF984" s="402"/>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1"/>
      <c r="T985" s="402"/>
      <c r="U985" s="198"/>
      <c r="V985" s="219"/>
      <c r="W985" s="401"/>
      <c r="X985" s="402"/>
      <c r="Y985" s="198"/>
      <c r="Z985" s="219"/>
      <c r="AA985" s="401"/>
      <c r="AB985" s="402"/>
      <c r="AC985" s="198"/>
      <c r="AD985" s="219"/>
      <c r="AE985" s="401"/>
      <c r="AF985" s="402"/>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1"/>
      <c r="T986" s="402"/>
      <c r="U986" s="198"/>
      <c r="V986" s="219"/>
      <c r="W986" s="401"/>
      <c r="X986" s="402"/>
      <c r="Y986" s="198"/>
      <c r="Z986" s="219"/>
      <c r="AA986" s="401"/>
      <c r="AB986" s="402"/>
      <c r="AC986" s="198"/>
      <c r="AD986" s="219"/>
      <c r="AE986" s="401"/>
      <c r="AF986" s="402"/>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1"/>
      <c r="T987" s="402"/>
      <c r="U987" s="198"/>
      <c r="V987" s="219"/>
      <c r="W987" s="401"/>
      <c r="X987" s="402"/>
      <c r="Y987" s="198"/>
      <c r="Z987" s="219"/>
      <c r="AA987" s="401"/>
      <c r="AB987" s="402"/>
      <c r="AC987" s="198"/>
      <c r="AD987" s="219"/>
      <c r="AE987" s="401"/>
      <c r="AF987" s="402"/>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1"/>
      <c r="T988" s="402"/>
      <c r="U988" s="198"/>
      <c r="V988" s="219"/>
      <c r="W988" s="401"/>
      <c r="X988" s="402"/>
      <c r="Y988" s="198"/>
      <c r="Z988" s="219"/>
      <c r="AA988" s="401"/>
      <c r="AB988" s="402"/>
      <c r="AC988" s="198"/>
      <c r="AD988" s="219"/>
      <c r="AE988" s="401"/>
      <c r="AF988" s="402"/>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1"/>
      <c r="T989" s="402"/>
      <c r="U989" s="198"/>
      <c r="V989" s="219"/>
      <c r="W989" s="401"/>
      <c r="X989" s="402"/>
      <c r="Y989" s="198"/>
      <c r="Z989" s="219"/>
      <c r="AA989" s="401"/>
      <c r="AB989" s="402"/>
      <c r="AC989" s="198"/>
      <c r="AD989" s="219"/>
      <c r="AE989" s="401"/>
      <c r="AF989" s="402"/>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1"/>
      <c r="T990" s="402"/>
      <c r="U990" s="198"/>
      <c r="V990" s="219"/>
      <c r="W990" s="401"/>
      <c r="X990" s="402"/>
      <c r="Y990" s="198"/>
      <c r="Z990" s="219"/>
      <c r="AA990" s="401"/>
      <c r="AB990" s="402"/>
      <c r="AC990" s="198"/>
      <c r="AD990" s="219"/>
      <c r="AE990" s="401"/>
      <c r="AF990" s="402"/>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1"/>
      <c r="T991" s="402"/>
      <c r="U991" s="198"/>
      <c r="V991" s="219"/>
      <c r="W991" s="401"/>
      <c r="X991" s="402"/>
      <c r="Y991" s="198"/>
      <c r="Z991" s="219"/>
      <c r="AA991" s="401"/>
      <c r="AB991" s="402"/>
      <c r="AC991" s="198"/>
      <c r="AD991" s="219"/>
      <c r="AE991" s="401"/>
      <c r="AF991" s="402"/>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1"/>
      <c r="T992" s="402"/>
      <c r="U992" s="198"/>
      <c r="V992" s="219"/>
      <c r="W992" s="401"/>
      <c r="X992" s="402"/>
      <c r="Y992" s="198"/>
      <c r="Z992" s="219"/>
      <c r="AA992" s="401"/>
      <c r="AB992" s="402"/>
      <c r="AC992" s="198"/>
      <c r="AD992" s="219"/>
      <c r="AE992" s="401"/>
      <c r="AF992" s="402"/>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1"/>
      <c r="T993" s="402"/>
      <c r="U993" s="198"/>
      <c r="V993" s="219"/>
      <c r="W993" s="401"/>
      <c r="X993" s="402"/>
      <c r="Y993" s="198"/>
      <c r="Z993" s="219"/>
      <c r="AA993" s="401"/>
      <c r="AB993" s="402"/>
      <c r="AC993" s="198"/>
      <c r="AD993" s="219"/>
      <c r="AE993" s="401"/>
      <c r="AF993" s="402"/>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1"/>
      <c r="T994" s="402"/>
      <c r="U994" s="198"/>
      <c r="V994" s="219"/>
      <c r="W994" s="401"/>
      <c r="X994" s="402"/>
      <c r="Y994" s="198"/>
      <c r="Z994" s="219"/>
      <c r="AA994" s="401"/>
      <c r="AB994" s="402"/>
      <c r="AC994" s="198"/>
      <c r="AD994" s="219"/>
      <c r="AE994" s="401"/>
      <c r="AF994" s="402"/>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1"/>
      <c r="T995" s="402"/>
      <c r="U995" s="198"/>
      <c r="V995" s="219"/>
      <c r="W995" s="401"/>
      <c r="X995" s="402"/>
      <c r="Y995" s="198"/>
      <c r="Z995" s="219"/>
      <c r="AA995" s="401"/>
      <c r="AB995" s="402"/>
      <c r="AC995" s="198"/>
      <c r="AD995" s="219"/>
      <c r="AE995" s="401"/>
      <c r="AF995" s="402"/>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1"/>
      <c r="T996" s="402"/>
      <c r="U996" s="198"/>
      <c r="V996" s="219"/>
      <c r="W996" s="401"/>
      <c r="X996" s="402"/>
      <c r="Y996" s="198"/>
      <c r="Z996" s="219"/>
      <c r="AA996" s="401"/>
      <c r="AB996" s="402"/>
      <c r="AC996" s="198"/>
      <c r="AD996" s="219"/>
      <c r="AE996" s="401"/>
      <c r="AF996" s="402"/>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1"/>
      <c r="T997" s="402"/>
      <c r="U997" s="198"/>
      <c r="V997" s="219"/>
      <c r="W997" s="401"/>
      <c r="X997" s="402"/>
      <c r="Y997" s="198"/>
      <c r="Z997" s="219"/>
      <c r="AA997" s="401"/>
      <c r="AB997" s="402"/>
      <c r="AC997" s="198"/>
      <c r="AD997" s="219"/>
      <c r="AE997" s="401"/>
      <c r="AF997" s="402"/>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1"/>
      <c r="T998" s="402"/>
      <c r="U998" s="198"/>
      <c r="V998" s="219"/>
      <c r="W998" s="401"/>
      <c r="X998" s="402"/>
      <c r="Y998" s="198"/>
      <c r="Z998" s="219"/>
      <c r="AA998" s="401"/>
      <c r="AB998" s="402"/>
      <c r="AC998" s="198"/>
      <c r="AD998" s="219"/>
      <c r="AE998" s="401"/>
      <c r="AF998" s="402"/>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1"/>
      <c r="T999" s="402"/>
      <c r="U999" s="198"/>
      <c r="V999" s="219"/>
      <c r="W999" s="401"/>
      <c r="X999" s="402"/>
      <c r="Y999" s="198"/>
      <c r="Z999" s="219"/>
      <c r="AA999" s="401"/>
      <c r="AB999" s="402"/>
      <c r="AC999" s="198"/>
      <c r="AD999" s="219"/>
      <c r="AE999" s="401"/>
      <c r="AF999" s="402"/>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1"/>
      <c r="T1000" s="402"/>
      <c r="U1000" s="198"/>
      <c r="V1000" s="219"/>
      <c r="W1000" s="401"/>
      <c r="X1000" s="402"/>
      <c r="Y1000" s="198"/>
      <c r="Z1000" s="219"/>
      <c r="AA1000" s="401"/>
      <c r="AB1000" s="402"/>
      <c r="AC1000" s="198"/>
      <c r="AD1000" s="219"/>
      <c r="AE1000" s="401"/>
      <c r="AF1000" s="402"/>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1"/>
      <c r="T1001" s="402"/>
      <c r="U1001" s="198"/>
      <c r="V1001" s="219"/>
      <c r="W1001" s="401"/>
      <c r="X1001" s="402"/>
      <c r="Y1001" s="198"/>
      <c r="Z1001" s="219"/>
      <c r="AA1001" s="401"/>
      <c r="AB1001" s="402"/>
      <c r="AC1001" s="198"/>
      <c r="AD1001" s="219"/>
      <c r="AE1001" s="401"/>
      <c r="AF1001" s="402"/>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1"/>
      <c r="T1002" s="402"/>
      <c r="U1002" s="198"/>
      <c r="V1002" s="219"/>
      <c r="W1002" s="401"/>
      <c r="X1002" s="402"/>
      <c r="Y1002" s="198"/>
      <c r="Z1002" s="219"/>
      <c r="AA1002" s="401"/>
      <c r="AB1002" s="402"/>
      <c r="AC1002" s="198"/>
      <c r="AD1002" s="219"/>
      <c r="AE1002" s="401"/>
      <c r="AF1002" s="402"/>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1"/>
      <c r="T1003" s="402"/>
      <c r="U1003" s="198"/>
      <c r="V1003" s="219"/>
      <c r="W1003" s="401"/>
      <c r="X1003" s="402"/>
      <c r="Y1003" s="198"/>
      <c r="Z1003" s="219"/>
      <c r="AA1003" s="401"/>
      <c r="AB1003" s="402"/>
      <c r="AC1003" s="198"/>
      <c r="AD1003" s="219"/>
      <c r="AE1003" s="401"/>
      <c r="AF1003" s="402"/>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1"/>
      <c r="T1004" s="402"/>
      <c r="U1004" s="198"/>
      <c r="V1004" s="219"/>
      <c r="W1004" s="401"/>
      <c r="X1004" s="402"/>
      <c r="Y1004" s="198"/>
      <c r="Z1004" s="219"/>
      <c r="AA1004" s="401"/>
      <c r="AB1004" s="402"/>
      <c r="AC1004" s="198"/>
      <c r="AD1004" s="219"/>
      <c r="AE1004" s="401"/>
      <c r="AF1004" s="402"/>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1"/>
      <c r="T1005" s="402"/>
      <c r="U1005" s="198"/>
      <c r="V1005" s="219"/>
      <c r="W1005" s="401"/>
      <c r="X1005" s="402"/>
      <c r="Y1005" s="198"/>
      <c r="Z1005" s="219"/>
      <c r="AA1005" s="401"/>
      <c r="AB1005" s="402"/>
      <c r="AC1005" s="198"/>
      <c r="AD1005" s="219"/>
      <c r="AE1005" s="401"/>
      <c r="AF1005" s="402"/>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1"/>
      <c r="T1006" s="402"/>
      <c r="U1006" s="198"/>
      <c r="V1006" s="219"/>
      <c r="W1006" s="401"/>
      <c r="X1006" s="402"/>
      <c r="Y1006" s="198"/>
      <c r="Z1006" s="219"/>
      <c r="AA1006" s="401"/>
      <c r="AB1006" s="402"/>
      <c r="AC1006" s="198"/>
      <c r="AD1006" s="219"/>
      <c r="AE1006" s="401"/>
      <c r="AF1006" s="402"/>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1"/>
      <c r="T1007" s="402"/>
      <c r="U1007" s="198"/>
      <c r="V1007" s="219"/>
      <c r="W1007" s="401"/>
      <c r="X1007" s="402"/>
      <c r="Y1007" s="198"/>
      <c r="Z1007" s="219"/>
      <c r="AA1007" s="401"/>
      <c r="AB1007" s="402"/>
      <c r="AC1007" s="198"/>
      <c r="AD1007" s="219"/>
      <c r="AE1007" s="401"/>
      <c r="AF1007" s="402"/>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1"/>
      <c r="T1008" s="402"/>
      <c r="U1008" s="198"/>
      <c r="V1008" s="219"/>
      <c r="W1008" s="401"/>
      <c r="X1008" s="402"/>
      <c r="Y1008" s="198"/>
      <c r="Z1008" s="219"/>
      <c r="AA1008" s="401"/>
      <c r="AB1008" s="402"/>
      <c r="AC1008" s="198"/>
      <c r="AD1008" s="219"/>
      <c r="AE1008" s="401"/>
      <c r="AF1008" s="402"/>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1"/>
      <c r="T1009" s="402"/>
      <c r="U1009" s="198"/>
      <c r="V1009" s="219"/>
      <c r="W1009" s="401"/>
      <c r="X1009" s="402"/>
      <c r="Y1009" s="198"/>
      <c r="Z1009" s="219"/>
      <c r="AA1009" s="401"/>
      <c r="AB1009" s="402"/>
      <c r="AC1009" s="198"/>
      <c r="AD1009" s="219"/>
      <c r="AE1009" s="401"/>
      <c r="AF1009" s="402"/>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1"/>
      <c r="T1010" s="402"/>
      <c r="U1010" s="198"/>
      <c r="V1010" s="219"/>
      <c r="W1010" s="401"/>
      <c r="X1010" s="402"/>
      <c r="Y1010" s="198"/>
      <c r="Z1010" s="219"/>
      <c r="AA1010" s="401"/>
      <c r="AB1010" s="402"/>
      <c r="AC1010" s="198"/>
      <c r="AD1010" s="219"/>
      <c r="AE1010" s="401"/>
      <c r="AF1010" s="402"/>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1"/>
      <c r="T1011" s="402"/>
      <c r="U1011" s="198"/>
      <c r="V1011" s="219"/>
      <c r="W1011" s="401"/>
      <c r="X1011" s="402"/>
      <c r="Y1011" s="198"/>
      <c r="Z1011" s="219"/>
      <c r="AA1011" s="401"/>
      <c r="AB1011" s="402"/>
      <c r="AC1011" s="198"/>
      <c r="AD1011" s="219"/>
      <c r="AE1011" s="401"/>
      <c r="AF1011" s="402"/>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1"/>
      <c r="T1012" s="402"/>
      <c r="U1012" s="198"/>
      <c r="V1012" s="219"/>
      <c r="W1012" s="401"/>
      <c r="X1012" s="402"/>
      <c r="Y1012" s="198"/>
      <c r="Z1012" s="219"/>
      <c r="AA1012" s="401"/>
      <c r="AB1012" s="402"/>
      <c r="AC1012" s="198"/>
      <c r="AD1012" s="219"/>
      <c r="AE1012" s="401"/>
      <c r="AF1012" s="402"/>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1"/>
      <c r="T1013" s="402"/>
      <c r="U1013" s="198"/>
      <c r="V1013" s="219"/>
      <c r="W1013" s="401"/>
      <c r="X1013" s="402"/>
      <c r="Y1013" s="198"/>
      <c r="Z1013" s="219"/>
      <c r="AA1013" s="401"/>
      <c r="AB1013" s="402"/>
      <c r="AC1013" s="198"/>
      <c r="AD1013" s="219"/>
      <c r="AE1013" s="401"/>
      <c r="AF1013" s="402"/>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1"/>
      <c r="T1014" s="402"/>
      <c r="U1014" s="198"/>
      <c r="V1014" s="219"/>
      <c r="W1014" s="401"/>
      <c r="X1014" s="402"/>
      <c r="Y1014" s="198"/>
      <c r="Z1014" s="219"/>
      <c r="AA1014" s="401"/>
      <c r="AB1014" s="402"/>
      <c r="AC1014" s="198"/>
      <c r="AD1014" s="219"/>
      <c r="AE1014" s="401"/>
      <c r="AF1014" s="402"/>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1"/>
      <c r="T1015" s="402"/>
      <c r="U1015" s="198"/>
      <c r="V1015" s="219"/>
      <c r="W1015" s="401"/>
      <c r="X1015" s="402"/>
      <c r="Y1015" s="198"/>
      <c r="Z1015" s="219"/>
      <c r="AA1015" s="401"/>
      <c r="AB1015" s="402"/>
      <c r="AC1015" s="198"/>
      <c r="AD1015" s="219"/>
      <c r="AE1015" s="401"/>
      <c r="AF1015" s="402"/>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1"/>
      <c r="T1016" s="402"/>
      <c r="U1016" s="198"/>
      <c r="V1016" s="219"/>
      <c r="W1016" s="401"/>
      <c r="X1016" s="402"/>
      <c r="Y1016" s="198"/>
      <c r="Z1016" s="219"/>
      <c r="AA1016" s="401"/>
      <c r="AB1016" s="402"/>
      <c r="AC1016" s="198"/>
      <c r="AD1016" s="219"/>
      <c r="AE1016" s="401"/>
      <c r="AF1016" s="402"/>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1"/>
      <c r="T1017" s="402"/>
      <c r="U1017" s="198"/>
      <c r="V1017" s="219"/>
      <c r="W1017" s="401"/>
      <c r="X1017" s="402"/>
      <c r="Y1017" s="198"/>
      <c r="Z1017" s="219"/>
      <c r="AA1017" s="401"/>
      <c r="AB1017" s="402"/>
      <c r="AC1017" s="198"/>
      <c r="AD1017" s="219"/>
      <c r="AE1017" s="401"/>
      <c r="AF1017" s="402"/>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1"/>
      <c r="T1018" s="402"/>
      <c r="U1018" s="198"/>
      <c r="V1018" s="219"/>
      <c r="W1018" s="401"/>
      <c r="X1018" s="402"/>
      <c r="Y1018" s="198"/>
      <c r="Z1018" s="219"/>
      <c r="AA1018" s="401"/>
      <c r="AB1018" s="402"/>
      <c r="AC1018" s="198"/>
      <c r="AD1018" s="219"/>
      <c r="AE1018" s="401"/>
      <c r="AF1018" s="402"/>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7" t="s">
        <v>6990</v>
      </c>
      <c r="B1" s="4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0"/>
      <c r="E1" s="123"/>
      <c r="F1" s="123"/>
      <c r="G1" s="123"/>
      <c r="H1" s="123"/>
      <c r="I1" s="123"/>
      <c r="J1" s="123"/>
      <c r="K1" s="123"/>
      <c r="L1" s="123"/>
      <c r="M1" s="123"/>
      <c r="N1" s="123"/>
      <c r="O1" s="123"/>
      <c r="P1" s="123"/>
      <c r="Q1" s="123"/>
      <c r="R1" s="123"/>
      <c r="S1" s="123"/>
      <c r="T1" s="123"/>
      <c r="U1" s="123"/>
      <c r="V1" s="123"/>
      <c r="W1" s="123"/>
      <c r="X1" s="123"/>
      <c r="Y1" s="123"/>
      <c r="Z1" s="123"/>
    </row>
    <row r="2">
      <c r="A2" s="411" t="s">
        <v>6991</v>
      </c>
      <c r="B2" s="30" t="str">
        <f>IFERROR(__xludf.DUMMYFUNCTION("GOOGLETRANSLATE(A2,""zh-tw"",""ja"")"),"公式Discordグループ:
https://discord.gg/2Bt7RWknyH")</f>
        <v>公式Discordグループ:
https://discord.gg/2Bt7RWknyH</v>
      </c>
      <c r="C2" s="412"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3" t="s">
        <v>6992</v>
      </c>
      <c r="B3" s="30" t="s">
        <v>6992</v>
      </c>
      <c r="C3" s="412" t="s">
        <v>6992</v>
      </c>
      <c r="E3" s="123"/>
      <c r="F3" s="123"/>
      <c r="G3" s="123"/>
      <c r="H3" s="123"/>
      <c r="I3" s="123"/>
      <c r="J3" s="123"/>
      <c r="K3" s="123"/>
      <c r="L3" s="123"/>
      <c r="M3" s="123"/>
      <c r="N3" s="123"/>
      <c r="O3" s="123"/>
      <c r="P3" s="123"/>
      <c r="Q3" s="123"/>
      <c r="R3" s="123"/>
      <c r="S3" s="123"/>
      <c r="T3" s="123"/>
      <c r="U3" s="123"/>
      <c r="V3" s="123"/>
      <c r="W3" s="123"/>
      <c r="X3" s="123"/>
      <c r="Y3" s="123"/>
      <c r="Z3" s="123"/>
    </row>
    <row r="4">
      <c r="A4" s="414"/>
      <c r="E4" s="123"/>
      <c r="F4" s="123"/>
      <c r="G4" s="123"/>
      <c r="H4" s="123"/>
      <c r="I4" s="123"/>
      <c r="J4" s="123"/>
      <c r="K4" s="123"/>
      <c r="L4" s="123"/>
      <c r="M4" s="123"/>
      <c r="N4" s="123"/>
      <c r="O4" s="123"/>
      <c r="P4" s="123"/>
      <c r="Q4" s="123"/>
      <c r="R4" s="123"/>
      <c r="S4" s="123"/>
      <c r="T4" s="123"/>
      <c r="U4" s="123"/>
      <c r="V4" s="123"/>
      <c r="W4" s="123"/>
      <c r="X4" s="123"/>
      <c r="Y4" s="123"/>
      <c r="Z4" s="123"/>
    </row>
    <row r="5">
      <c r="A5" s="411" t="s">
        <v>6993</v>
      </c>
      <c r="B5" s="30" t="str">
        <f>IFERROR(__xludf.DUMMYFUNCTION("GOOGLETRANSLATE(A5,""zh-tw"",""ja"")"),"公式YouTubeチャンネル")</f>
        <v>公式YouTubeチャンネル</v>
      </c>
      <c r="C5" s="412" t="str">
        <f>IFERROR(__xludf.DUMMYFUNCTION("GOOGLETRANSLATE(A5,""zh-tw"",""en"")"),"Official YouTube channel")</f>
        <v>Official YouTube channel</v>
      </c>
      <c r="D5" s="142" t="s">
        <v>6994</v>
      </c>
      <c r="E5" s="123"/>
      <c r="F5" s="123"/>
      <c r="G5" s="123"/>
      <c r="H5" s="123"/>
      <c r="I5" s="123"/>
      <c r="J5" s="123"/>
      <c r="K5" s="123"/>
      <c r="L5" s="123"/>
      <c r="M5" s="123"/>
      <c r="N5" s="123"/>
      <c r="O5" s="123"/>
      <c r="P5" s="123"/>
      <c r="Q5" s="123"/>
      <c r="R5" s="123"/>
      <c r="S5" s="123"/>
      <c r="T5" s="123"/>
      <c r="U5" s="123"/>
      <c r="V5" s="123"/>
      <c r="W5" s="123"/>
      <c r="X5" s="123"/>
      <c r="Y5" s="123"/>
      <c r="Z5" s="123"/>
    </row>
    <row r="6">
      <c r="A6" s="411" t="s">
        <v>6995</v>
      </c>
      <c r="B6" s="30" t="str">
        <f>IFERROR(__xludf.DUMMYFUNCTION("GOOGLETRANSLATE(A6,""zh-tw"",""ja"")"),"公式法案")</f>
        <v>公式法案</v>
      </c>
      <c r="C6" s="412" t="str">
        <f>IFERROR(__xludf.DUMMYFUNCTION("GOOGLETRANSLATE(A6,""zh-tw"",""en"")"),"Official bill")</f>
        <v>Official bill</v>
      </c>
      <c r="D6" s="142" t="s">
        <v>6994</v>
      </c>
      <c r="E6" s="123"/>
      <c r="F6" s="123"/>
      <c r="G6" s="123"/>
      <c r="H6" s="123"/>
      <c r="I6" s="123"/>
      <c r="J6" s="123"/>
      <c r="K6" s="123"/>
      <c r="L6" s="123"/>
      <c r="M6" s="123"/>
      <c r="N6" s="123"/>
      <c r="O6" s="123"/>
      <c r="P6" s="123"/>
      <c r="Q6" s="123"/>
      <c r="R6" s="123"/>
      <c r="S6" s="123"/>
      <c r="T6" s="123"/>
      <c r="U6" s="123"/>
      <c r="V6" s="123"/>
      <c r="W6" s="123"/>
      <c r="X6" s="123"/>
      <c r="Y6" s="123"/>
      <c r="Z6" s="123"/>
    </row>
    <row r="7">
      <c r="A7" s="411" t="s">
        <v>6996</v>
      </c>
      <c r="B7" s="30" t="str">
        <f>IFERROR(__xludf.DUMMYFUNCTION("GOOGLETRANSLATE(A7,""zh-tw"",""ja"")"),"片桐亜希のYouTubeチャンネル
（妹の声優）")</f>
        <v>片桐亜希のYouTubeチャンネル
（妹の声優）</v>
      </c>
      <c r="C7" s="412" t="str">
        <f>IFERROR(__xludf.DUMMYFUNCTION("GOOGLETRANSLATE(A7,""zh-tw"",""en"")"),"Aki Katagiri's YouTube channel
(Voice actress for her younger sister)")</f>
        <v>Aki Katagiri's YouTube channel
(Voice actress for her younger sister)</v>
      </c>
      <c r="D7" s="142" t="s">
        <v>6997</v>
      </c>
      <c r="E7" s="123"/>
      <c r="F7" s="123"/>
      <c r="G7" s="123"/>
      <c r="H7" s="123"/>
      <c r="I7" s="123"/>
      <c r="J7" s="123"/>
      <c r="K7" s="123"/>
      <c r="L7" s="123"/>
      <c r="M7" s="123"/>
      <c r="N7" s="123"/>
      <c r="O7" s="123"/>
      <c r="P7" s="123"/>
      <c r="Q7" s="123"/>
      <c r="R7" s="123"/>
      <c r="S7" s="123"/>
      <c r="T7" s="123"/>
      <c r="U7" s="123"/>
      <c r="V7" s="123"/>
      <c r="W7" s="123"/>
      <c r="X7" s="123"/>
      <c r="Y7" s="123"/>
      <c r="Z7" s="123"/>
    </row>
    <row r="8">
      <c r="A8" s="411" t="s">
        <v>6998</v>
      </c>
      <c r="B8" s="30" t="str">
        <f>IFERROR(__xludf.DUMMYFUNCTION("GOOGLETRANSLATE(A8,""zh-tw"",""ja"")"),"片桐亜紀（ビルビルチャンネル）
（妹役の声優）")</f>
        <v>片桐亜紀（ビルビルチャンネル）
（妹役の声優）</v>
      </c>
      <c r="C8" s="412" t="str">
        <f>IFERROR(__xludf.DUMMYFUNCTION("GOOGLETRANSLATE(A8,""zh-tw"",""en"")"),"Aki Katagiri (bilbill channel)
(Voice actress for the younger sister)")</f>
        <v>Aki Katagiri (bilbill channel)
(Voice actress for the younger sister)</v>
      </c>
      <c r="D8" s="142" t="s">
        <v>6997</v>
      </c>
      <c r="E8" s="123"/>
      <c r="F8" s="123"/>
      <c r="G8" s="123"/>
      <c r="H8" s="123"/>
      <c r="I8" s="123"/>
      <c r="J8" s="123"/>
      <c r="K8" s="123"/>
      <c r="L8" s="123"/>
      <c r="M8" s="123"/>
      <c r="N8" s="123"/>
      <c r="O8" s="123"/>
      <c r="P8" s="123"/>
      <c r="Q8" s="123"/>
      <c r="R8" s="123"/>
      <c r="S8" s="123"/>
      <c r="T8" s="123"/>
      <c r="U8" s="123"/>
      <c r="V8" s="123"/>
      <c r="W8" s="123"/>
      <c r="X8" s="123"/>
      <c r="Y8" s="123"/>
      <c r="Z8" s="123"/>
    </row>
    <row r="9">
      <c r="A9" s="411" t="s">
        <v>6999</v>
      </c>
      <c r="B9" s="30" t="str">
        <f>IFERROR(__xludf.DUMMYFUNCTION("GOOGLETRANSLATE(A9,""zh-tw"",""ja"")"),"ROROのYouTubeチャンネル（攻略ガイド作成チャンネル、現在準備中、登録大歓迎）")</f>
        <v>ROROのYouTubeチャンネル（攻略ガイド作成チャンネル、現在準備中、登録大歓迎）</v>
      </c>
      <c r="C9" s="412" t="str">
        <f>IFERROR(__xludf.DUMMYFUNCTION("GOOGLETRANSLATE(A9,""zh-tw"",""en"")"),"RORO's YouTube channel (Strategy guide creator channel, currently in preparation, welcome to subscribe)")</f>
        <v>RORO's YouTube channel (Strategy guide creator channel, currently in preparation, welcome to subscribe)</v>
      </c>
      <c r="D9" s="142" t="s">
        <v>7000</v>
      </c>
      <c r="E9" s="123"/>
      <c r="F9" s="123"/>
      <c r="G9" s="123"/>
      <c r="H9" s="123"/>
      <c r="I9" s="123"/>
      <c r="J9" s="123"/>
      <c r="K9" s="123"/>
      <c r="L9" s="123"/>
      <c r="M9" s="123"/>
      <c r="N9" s="123"/>
      <c r="O9" s="123"/>
      <c r="P9" s="123"/>
      <c r="Q9" s="123"/>
      <c r="R9" s="123"/>
      <c r="S9" s="123"/>
      <c r="T9" s="123"/>
      <c r="U9" s="123"/>
      <c r="V9" s="123"/>
      <c r="W9" s="123"/>
      <c r="X9" s="123"/>
      <c r="Y9" s="123"/>
      <c r="Z9" s="123"/>
    </row>
    <row r="10">
      <c r="A10" s="414"/>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5" t="s">
        <v>7001</v>
      </c>
      <c r="B11" s="30" t="str">
        <f>IFERROR(__xludf.DUMMYFUNCTION("GOOGLETRANSLATE(A11,""zh-tw"",""ja"")"),"プレイヤーの投稿（準備中、投稿は大歓迎です）")</f>
        <v>プレイヤーの投稿（準備中、投稿は大歓迎です）</v>
      </c>
      <c r="C11" s="412" t="str">
        <f>IFERROR(__xludf.DUMMYFUNCTION("GOOGLETRANSLATE(A11,""zh-tw"",""en"")"),"Player submissions (in preparation, submissions are welcome)")</f>
        <v>Player submissions (in preparation, submissions are welcome)</v>
      </c>
      <c r="D11" s="416" t="s">
        <v>7002</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7"/>
      <c r="B12" s="133"/>
      <c r="C12" s="418"/>
      <c r="D12" s="419"/>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7"/>
      <c r="B13" s="133"/>
      <c r="C13" s="418"/>
      <c r="D13" s="419"/>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7"/>
      <c r="B14" s="133"/>
      <c r="C14" s="418"/>
      <c r="D14" s="419"/>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7"/>
      <c r="B15" s="133"/>
      <c r="C15" s="418"/>
      <c r="D15" s="419"/>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7"/>
      <c r="B16" s="133"/>
      <c r="C16" s="418"/>
      <c r="D16" s="419"/>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7"/>
      <c r="B17" s="133"/>
      <c r="C17" s="418"/>
      <c r="D17" s="419"/>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7"/>
      <c r="B18" s="133"/>
      <c r="C18" s="418"/>
      <c r="D18" s="419"/>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7"/>
      <c r="B19" s="133"/>
      <c r="C19" s="418"/>
      <c r="D19" s="419"/>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7"/>
      <c r="B20" s="133"/>
      <c r="C20" s="418"/>
      <c r="D20" s="419"/>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7"/>
      <c r="B21" s="133"/>
      <c r="C21" s="418"/>
      <c r="D21" s="419"/>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7"/>
      <c r="B22" s="133"/>
      <c r="C22" s="418"/>
      <c r="D22" s="419"/>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7"/>
      <c r="B23" s="133"/>
      <c r="C23" s="418"/>
      <c r="D23" s="419"/>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7"/>
      <c r="B24" s="133"/>
      <c r="C24" s="418"/>
      <c r="D24" s="419"/>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7"/>
      <c r="B25" s="133"/>
      <c r="C25" s="418"/>
      <c r="D25" s="419"/>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7"/>
      <c r="B26" s="133"/>
      <c r="C26" s="418"/>
      <c r="D26" s="419"/>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7"/>
      <c r="B27" s="133"/>
      <c r="C27" s="418"/>
      <c r="D27" s="419"/>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7"/>
      <c r="B28" s="133"/>
      <c r="C28" s="418"/>
      <c r="D28" s="419"/>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7"/>
      <c r="B29" s="133"/>
      <c r="C29" s="418"/>
      <c r="D29" s="419"/>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7"/>
      <c r="B30" s="133"/>
      <c r="C30" s="418"/>
      <c r="D30" s="419"/>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7"/>
      <c r="B31" s="133"/>
      <c r="C31" s="418"/>
      <c r="D31" s="419"/>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7"/>
      <c r="B32" s="133"/>
      <c r="C32" s="418"/>
      <c r="D32" s="419"/>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7"/>
      <c r="B33" s="133"/>
      <c r="C33" s="418"/>
      <c r="D33" s="419"/>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7"/>
      <c r="B34" s="133"/>
      <c r="C34" s="418"/>
      <c r="D34" s="419"/>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7"/>
      <c r="B35" s="133"/>
      <c r="C35" s="418"/>
      <c r="D35" s="419"/>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7"/>
      <c r="B36" s="133"/>
      <c r="C36" s="418"/>
      <c r="D36" s="419"/>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7"/>
      <c r="B37" s="133"/>
      <c r="C37" s="418"/>
      <c r="D37" s="419"/>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7"/>
      <c r="B38" s="133"/>
      <c r="C38" s="418"/>
      <c r="D38" s="419"/>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7"/>
      <c r="B39" s="133"/>
      <c r="C39" s="418"/>
      <c r="D39" s="419"/>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7"/>
      <c r="B40" s="133"/>
      <c r="C40" s="418"/>
      <c r="D40" s="419"/>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7"/>
      <c r="B41" s="133"/>
      <c r="C41" s="418"/>
      <c r="D41" s="419"/>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7"/>
      <c r="B42" s="133"/>
      <c r="C42" s="418"/>
      <c r="D42" s="419"/>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7"/>
      <c r="B43" s="133"/>
      <c r="C43" s="418"/>
      <c r="D43" s="419"/>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7"/>
      <c r="B44" s="133"/>
      <c r="C44" s="418"/>
      <c r="D44" s="419"/>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7"/>
      <c r="B45" s="133"/>
      <c r="C45" s="418"/>
      <c r="D45" s="419"/>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7"/>
      <c r="B46" s="133"/>
      <c r="C46" s="418"/>
      <c r="D46" s="419"/>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7"/>
      <c r="B47" s="133"/>
      <c r="C47" s="418"/>
      <c r="D47" s="419"/>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7"/>
      <c r="B48" s="133"/>
      <c r="C48" s="418"/>
      <c r="D48" s="419"/>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7"/>
      <c r="B49" s="133"/>
      <c r="C49" s="418"/>
      <c r="D49" s="419"/>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7"/>
      <c r="B50" s="133"/>
      <c r="C50" s="418"/>
      <c r="D50" s="419"/>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7"/>
      <c r="B51" s="133"/>
      <c r="C51" s="418"/>
      <c r="D51" s="419"/>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7"/>
      <c r="B52" s="133"/>
      <c r="C52" s="418"/>
      <c r="D52" s="419"/>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7"/>
      <c r="B53" s="133"/>
      <c r="C53" s="418"/>
      <c r="D53" s="419"/>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7"/>
      <c r="B54" s="133"/>
      <c r="C54" s="418"/>
      <c r="D54" s="419"/>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7"/>
      <c r="B55" s="133"/>
      <c r="C55" s="418"/>
      <c r="D55" s="419"/>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7"/>
      <c r="B56" s="133"/>
      <c r="C56" s="418"/>
      <c r="D56" s="419"/>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7"/>
      <c r="B57" s="133"/>
      <c r="C57" s="418"/>
      <c r="D57" s="419"/>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7"/>
      <c r="B58" s="133"/>
      <c r="C58" s="418"/>
      <c r="D58" s="419"/>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7"/>
      <c r="B59" s="133"/>
      <c r="C59" s="418"/>
      <c r="D59" s="419"/>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7"/>
      <c r="B60" s="133"/>
      <c r="C60" s="418"/>
      <c r="D60" s="419"/>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7"/>
      <c r="B61" s="133"/>
      <c r="C61" s="418"/>
      <c r="D61" s="419"/>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7"/>
      <c r="B62" s="133"/>
      <c r="C62" s="418"/>
      <c r="D62" s="419"/>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7"/>
      <c r="B63" s="133"/>
      <c r="C63" s="418"/>
      <c r="D63" s="419"/>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7"/>
      <c r="B64" s="133"/>
      <c r="C64" s="418"/>
      <c r="D64" s="419"/>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7"/>
      <c r="B65" s="133"/>
      <c r="C65" s="418"/>
      <c r="D65" s="419"/>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7"/>
      <c r="B66" s="133"/>
      <c r="C66" s="418"/>
      <c r="D66" s="419"/>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7"/>
      <c r="B67" s="133"/>
      <c r="C67" s="418"/>
      <c r="D67" s="419"/>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7"/>
      <c r="B68" s="133"/>
      <c r="C68" s="418"/>
      <c r="D68" s="419"/>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7"/>
      <c r="B69" s="133"/>
      <c r="C69" s="418"/>
      <c r="D69" s="419"/>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7"/>
      <c r="B70" s="133"/>
      <c r="C70" s="418"/>
      <c r="D70" s="419"/>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7"/>
      <c r="B71" s="133"/>
      <c r="C71" s="418"/>
      <c r="D71" s="419"/>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7"/>
      <c r="B72" s="133"/>
      <c r="C72" s="418"/>
      <c r="D72" s="419"/>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7"/>
      <c r="B73" s="133"/>
      <c r="C73" s="418"/>
      <c r="D73" s="419"/>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7"/>
      <c r="B74" s="133"/>
      <c r="C74" s="418"/>
      <c r="D74" s="419"/>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7"/>
      <c r="B75" s="133"/>
      <c r="C75" s="418"/>
      <c r="D75" s="419"/>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7"/>
      <c r="B76" s="133"/>
      <c r="C76" s="418"/>
      <c r="D76" s="419"/>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7"/>
      <c r="B77" s="133"/>
      <c r="C77" s="418"/>
      <c r="D77" s="419"/>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7"/>
      <c r="B78" s="133"/>
      <c r="C78" s="418"/>
      <c r="D78" s="419"/>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7"/>
      <c r="B79" s="133"/>
      <c r="C79" s="418"/>
      <c r="D79" s="419"/>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7"/>
      <c r="B80" s="133"/>
      <c r="C80" s="418"/>
      <c r="D80" s="419"/>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7"/>
      <c r="B81" s="133"/>
      <c r="C81" s="418"/>
      <c r="D81" s="419"/>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7"/>
      <c r="B82" s="133"/>
      <c r="C82" s="418"/>
      <c r="D82" s="419"/>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7"/>
      <c r="B83" s="133"/>
      <c r="C83" s="418"/>
      <c r="D83" s="419"/>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7"/>
      <c r="B84" s="133"/>
      <c r="C84" s="418"/>
      <c r="D84" s="419"/>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7"/>
      <c r="B85" s="133"/>
      <c r="C85" s="418"/>
      <c r="D85" s="419"/>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7"/>
      <c r="B86" s="133"/>
      <c r="C86" s="418"/>
      <c r="D86" s="419"/>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7"/>
      <c r="B87" s="133"/>
      <c r="C87" s="418"/>
      <c r="D87" s="419"/>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7"/>
      <c r="B88" s="133"/>
      <c r="C88" s="418"/>
      <c r="D88" s="419"/>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7"/>
      <c r="B89" s="133"/>
      <c r="C89" s="418"/>
      <c r="D89" s="419"/>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7"/>
      <c r="B90" s="133"/>
      <c r="C90" s="418"/>
      <c r="D90" s="419"/>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7"/>
      <c r="B91" s="133"/>
      <c r="C91" s="418"/>
      <c r="D91" s="419"/>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7"/>
      <c r="B92" s="133"/>
      <c r="C92" s="418"/>
      <c r="D92" s="419"/>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7"/>
      <c r="B93" s="133"/>
      <c r="C93" s="418"/>
      <c r="D93" s="419"/>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7"/>
      <c r="B94" s="133"/>
      <c r="C94" s="418"/>
      <c r="D94" s="419"/>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7"/>
      <c r="B95" s="133"/>
      <c r="C95" s="418"/>
      <c r="D95" s="419"/>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7"/>
      <c r="B96" s="133"/>
      <c r="C96" s="418"/>
      <c r="D96" s="419"/>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7"/>
      <c r="B97" s="133"/>
      <c r="C97" s="418"/>
      <c r="D97" s="419"/>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7"/>
      <c r="B98" s="133"/>
      <c r="C98" s="418"/>
      <c r="D98" s="419"/>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7"/>
      <c r="B99" s="133"/>
      <c r="C99" s="418"/>
      <c r="D99" s="419"/>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7"/>
      <c r="B100" s="133"/>
      <c r="C100" s="418"/>
      <c r="D100" s="419"/>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7"/>
      <c r="B101" s="133"/>
      <c r="C101" s="418"/>
      <c r="D101" s="419"/>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7"/>
      <c r="B102" s="133"/>
      <c r="C102" s="418"/>
      <c r="D102" s="419"/>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7"/>
      <c r="B103" s="133"/>
      <c r="C103" s="418"/>
      <c r="D103" s="419"/>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7"/>
      <c r="B104" s="133"/>
      <c r="C104" s="418"/>
      <c r="D104" s="419"/>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7"/>
      <c r="B105" s="133"/>
      <c r="C105" s="418"/>
      <c r="D105" s="419"/>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7"/>
      <c r="B106" s="133"/>
      <c r="C106" s="418"/>
      <c r="D106" s="419"/>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7"/>
      <c r="B107" s="133"/>
      <c r="C107" s="418"/>
      <c r="D107" s="419"/>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7"/>
      <c r="B108" s="133"/>
      <c r="C108" s="418"/>
      <c r="D108" s="419"/>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7"/>
      <c r="B109" s="133"/>
      <c r="C109" s="418"/>
      <c r="D109" s="419"/>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7"/>
      <c r="B110" s="133"/>
      <c r="C110" s="418"/>
      <c r="D110" s="419"/>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7"/>
      <c r="B111" s="133"/>
      <c r="C111" s="418"/>
      <c r="D111" s="419"/>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7"/>
      <c r="B112" s="133"/>
      <c r="C112" s="418"/>
      <c r="D112" s="419"/>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7"/>
      <c r="B113" s="133"/>
      <c r="C113" s="418"/>
      <c r="D113" s="419"/>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7"/>
      <c r="B114" s="133"/>
      <c r="C114" s="418"/>
      <c r="D114" s="419"/>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7"/>
      <c r="B115" s="133"/>
      <c r="C115" s="418"/>
      <c r="D115" s="419"/>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7"/>
      <c r="B116" s="133"/>
      <c r="C116" s="418"/>
      <c r="D116" s="419"/>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7"/>
      <c r="B117" s="133"/>
      <c r="C117" s="418"/>
      <c r="D117" s="419"/>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7"/>
      <c r="B118" s="133"/>
      <c r="C118" s="418"/>
      <c r="D118" s="419"/>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7"/>
      <c r="B119" s="133"/>
      <c r="C119" s="418"/>
      <c r="D119" s="419"/>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7"/>
      <c r="B120" s="133"/>
      <c r="C120" s="418"/>
      <c r="D120" s="419"/>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7"/>
      <c r="B121" s="133"/>
      <c r="C121" s="418"/>
      <c r="D121" s="419"/>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7"/>
      <c r="B122" s="133"/>
      <c r="C122" s="418"/>
      <c r="D122" s="419"/>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7"/>
      <c r="B123" s="133"/>
      <c r="C123" s="418"/>
      <c r="D123" s="419"/>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7"/>
      <c r="B124" s="133"/>
      <c r="C124" s="418"/>
      <c r="D124" s="419"/>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7"/>
      <c r="B125" s="133"/>
      <c r="C125" s="418"/>
      <c r="D125" s="419"/>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7"/>
      <c r="B126" s="133"/>
      <c r="C126" s="418"/>
      <c r="D126" s="419"/>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7"/>
      <c r="B127" s="133"/>
      <c r="C127" s="418"/>
      <c r="D127" s="419"/>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7"/>
      <c r="B128" s="133"/>
      <c r="C128" s="418"/>
      <c r="D128" s="419"/>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7"/>
      <c r="B129" s="133"/>
      <c r="C129" s="418"/>
      <c r="D129" s="419"/>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7"/>
      <c r="B130" s="133"/>
      <c r="C130" s="418"/>
      <c r="D130" s="419"/>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7"/>
      <c r="B131" s="133"/>
      <c r="C131" s="418"/>
      <c r="D131" s="419"/>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7"/>
      <c r="B132" s="133"/>
      <c r="C132" s="418"/>
      <c r="D132" s="419"/>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7"/>
      <c r="B133" s="133"/>
      <c r="C133" s="418"/>
      <c r="D133" s="419"/>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7"/>
      <c r="B134" s="133"/>
      <c r="C134" s="418"/>
      <c r="D134" s="419"/>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7"/>
      <c r="B135" s="133"/>
      <c r="C135" s="418"/>
      <c r="D135" s="419"/>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7"/>
      <c r="B136" s="133"/>
      <c r="C136" s="418"/>
      <c r="D136" s="419"/>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7"/>
      <c r="B137" s="133"/>
      <c r="C137" s="418"/>
      <c r="D137" s="419"/>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7"/>
      <c r="B138" s="133"/>
      <c r="C138" s="418"/>
      <c r="D138" s="419"/>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7"/>
      <c r="B139" s="133"/>
      <c r="C139" s="418"/>
      <c r="D139" s="419"/>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7"/>
      <c r="B140" s="133"/>
      <c r="C140" s="418"/>
      <c r="D140" s="419"/>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7"/>
      <c r="B141" s="133"/>
      <c r="C141" s="418"/>
      <c r="D141" s="419"/>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7"/>
      <c r="B142" s="133"/>
      <c r="C142" s="418"/>
      <c r="D142" s="419"/>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7"/>
      <c r="B143" s="133"/>
      <c r="C143" s="418"/>
      <c r="D143" s="419"/>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7"/>
      <c r="B144" s="133"/>
      <c r="C144" s="418"/>
      <c r="D144" s="419"/>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7"/>
      <c r="B145" s="133"/>
      <c r="C145" s="418"/>
      <c r="D145" s="419"/>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7"/>
      <c r="B146" s="133"/>
      <c r="C146" s="418"/>
      <c r="D146" s="419"/>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7"/>
      <c r="B147" s="133"/>
      <c r="C147" s="418"/>
      <c r="D147" s="419"/>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7"/>
      <c r="B148" s="133"/>
      <c r="C148" s="418"/>
      <c r="D148" s="419"/>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7"/>
      <c r="B149" s="133"/>
      <c r="C149" s="418"/>
      <c r="D149" s="419"/>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7"/>
      <c r="B150" s="133"/>
      <c r="C150" s="418"/>
      <c r="D150" s="419"/>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7"/>
      <c r="B151" s="133"/>
      <c r="C151" s="418"/>
      <c r="D151" s="419"/>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7"/>
      <c r="B152" s="133"/>
      <c r="C152" s="418"/>
      <c r="D152" s="419"/>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7"/>
      <c r="B153" s="133"/>
      <c r="C153" s="418"/>
      <c r="D153" s="419"/>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7"/>
      <c r="B154" s="133"/>
      <c r="C154" s="418"/>
      <c r="D154" s="419"/>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7"/>
      <c r="B155" s="133"/>
      <c r="C155" s="418"/>
      <c r="D155" s="419"/>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7"/>
      <c r="B156" s="133"/>
      <c r="C156" s="418"/>
      <c r="D156" s="419"/>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7"/>
      <c r="B157" s="133"/>
      <c r="C157" s="418"/>
      <c r="D157" s="419"/>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7"/>
      <c r="B158" s="133"/>
      <c r="C158" s="418"/>
      <c r="D158" s="419"/>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7"/>
      <c r="B159" s="133"/>
      <c r="C159" s="418"/>
      <c r="D159" s="419"/>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7"/>
      <c r="B160" s="133"/>
      <c r="C160" s="418"/>
      <c r="D160" s="419"/>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7"/>
      <c r="B161" s="133"/>
      <c r="C161" s="418"/>
      <c r="D161" s="419"/>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7"/>
      <c r="B162" s="133"/>
      <c r="C162" s="418"/>
      <c r="D162" s="419"/>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7"/>
      <c r="B163" s="133"/>
      <c r="C163" s="418"/>
      <c r="D163" s="419"/>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7"/>
      <c r="B164" s="133"/>
      <c r="C164" s="418"/>
      <c r="D164" s="419"/>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7"/>
      <c r="B165" s="133"/>
      <c r="C165" s="418"/>
      <c r="D165" s="419"/>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7"/>
      <c r="B166" s="133"/>
      <c r="C166" s="418"/>
      <c r="D166" s="419"/>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7"/>
      <c r="B167" s="133"/>
      <c r="C167" s="418"/>
      <c r="D167" s="419"/>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7"/>
      <c r="B168" s="133"/>
      <c r="C168" s="418"/>
      <c r="D168" s="419"/>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7"/>
      <c r="B169" s="133"/>
      <c r="C169" s="418"/>
      <c r="D169" s="419"/>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7"/>
      <c r="B170" s="133"/>
      <c r="C170" s="418"/>
      <c r="D170" s="419"/>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7"/>
      <c r="B171" s="133"/>
      <c r="C171" s="418"/>
      <c r="D171" s="419"/>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7"/>
      <c r="B172" s="133"/>
      <c r="C172" s="418"/>
      <c r="D172" s="419"/>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7"/>
      <c r="B173" s="133"/>
      <c r="C173" s="418"/>
      <c r="D173" s="419"/>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7"/>
      <c r="B174" s="133"/>
      <c r="C174" s="418"/>
      <c r="D174" s="419"/>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7"/>
      <c r="B175" s="133"/>
      <c r="C175" s="418"/>
      <c r="D175" s="419"/>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7"/>
      <c r="B176" s="133"/>
      <c r="C176" s="418"/>
      <c r="D176" s="419"/>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7"/>
      <c r="B177" s="133"/>
      <c r="C177" s="418"/>
      <c r="D177" s="419"/>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7"/>
      <c r="B178" s="133"/>
      <c r="C178" s="418"/>
      <c r="D178" s="419"/>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7"/>
      <c r="B179" s="133"/>
      <c r="C179" s="418"/>
      <c r="D179" s="419"/>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7"/>
      <c r="B180" s="133"/>
      <c r="C180" s="418"/>
      <c r="D180" s="419"/>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7"/>
      <c r="B181" s="133"/>
      <c r="C181" s="418"/>
      <c r="D181" s="419"/>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7"/>
      <c r="B182" s="133"/>
      <c r="C182" s="418"/>
      <c r="D182" s="419"/>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7"/>
      <c r="B183" s="133"/>
      <c r="C183" s="418"/>
      <c r="D183" s="419"/>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7"/>
      <c r="B184" s="133"/>
      <c r="C184" s="418"/>
      <c r="D184" s="419"/>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7"/>
      <c r="B185" s="133"/>
      <c r="C185" s="418"/>
      <c r="D185" s="419"/>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7"/>
      <c r="B186" s="133"/>
      <c r="C186" s="418"/>
      <c r="D186" s="419"/>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7"/>
      <c r="B187" s="133"/>
      <c r="C187" s="418"/>
      <c r="D187" s="419"/>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7"/>
      <c r="B188" s="133"/>
      <c r="C188" s="418"/>
      <c r="D188" s="419"/>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7"/>
      <c r="B189" s="133"/>
      <c r="C189" s="418"/>
      <c r="D189" s="419"/>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7"/>
      <c r="B190" s="133"/>
      <c r="C190" s="418"/>
      <c r="D190" s="419"/>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7"/>
      <c r="B191" s="133"/>
      <c r="C191" s="418"/>
      <c r="D191" s="419"/>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7"/>
      <c r="B192" s="133"/>
      <c r="C192" s="418"/>
      <c r="D192" s="419"/>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7"/>
      <c r="B193" s="133"/>
      <c r="C193" s="418"/>
      <c r="D193" s="419"/>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7"/>
      <c r="B194" s="133"/>
      <c r="C194" s="418"/>
      <c r="D194" s="419"/>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7"/>
      <c r="B195" s="133"/>
      <c r="C195" s="418"/>
      <c r="D195" s="419"/>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7"/>
      <c r="B196" s="133"/>
      <c r="C196" s="418"/>
      <c r="D196" s="419"/>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7"/>
      <c r="B197" s="133"/>
      <c r="C197" s="418"/>
      <c r="D197" s="419"/>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7"/>
      <c r="B198" s="133"/>
      <c r="C198" s="418"/>
      <c r="D198" s="419"/>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7"/>
      <c r="B199" s="133"/>
      <c r="C199" s="418"/>
      <c r="D199" s="419"/>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7"/>
      <c r="B200" s="133"/>
      <c r="C200" s="418"/>
      <c r="D200" s="419"/>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7"/>
      <c r="B201" s="133"/>
      <c r="C201" s="418"/>
      <c r="D201" s="419"/>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7"/>
      <c r="B202" s="133"/>
      <c r="C202" s="418"/>
      <c r="D202" s="419"/>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7"/>
      <c r="B203" s="133"/>
      <c r="C203" s="418"/>
      <c r="D203" s="419"/>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7"/>
      <c r="B204" s="133"/>
      <c r="C204" s="418"/>
      <c r="D204" s="419"/>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7"/>
      <c r="B205" s="133"/>
      <c r="C205" s="418"/>
      <c r="D205" s="419"/>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7"/>
      <c r="B206" s="133"/>
      <c r="C206" s="418"/>
      <c r="D206" s="419"/>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7"/>
      <c r="B207" s="133"/>
      <c r="C207" s="418"/>
      <c r="D207" s="419"/>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7"/>
      <c r="B208" s="133"/>
      <c r="C208" s="418"/>
      <c r="D208" s="419"/>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7"/>
      <c r="B209" s="133"/>
      <c r="C209" s="418"/>
      <c r="D209" s="419"/>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7"/>
      <c r="B210" s="133"/>
      <c r="C210" s="418"/>
      <c r="D210" s="419"/>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7"/>
      <c r="B211" s="133"/>
      <c r="C211" s="418"/>
      <c r="D211" s="419"/>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7"/>
      <c r="B212" s="133"/>
      <c r="C212" s="418"/>
      <c r="D212" s="419"/>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7"/>
      <c r="B213" s="133"/>
      <c r="C213" s="418"/>
      <c r="D213" s="419"/>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7"/>
      <c r="B214" s="133"/>
      <c r="C214" s="418"/>
      <c r="D214" s="419"/>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7"/>
      <c r="B215" s="133"/>
      <c r="C215" s="418"/>
      <c r="D215" s="419"/>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7"/>
      <c r="B216" s="133"/>
      <c r="C216" s="418"/>
      <c r="D216" s="419"/>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7"/>
      <c r="B217" s="133"/>
      <c r="C217" s="418"/>
      <c r="D217" s="419"/>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7"/>
      <c r="B218" s="133"/>
      <c r="C218" s="418"/>
      <c r="D218" s="419"/>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7"/>
      <c r="B219" s="133"/>
      <c r="C219" s="418"/>
      <c r="D219" s="419"/>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7"/>
      <c r="B220" s="133"/>
      <c r="C220" s="418"/>
      <c r="D220" s="419"/>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7"/>
      <c r="B221" s="133"/>
      <c r="C221" s="418"/>
      <c r="D221" s="419"/>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7"/>
      <c r="B222" s="133"/>
      <c r="C222" s="418"/>
      <c r="D222" s="419"/>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7"/>
      <c r="B223" s="133"/>
      <c r="C223" s="418"/>
      <c r="D223" s="419"/>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7"/>
      <c r="B224" s="133"/>
      <c r="C224" s="418"/>
      <c r="D224" s="419"/>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7"/>
      <c r="B225" s="133"/>
      <c r="C225" s="418"/>
      <c r="D225" s="419"/>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7"/>
      <c r="B226" s="133"/>
      <c r="C226" s="418"/>
      <c r="D226" s="419"/>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7"/>
      <c r="B227" s="133"/>
      <c r="C227" s="418"/>
      <c r="D227" s="419"/>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7"/>
      <c r="B228" s="133"/>
      <c r="C228" s="418"/>
      <c r="D228" s="419"/>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7"/>
      <c r="B229" s="133"/>
      <c r="C229" s="418"/>
      <c r="D229" s="419"/>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7"/>
      <c r="B230" s="133"/>
      <c r="C230" s="418"/>
      <c r="D230" s="419"/>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7"/>
      <c r="B231" s="133"/>
      <c r="C231" s="418"/>
      <c r="D231" s="419"/>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7"/>
      <c r="B232" s="133"/>
      <c r="C232" s="418"/>
      <c r="D232" s="419"/>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7"/>
      <c r="B233" s="133"/>
      <c r="C233" s="418"/>
      <c r="D233" s="419"/>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7"/>
      <c r="B234" s="133"/>
      <c r="C234" s="418"/>
      <c r="D234" s="419"/>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7"/>
      <c r="B235" s="133"/>
      <c r="C235" s="418"/>
      <c r="D235" s="419"/>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7"/>
      <c r="B236" s="133"/>
      <c r="C236" s="418"/>
      <c r="D236" s="419"/>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7"/>
      <c r="B237" s="133"/>
      <c r="C237" s="418"/>
      <c r="D237" s="419"/>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7"/>
      <c r="B238" s="133"/>
      <c r="C238" s="418"/>
      <c r="D238" s="419"/>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7"/>
      <c r="B239" s="133"/>
      <c r="C239" s="418"/>
      <c r="D239" s="419"/>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7"/>
      <c r="B240" s="133"/>
      <c r="C240" s="418"/>
      <c r="D240" s="419"/>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7"/>
      <c r="B241" s="133"/>
      <c r="C241" s="418"/>
      <c r="D241" s="419"/>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7"/>
      <c r="B242" s="133"/>
      <c r="C242" s="418"/>
      <c r="D242" s="419"/>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7"/>
      <c r="B243" s="133"/>
      <c r="C243" s="418"/>
      <c r="D243" s="419"/>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7"/>
      <c r="B244" s="133"/>
      <c r="C244" s="418"/>
      <c r="D244" s="419"/>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7"/>
      <c r="B245" s="133"/>
      <c r="C245" s="418"/>
      <c r="D245" s="419"/>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7"/>
      <c r="B246" s="133"/>
      <c r="C246" s="418"/>
      <c r="D246" s="419"/>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7"/>
      <c r="B247" s="133"/>
      <c r="C247" s="418"/>
      <c r="D247" s="419"/>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7"/>
      <c r="B248" s="133"/>
      <c r="C248" s="418"/>
      <c r="D248" s="419"/>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7"/>
      <c r="B249" s="133"/>
      <c r="C249" s="418"/>
      <c r="D249" s="419"/>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7"/>
      <c r="B250" s="133"/>
      <c r="C250" s="418"/>
      <c r="D250" s="419"/>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7"/>
      <c r="B251" s="133"/>
      <c r="C251" s="418"/>
      <c r="D251" s="419"/>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7"/>
      <c r="B252" s="133"/>
      <c r="C252" s="418"/>
      <c r="D252" s="419"/>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7"/>
      <c r="B253" s="133"/>
      <c r="C253" s="418"/>
      <c r="D253" s="419"/>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7"/>
      <c r="B254" s="133"/>
      <c r="C254" s="418"/>
      <c r="D254" s="419"/>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7"/>
      <c r="B255" s="133"/>
      <c r="C255" s="418"/>
      <c r="D255" s="419"/>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7"/>
      <c r="B256" s="133"/>
      <c r="C256" s="418"/>
      <c r="D256" s="419"/>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7"/>
      <c r="B257" s="133"/>
      <c r="C257" s="418"/>
      <c r="D257" s="419"/>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7"/>
      <c r="B258" s="133"/>
      <c r="C258" s="418"/>
      <c r="D258" s="419"/>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7"/>
      <c r="B259" s="133"/>
      <c r="C259" s="418"/>
      <c r="D259" s="419"/>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7"/>
      <c r="B260" s="133"/>
      <c r="C260" s="418"/>
      <c r="D260" s="419"/>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7"/>
      <c r="B261" s="133"/>
      <c r="C261" s="418"/>
      <c r="D261" s="419"/>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7"/>
      <c r="B262" s="133"/>
      <c r="C262" s="418"/>
      <c r="D262" s="419"/>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7"/>
      <c r="B263" s="133"/>
      <c r="C263" s="418"/>
      <c r="D263" s="419"/>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7"/>
      <c r="B264" s="133"/>
      <c r="C264" s="418"/>
      <c r="D264" s="419"/>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7"/>
      <c r="B265" s="133"/>
      <c r="C265" s="418"/>
      <c r="D265" s="419"/>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7"/>
      <c r="B266" s="133"/>
      <c r="C266" s="418"/>
      <c r="D266" s="419"/>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7"/>
      <c r="B267" s="133"/>
      <c r="C267" s="418"/>
      <c r="D267" s="419"/>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7"/>
      <c r="B268" s="133"/>
      <c r="C268" s="418"/>
      <c r="D268" s="419"/>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7"/>
      <c r="B269" s="133"/>
      <c r="C269" s="418"/>
      <c r="D269" s="419"/>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7"/>
      <c r="B270" s="133"/>
      <c r="C270" s="418"/>
      <c r="D270" s="419"/>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7"/>
      <c r="B271" s="133"/>
      <c r="C271" s="418"/>
      <c r="D271" s="419"/>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7"/>
      <c r="B272" s="133"/>
      <c r="C272" s="418"/>
      <c r="D272" s="419"/>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7"/>
      <c r="B273" s="133"/>
      <c r="C273" s="418"/>
      <c r="D273" s="419"/>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7"/>
      <c r="B274" s="133"/>
      <c r="C274" s="418"/>
      <c r="D274" s="419"/>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7"/>
      <c r="B275" s="133"/>
      <c r="C275" s="418"/>
      <c r="D275" s="419"/>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7"/>
      <c r="B276" s="133"/>
      <c r="C276" s="418"/>
      <c r="D276" s="419"/>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7"/>
      <c r="B277" s="133"/>
      <c r="C277" s="418"/>
      <c r="D277" s="419"/>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7"/>
      <c r="B278" s="133"/>
      <c r="C278" s="418"/>
      <c r="D278" s="419"/>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7"/>
      <c r="B279" s="133"/>
      <c r="C279" s="418"/>
      <c r="D279" s="419"/>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7"/>
      <c r="B280" s="133"/>
      <c r="C280" s="418"/>
      <c r="D280" s="419"/>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7"/>
      <c r="B281" s="133"/>
      <c r="C281" s="418"/>
      <c r="D281" s="419"/>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7"/>
      <c r="B282" s="133"/>
      <c r="C282" s="418"/>
      <c r="D282" s="419"/>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7"/>
      <c r="B283" s="133"/>
      <c r="C283" s="418"/>
      <c r="D283" s="419"/>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7"/>
      <c r="B284" s="133"/>
      <c r="C284" s="418"/>
      <c r="D284" s="419"/>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7"/>
      <c r="B285" s="133"/>
      <c r="C285" s="418"/>
      <c r="D285" s="419"/>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7"/>
      <c r="B286" s="133"/>
      <c r="C286" s="418"/>
      <c r="D286" s="419"/>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7"/>
      <c r="B287" s="133"/>
      <c r="C287" s="418"/>
      <c r="D287" s="419"/>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7"/>
      <c r="B288" s="133"/>
      <c r="C288" s="418"/>
      <c r="D288" s="419"/>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7"/>
      <c r="B289" s="133"/>
      <c r="C289" s="418"/>
      <c r="D289" s="419"/>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7"/>
      <c r="B290" s="133"/>
      <c r="C290" s="418"/>
      <c r="D290" s="419"/>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7"/>
      <c r="B291" s="133"/>
      <c r="C291" s="418"/>
      <c r="D291" s="419"/>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7"/>
      <c r="B292" s="133"/>
      <c r="C292" s="418"/>
      <c r="D292" s="419"/>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7"/>
      <c r="B293" s="133"/>
      <c r="C293" s="418"/>
      <c r="D293" s="419"/>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7"/>
      <c r="B294" s="133"/>
      <c r="C294" s="418"/>
      <c r="D294" s="419"/>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7"/>
      <c r="B295" s="133"/>
      <c r="C295" s="418"/>
      <c r="D295" s="419"/>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7"/>
      <c r="B296" s="133"/>
      <c r="C296" s="418"/>
      <c r="D296" s="419"/>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7"/>
      <c r="B297" s="133"/>
      <c r="C297" s="418"/>
      <c r="D297" s="419"/>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7"/>
      <c r="B298" s="133"/>
      <c r="C298" s="418"/>
      <c r="D298" s="419"/>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7"/>
      <c r="B299" s="133"/>
      <c r="C299" s="418"/>
      <c r="D299" s="419"/>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7"/>
      <c r="B300" s="133"/>
      <c r="C300" s="418"/>
      <c r="D300" s="419"/>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7"/>
      <c r="B301" s="133"/>
      <c r="C301" s="418"/>
      <c r="D301" s="419"/>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7"/>
      <c r="B302" s="133"/>
      <c r="C302" s="418"/>
      <c r="D302" s="419"/>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7"/>
      <c r="B303" s="133"/>
      <c r="C303" s="418"/>
      <c r="D303" s="419"/>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7"/>
      <c r="B304" s="133"/>
      <c r="C304" s="418"/>
      <c r="D304" s="419"/>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7"/>
      <c r="B305" s="133"/>
      <c r="C305" s="418"/>
      <c r="D305" s="419"/>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7"/>
      <c r="B306" s="133"/>
      <c r="C306" s="418"/>
      <c r="D306" s="419"/>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7"/>
      <c r="B307" s="133"/>
      <c r="C307" s="418"/>
      <c r="D307" s="419"/>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7"/>
      <c r="B308" s="133"/>
      <c r="C308" s="418"/>
      <c r="D308" s="419"/>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7"/>
      <c r="B309" s="133"/>
      <c r="C309" s="418"/>
      <c r="D309" s="419"/>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7"/>
      <c r="B310" s="133"/>
      <c r="C310" s="418"/>
      <c r="D310" s="419"/>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7"/>
      <c r="B311" s="133"/>
      <c r="C311" s="418"/>
      <c r="D311" s="419"/>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7"/>
      <c r="B312" s="133"/>
      <c r="C312" s="418"/>
      <c r="D312" s="419"/>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7"/>
      <c r="B313" s="133"/>
      <c r="C313" s="418"/>
      <c r="D313" s="419"/>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7"/>
      <c r="B314" s="133"/>
      <c r="C314" s="418"/>
      <c r="D314" s="419"/>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7"/>
      <c r="B315" s="133"/>
      <c r="C315" s="418"/>
      <c r="D315" s="419"/>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7"/>
      <c r="B316" s="133"/>
      <c r="C316" s="418"/>
      <c r="D316" s="419"/>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7"/>
      <c r="B317" s="133"/>
      <c r="C317" s="418"/>
      <c r="D317" s="419"/>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7"/>
      <c r="B318" s="133"/>
      <c r="C318" s="418"/>
      <c r="D318" s="419"/>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7"/>
      <c r="B319" s="133"/>
      <c r="C319" s="418"/>
      <c r="D319" s="419"/>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7"/>
      <c r="B320" s="133"/>
      <c r="C320" s="418"/>
      <c r="D320" s="419"/>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7"/>
      <c r="B321" s="133"/>
      <c r="C321" s="418"/>
      <c r="D321" s="419"/>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7"/>
      <c r="B322" s="133"/>
      <c r="C322" s="418"/>
      <c r="D322" s="419"/>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7"/>
      <c r="B323" s="133"/>
      <c r="C323" s="418"/>
      <c r="D323" s="419"/>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7"/>
      <c r="B324" s="133"/>
      <c r="C324" s="418"/>
      <c r="D324" s="419"/>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7"/>
      <c r="B325" s="133"/>
      <c r="C325" s="418"/>
      <c r="D325" s="419"/>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7"/>
      <c r="B326" s="133"/>
      <c r="C326" s="418"/>
      <c r="D326" s="419"/>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7"/>
      <c r="B327" s="133"/>
      <c r="C327" s="418"/>
      <c r="D327" s="419"/>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7"/>
      <c r="B328" s="133"/>
      <c r="C328" s="418"/>
      <c r="D328" s="419"/>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7"/>
      <c r="B329" s="133"/>
      <c r="C329" s="418"/>
      <c r="D329" s="419"/>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7"/>
      <c r="B330" s="133"/>
      <c r="C330" s="418"/>
      <c r="D330" s="419"/>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7"/>
      <c r="B331" s="133"/>
      <c r="C331" s="418"/>
      <c r="D331" s="419"/>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7"/>
      <c r="B332" s="133"/>
      <c r="C332" s="418"/>
      <c r="D332" s="419"/>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7"/>
      <c r="B333" s="133"/>
      <c r="C333" s="418"/>
      <c r="D333" s="419"/>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7"/>
      <c r="B334" s="133"/>
      <c r="C334" s="418"/>
      <c r="D334" s="419"/>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7"/>
      <c r="B335" s="133"/>
      <c r="C335" s="418"/>
      <c r="D335" s="419"/>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7"/>
      <c r="B336" s="133"/>
      <c r="C336" s="418"/>
      <c r="D336" s="419"/>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7"/>
      <c r="B337" s="133"/>
      <c r="C337" s="418"/>
      <c r="D337" s="419"/>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7"/>
      <c r="B338" s="133"/>
      <c r="C338" s="418"/>
      <c r="D338" s="419"/>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7"/>
      <c r="B339" s="133"/>
      <c r="C339" s="418"/>
      <c r="D339" s="419"/>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7"/>
      <c r="B340" s="133"/>
      <c r="C340" s="418"/>
      <c r="D340" s="419"/>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7"/>
      <c r="B341" s="133"/>
      <c r="C341" s="418"/>
      <c r="D341" s="419"/>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7"/>
      <c r="B342" s="133"/>
      <c r="C342" s="418"/>
      <c r="D342" s="419"/>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7"/>
      <c r="B343" s="133"/>
      <c r="C343" s="418"/>
      <c r="D343" s="419"/>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7"/>
      <c r="B344" s="133"/>
      <c r="C344" s="418"/>
      <c r="D344" s="419"/>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7"/>
      <c r="B345" s="133"/>
      <c r="C345" s="418"/>
      <c r="D345" s="419"/>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7"/>
      <c r="B346" s="133"/>
      <c r="C346" s="418"/>
      <c r="D346" s="419"/>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7"/>
      <c r="B347" s="133"/>
      <c r="C347" s="418"/>
      <c r="D347" s="419"/>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7"/>
      <c r="B348" s="133"/>
      <c r="C348" s="418"/>
      <c r="D348" s="419"/>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7"/>
      <c r="B349" s="133"/>
      <c r="C349" s="418"/>
      <c r="D349" s="419"/>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7"/>
      <c r="B350" s="133"/>
      <c r="C350" s="418"/>
      <c r="D350" s="419"/>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7"/>
      <c r="B351" s="133"/>
      <c r="C351" s="418"/>
      <c r="D351" s="419"/>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7"/>
      <c r="B352" s="133"/>
      <c r="C352" s="418"/>
      <c r="D352" s="419"/>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7"/>
      <c r="B353" s="133"/>
      <c r="C353" s="418"/>
      <c r="D353" s="419"/>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7"/>
      <c r="B354" s="133"/>
      <c r="C354" s="418"/>
      <c r="D354" s="419"/>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7"/>
      <c r="B355" s="133"/>
      <c r="C355" s="418"/>
      <c r="D355" s="419"/>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7"/>
      <c r="B356" s="133"/>
      <c r="C356" s="418"/>
      <c r="D356" s="419"/>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7"/>
      <c r="B357" s="133"/>
      <c r="C357" s="418"/>
      <c r="D357" s="419"/>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7"/>
      <c r="B358" s="133"/>
      <c r="C358" s="418"/>
      <c r="D358" s="419"/>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7"/>
      <c r="B359" s="133"/>
      <c r="C359" s="418"/>
      <c r="D359" s="419"/>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7"/>
      <c r="B360" s="133"/>
      <c r="C360" s="418"/>
      <c r="D360" s="419"/>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7"/>
      <c r="B361" s="133"/>
      <c r="C361" s="418"/>
      <c r="D361" s="419"/>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7"/>
      <c r="B362" s="133"/>
      <c r="C362" s="418"/>
      <c r="D362" s="419"/>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7"/>
      <c r="B363" s="133"/>
      <c r="C363" s="418"/>
      <c r="D363" s="419"/>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7"/>
      <c r="B364" s="133"/>
      <c r="C364" s="418"/>
      <c r="D364" s="419"/>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7"/>
      <c r="B365" s="133"/>
      <c r="C365" s="418"/>
      <c r="D365" s="419"/>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7"/>
      <c r="B366" s="133"/>
      <c r="C366" s="418"/>
      <c r="D366" s="419"/>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7"/>
      <c r="B367" s="133"/>
      <c r="C367" s="418"/>
      <c r="D367" s="419"/>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7"/>
      <c r="B368" s="133"/>
      <c r="C368" s="418"/>
      <c r="D368" s="419"/>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7"/>
      <c r="B369" s="133"/>
      <c r="C369" s="418"/>
      <c r="D369" s="419"/>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7"/>
      <c r="B370" s="133"/>
      <c r="C370" s="418"/>
      <c r="D370" s="419"/>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7"/>
      <c r="B371" s="133"/>
      <c r="C371" s="418"/>
      <c r="D371" s="419"/>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7"/>
      <c r="B372" s="133"/>
      <c r="C372" s="418"/>
      <c r="D372" s="419"/>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7"/>
      <c r="B373" s="133"/>
      <c r="C373" s="418"/>
      <c r="D373" s="419"/>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7"/>
      <c r="B374" s="133"/>
      <c r="C374" s="418"/>
      <c r="D374" s="419"/>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7"/>
      <c r="B375" s="133"/>
      <c r="C375" s="418"/>
      <c r="D375" s="419"/>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7"/>
      <c r="B376" s="133"/>
      <c r="C376" s="418"/>
      <c r="D376" s="419"/>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7"/>
      <c r="B377" s="133"/>
      <c r="C377" s="418"/>
      <c r="D377" s="419"/>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7"/>
      <c r="B378" s="133"/>
      <c r="C378" s="418"/>
      <c r="D378" s="419"/>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7"/>
      <c r="B379" s="133"/>
      <c r="C379" s="418"/>
      <c r="D379" s="419"/>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7"/>
      <c r="B380" s="133"/>
      <c r="C380" s="418"/>
      <c r="D380" s="419"/>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7"/>
      <c r="B381" s="133"/>
      <c r="C381" s="418"/>
      <c r="D381" s="419"/>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7"/>
      <c r="B382" s="133"/>
      <c r="C382" s="418"/>
      <c r="D382" s="419"/>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7"/>
      <c r="B383" s="133"/>
      <c r="C383" s="418"/>
      <c r="D383" s="419"/>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7"/>
      <c r="B384" s="133"/>
      <c r="C384" s="418"/>
      <c r="D384" s="419"/>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7"/>
      <c r="B385" s="133"/>
      <c r="C385" s="418"/>
      <c r="D385" s="419"/>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7"/>
      <c r="B386" s="133"/>
      <c r="C386" s="418"/>
      <c r="D386" s="419"/>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7"/>
      <c r="B387" s="133"/>
      <c r="C387" s="418"/>
      <c r="D387" s="419"/>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7"/>
      <c r="B388" s="133"/>
      <c r="C388" s="418"/>
      <c r="D388" s="419"/>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7"/>
      <c r="B389" s="133"/>
      <c r="C389" s="418"/>
      <c r="D389" s="419"/>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7"/>
      <c r="B390" s="133"/>
      <c r="C390" s="418"/>
      <c r="D390" s="419"/>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7"/>
      <c r="B391" s="133"/>
      <c r="C391" s="418"/>
      <c r="D391" s="419"/>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7"/>
      <c r="B392" s="133"/>
      <c r="C392" s="418"/>
      <c r="D392" s="419"/>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7"/>
      <c r="B393" s="133"/>
      <c r="C393" s="418"/>
      <c r="D393" s="419"/>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7"/>
      <c r="B394" s="133"/>
      <c r="C394" s="418"/>
      <c r="D394" s="419"/>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7"/>
      <c r="B395" s="133"/>
      <c r="C395" s="418"/>
      <c r="D395" s="419"/>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7"/>
      <c r="B396" s="133"/>
      <c r="C396" s="418"/>
      <c r="D396" s="419"/>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7"/>
      <c r="B397" s="133"/>
      <c r="C397" s="418"/>
      <c r="D397" s="419"/>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7"/>
      <c r="B398" s="133"/>
      <c r="C398" s="418"/>
      <c r="D398" s="419"/>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7"/>
      <c r="B399" s="133"/>
      <c r="C399" s="418"/>
      <c r="D399" s="419"/>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7"/>
      <c r="B400" s="133"/>
      <c r="C400" s="418"/>
      <c r="D400" s="419"/>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7"/>
      <c r="B401" s="133"/>
      <c r="C401" s="418"/>
      <c r="D401" s="419"/>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7"/>
      <c r="B402" s="133"/>
      <c r="C402" s="418"/>
      <c r="D402" s="419"/>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7"/>
      <c r="B403" s="133"/>
      <c r="C403" s="418"/>
      <c r="D403" s="419"/>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7"/>
      <c r="B404" s="133"/>
      <c r="C404" s="418"/>
      <c r="D404" s="419"/>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7"/>
      <c r="B405" s="133"/>
      <c r="C405" s="418"/>
      <c r="D405" s="419"/>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7"/>
      <c r="B406" s="133"/>
      <c r="C406" s="418"/>
      <c r="D406" s="419"/>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7"/>
      <c r="B407" s="133"/>
      <c r="C407" s="418"/>
      <c r="D407" s="419"/>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7"/>
      <c r="B408" s="133"/>
      <c r="C408" s="418"/>
      <c r="D408" s="419"/>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7"/>
      <c r="B409" s="133"/>
      <c r="C409" s="418"/>
      <c r="D409" s="419"/>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7"/>
      <c r="B410" s="133"/>
      <c r="C410" s="418"/>
      <c r="D410" s="419"/>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7"/>
      <c r="B411" s="133"/>
      <c r="C411" s="418"/>
      <c r="D411" s="419"/>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7"/>
      <c r="B412" s="133"/>
      <c r="C412" s="418"/>
      <c r="D412" s="419"/>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7"/>
      <c r="B413" s="133"/>
      <c r="C413" s="418"/>
      <c r="D413" s="419"/>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7"/>
      <c r="B414" s="133"/>
      <c r="C414" s="418"/>
      <c r="D414" s="419"/>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7"/>
      <c r="B415" s="133"/>
      <c r="C415" s="418"/>
      <c r="D415" s="419"/>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7"/>
      <c r="B416" s="133"/>
      <c r="C416" s="418"/>
      <c r="D416" s="419"/>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7"/>
      <c r="B417" s="133"/>
      <c r="C417" s="418"/>
      <c r="D417" s="419"/>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7"/>
      <c r="B418" s="133"/>
      <c r="C418" s="418"/>
      <c r="D418" s="419"/>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7"/>
      <c r="B419" s="133"/>
      <c r="C419" s="418"/>
      <c r="D419" s="419"/>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7"/>
      <c r="B420" s="133"/>
      <c r="C420" s="418"/>
      <c r="D420" s="419"/>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7"/>
      <c r="B421" s="133"/>
      <c r="C421" s="418"/>
      <c r="D421" s="419"/>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7"/>
      <c r="B422" s="133"/>
      <c r="C422" s="418"/>
      <c r="D422" s="419"/>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7"/>
      <c r="B423" s="133"/>
      <c r="C423" s="418"/>
      <c r="D423" s="419"/>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7"/>
      <c r="B424" s="133"/>
      <c r="C424" s="418"/>
      <c r="D424" s="419"/>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7"/>
      <c r="B425" s="133"/>
      <c r="C425" s="418"/>
      <c r="D425" s="419"/>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7"/>
      <c r="B426" s="133"/>
      <c r="C426" s="418"/>
      <c r="D426" s="419"/>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7"/>
      <c r="B427" s="133"/>
      <c r="C427" s="418"/>
      <c r="D427" s="419"/>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7"/>
      <c r="B428" s="133"/>
      <c r="C428" s="418"/>
      <c r="D428" s="419"/>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7"/>
      <c r="B429" s="133"/>
      <c r="C429" s="418"/>
      <c r="D429" s="419"/>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7"/>
      <c r="B430" s="133"/>
      <c r="C430" s="418"/>
      <c r="D430" s="419"/>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7"/>
      <c r="B431" s="133"/>
      <c r="C431" s="418"/>
      <c r="D431" s="419"/>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7"/>
      <c r="B432" s="133"/>
      <c r="C432" s="418"/>
      <c r="D432" s="419"/>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7"/>
      <c r="B433" s="133"/>
      <c r="C433" s="418"/>
      <c r="D433" s="419"/>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7"/>
      <c r="B434" s="133"/>
      <c r="C434" s="418"/>
      <c r="D434" s="419"/>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7"/>
      <c r="B435" s="133"/>
      <c r="C435" s="418"/>
      <c r="D435" s="419"/>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7"/>
      <c r="B436" s="133"/>
      <c r="C436" s="418"/>
      <c r="D436" s="419"/>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7"/>
      <c r="B437" s="133"/>
      <c r="C437" s="418"/>
      <c r="D437" s="419"/>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7"/>
      <c r="B438" s="133"/>
      <c r="C438" s="418"/>
      <c r="D438" s="419"/>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7"/>
      <c r="B439" s="133"/>
      <c r="C439" s="418"/>
      <c r="D439" s="419"/>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7"/>
      <c r="B440" s="133"/>
      <c r="C440" s="418"/>
      <c r="D440" s="419"/>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7"/>
      <c r="B441" s="133"/>
      <c r="C441" s="418"/>
      <c r="D441" s="419"/>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7"/>
      <c r="B442" s="133"/>
      <c r="C442" s="418"/>
      <c r="D442" s="419"/>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7"/>
      <c r="B443" s="133"/>
      <c r="C443" s="418"/>
      <c r="D443" s="419"/>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7"/>
      <c r="B444" s="133"/>
      <c r="C444" s="418"/>
      <c r="D444" s="419"/>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7"/>
      <c r="B445" s="133"/>
      <c r="C445" s="418"/>
      <c r="D445" s="419"/>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7"/>
      <c r="B446" s="133"/>
      <c r="C446" s="418"/>
      <c r="D446" s="419"/>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7"/>
      <c r="B447" s="133"/>
      <c r="C447" s="418"/>
      <c r="D447" s="419"/>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7"/>
      <c r="B448" s="133"/>
      <c r="C448" s="418"/>
      <c r="D448" s="419"/>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7"/>
      <c r="B449" s="133"/>
      <c r="C449" s="418"/>
      <c r="D449" s="419"/>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7"/>
      <c r="B450" s="133"/>
      <c r="C450" s="418"/>
      <c r="D450" s="419"/>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7"/>
      <c r="B451" s="133"/>
      <c r="C451" s="418"/>
      <c r="D451" s="419"/>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7"/>
      <c r="B452" s="133"/>
      <c r="C452" s="418"/>
      <c r="D452" s="419"/>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7"/>
      <c r="B453" s="133"/>
      <c r="C453" s="418"/>
      <c r="D453" s="419"/>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7"/>
      <c r="B454" s="133"/>
      <c r="C454" s="418"/>
      <c r="D454" s="419"/>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7"/>
      <c r="B455" s="133"/>
      <c r="C455" s="418"/>
      <c r="D455" s="419"/>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7"/>
      <c r="B456" s="133"/>
      <c r="C456" s="418"/>
      <c r="D456" s="419"/>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7"/>
      <c r="B457" s="133"/>
      <c r="C457" s="418"/>
      <c r="D457" s="419"/>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7"/>
      <c r="B458" s="133"/>
      <c r="C458" s="418"/>
      <c r="D458" s="419"/>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7"/>
      <c r="B459" s="133"/>
      <c r="C459" s="418"/>
      <c r="D459" s="419"/>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7"/>
      <c r="B460" s="133"/>
      <c r="C460" s="418"/>
      <c r="D460" s="419"/>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7"/>
      <c r="B461" s="133"/>
      <c r="C461" s="418"/>
      <c r="D461" s="419"/>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7"/>
      <c r="B462" s="133"/>
      <c r="C462" s="418"/>
      <c r="D462" s="419"/>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7"/>
      <c r="B463" s="133"/>
      <c r="C463" s="418"/>
      <c r="D463" s="419"/>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7"/>
      <c r="B464" s="133"/>
      <c r="C464" s="418"/>
      <c r="D464" s="419"/>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7"/>
      <c r="B465" s="133"/>
      <c r="C465" s="418"/>
      <c r="D465" s="419"/>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7"/>
      <c r="B466" s="133"/>
      <c r="C466" s="418"/>
      <c r="D466" s="419"/>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7"/>
      <c r="B467" s="133"/>
      <c r="C467" s="418"/>
      <c r="D467" s="419"/>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7"/>
      <c r="B468" s="133"/>
      <c r="C468" s="418"/>
      <c r="D468" s="419"/>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7"/>
      <c r="B469" s="133"/>
      <c r="C469" s="418"/>
      <c r="D469" s="419"/>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7"/>
      <c r="B470" s="133"/>
      <c r="C470" s="418"/>
      <c r="D470" s="419"/>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7"/>
      <c r="B471" s="133"/>
      <c r="C471" s="418"/>
      <c r="D471" s="419"/>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7"/>
      <c r="B472" s="133"/>
      <c r="C472" s="418"/>
      <c r="D472" s="419"/>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7"/>
      <c r="B473" s="133"/>
      <c r="C473" s="418"/>
      <c r="D473" s="419"/>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7"/>
      <c r="B474" s="133"/>
      <c r="C474" s="418"/>
      <c r="D474" s="419"/>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7"/>
      <c r="B475" s="133"/>
      <c r="C475" s="418"/>
      <c r="D475" s="419"/>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7"/>
      <c r="B476" s="133"/>
      <c r="C476" s="418"/>
      <c r="D476" s="419"/>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7"/>
      <c r="B477" s="133"/>
      <c r="C477" s="418"/>
      <c r="D477" s="419"/>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7"/>
      <c r="B478" s="133"/>
      <c r="C478" s="418"/>
      <c r="D478" s="419"/>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7"/>
      <c r="B479" s="133"/>
      <c r="C479" s="418"/>
      <c r="D479" s="419"/>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7"/>
      <c r="B480" s="133"/>
      <c r="C480" s="418"/>
      <c r="D480" s="419"/>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7"/>
      <c r="B481" s="133"/>
      <c r="C481" s="418"/>
      <c r="D481" s="419"/>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7"/>
      <c r="B482" s="133"/>
      <c r="C482" s="418"/>
      <c r="D482" s="419"/>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7"/>
      <c r="B483" s="133"/>
      <c r="C483" s="418"/>
      <c r="D483" s="419"/>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7"/>
      <c r="B484" s="133"/>
      <c r="C484" s="418"/>
      <c r="D484" s="419"/>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7"/>
      <c r="B485" s="133"/>
      <c r="C485" s="418"/>
      <c r="D485" s="419"/>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7"/>
      <c r="B486" s="133"/>
      <c r="C486" s="418"/>
      <c r="D486" s="419"/>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7"/>
      <c r="B487" s="133"/>
      <c r="C487" s="418"/>
      <c r="D487" s="419"/>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7"/>
      <c r="B488" s="133"/>
      <c r="C488" s="418"/>
      <c r="D488" s="419"/>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7"/>
      <c r="B489" s="133"/>
      <c r="C489" s="418"/>
      <c r="D489" s="419"/>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7"/>
      <c r="B490" s="133"/>
      <c r="C490" s="418"/>
      <c r="D490" s="419"/>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7"/>
      <c r="B491" s="133"/>
      <c r="C491" s="418"/>
      <c r="D491" s="419"/>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7"/>
      <c r="B492" s="133"/>
      <c r="C492" s="418"/>
      <c r="D492" s="419"/>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7"/>
      <c r="B493" s="133"/>
      <c r="C493" s="418"/>
      <c r="D493" s="419"/>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7"/>
      <c r="B494" s="133"/>
      <c r="C494" s="418"/>
      <c r="D494" s="419"/>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7"/>
      <c r="B495" s="133"/>
      <c r="C495" s="418"/>
      <c r="D495" s="419"/>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7"/>
      <c r="B496" s="133"/>
      <c r="C496" s="418"/>
      <c r="D496" s="419"/>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7"/>
      <c r="B497" s="133"/>
      <c r="C497" s="418"/>
      <c r="D497" s="419"/>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7"/>
      <c r="B498" s="133"/>
      <c r="C498" s="418"/>
      <c r="D498" s="419"/>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7"/>
      <c r="B499" s="133"/>
      <c r="C499" s="418"/>
      <c r="D499" s="419"/>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7"/>
      <c r="B500" s="133"/>
      <c r="C500" s="418"/>
      <c r="D500" s="419"/>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7"/>
      <c r="B501" s="133"/>
      <c r="C501" s="418"/>
      <c r="D501" s="419"/>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7"/>
      <c r="B502" s="133"/>
      <c r="C502" s="418"/>
      <c r="D502" s="419"/>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7"/>
      <c r="B503" s="133"/>
      <c r="C503" s="418"/>
      <c r="D503" s="419"/>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7"/>
      <c r="B504" s="133"/>
      <c r="C504" s="418"/>
      <c r="D504" s="419"/>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7"/>
      <c r="B505" s="133"/>
      <c r="C505" s="418"/>
      <c r="D505" s="419"/>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7"/>
      <c r="B506" s="133"/>
      <c r="C506" s="418"/>
      <c r="D506" s="419"/>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7"/>
      <c r="B507" s="133"/>
      <c r="C507" s="418"/>
      <c r="D507" s="419"/>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7"/>
      <c r="B508" s="133"/>
      <c r="C508" s="418"/>
      <c r="D508" s="419"/>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7"/>
      <c r="B509" s="133"/>
      <c r="C509" s="418"/>
      <c r="D509" s="419"/>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7"/>
      <c r="B510" s="133"/>
      <c r="C510" s="418"/>
      <c r="D510" s="419"/>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7"/>
      <c r="B511" s="133"/>
      <c r="C511" s="418"/>
      <c r="D511" s="419"/>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7"/>
      <c r="B512" s="133"/>
      <c r="C512" s="418"/>
      <c r="D512" s="419"/>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7"/>
      <c r="B513" s="133"/>
      <c r="C513" s="418"/>
      <c r="D513" s="419"/>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7"/>
      <c r="B514" s="133"/>
      <c r="C514" s="418"/>
      <c r="D514" s="419"/>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7"/>
      <c r="B515" s="133"/>
      <c r="C515" s="418"/>
      <c r="D515" s="419"/>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7"/>
      <c r="B516" s="133"/>
      <c r="C516" s="418"/>
      <c r="D516" s="419"/>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7"/>
      <c r="B517" s="133"/>
      <c r="C517" s="418"/>
      <c r="D517" s="419"/>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7"/>
      <c r="B518" s="133"/>
      <c r="C518" s="418"/>
      <c r="D518" s="419"/>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7"/>
      <c r="B519" s="133"/>
      <c r="C519" s="418"/>
      <c r="D519" s="419"/>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7"/>
      <c r="B520" s="133"/>
      <c r="C520" s="418"/>
      <c r="D520" s="419"/>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7"/>
      <c r="B521" s="133"/>
      <c r="C521" s="418"/>
      <c r="D521" s="419"/>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7"/>
      <c r="B522" s="133"/>
      <c r="C522" s="418"/>
      <c r="D522" s="419"/>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7"/>
      <c r="B523" s="133"/>
      <c r="C523" s="418"/>
      <c r="D523" s="419"/>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7"/>
      <c r="B524" s="133"/>
      <c r="C524" s="418"/>
      <c r="D524" s="419"/>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7"/>
      <c r="B525" s="133"/>
      <c r="C525" s="418"/>
      <c r="D525" s="419"/>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7"/>
      <c r="B526" s="133"/>
      <c r="C526" s="418"/>
      <c r="D526" s="419"/>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7"/>
      <c r="B527" s="133"/>
      <c r="C527" s="418"/>
      <c r="D527" s="419"/>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7"/>
      <c r="B528" s="133"/>
      <c r="C528" s="418"/>
      <c r="D528" s="419"/>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7"/>
      <c r="B529" s="133"/>
      <c r="C529" s="418"/>
      <c r="D529" s="419"/>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7"/>
      <c r="B530" s="133"/>
      <c r="C530" s="418"/>
      <c r="D530" s="419"/>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7"/>
      <c r="B531" s="133"/>
      <c r="C531" s="418"/>
      <c r="D531" s="419"/>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7"/>
      <c r="B532" s="133"/>
      <c r="C532" s="418"/>
      <c r="D532" s="419"/>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7"/>
      <c r="B533" s="133"/>
      <c r="C533" s="418"/>
      <c r="D533" s="419"/>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7"/>
      <c r="B534" s="133"/>
      <c r="C534" s="418"/>
      <c r="D534" s="419"/>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7"/>
      <c r="B535" s="133"/>
      <c r="C535" s="418"/>
      <c r="D535" s="419"/>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7"/>
      <c r="B536" s="133"/>
      <c r="C536" s="418"/>
      <c r="D536" s="419"/>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7"/>
      <c r="B537" s="133"/>
      <c r="C537" s="418"/>
      <c r="D537" s="419"/>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7"/>
      <c r="B538" s="133"/>
      <c r="C538" s="418"/>
      <c r="D538" s="419"/>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7"/>
      <c r="B539" s="133"/>
      <c r="C539" s="418"/>
      <c r="D539" s="419"/>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7"/>
      <c r="B540" s="133"/>
      <c r="C540" s="418"/>
      <c r="D540" s="419"/>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7"/>
      <c r="B541" s="133"/>
      <c r="C541" s="418"/>
      <c r="D541" s="419"/>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7"/>
      <c r="B542" s="133"/>
      <c r="C542" s="418"/>
      <c r="D542" s="419"/>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7"/>
      <c r="B543" s="133"/>
      <c r="C543" s="418"/>
      <c r="D543" s="419"/>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7"/>
      <c r="B544" s="133"/>
      <c r="C544" s="418"/>
      <c r="D544" s="419"/>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7"/>
      <c r="B545" s="133"/>
      <c r="C545" s="418"/>
      <c r="D545" s="419"/>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7"/>
      <c r="B546" s="133"/>
      <c r="C546" s="418"/>
      <c r="D546" s="419"/>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7"/>
      <c r="B547" s="133"/>
      <c r="C547" s="418"/>
      <c r="D547" s="419"/>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7"/>
      <c r="B548" s="133"/>
      <c r="C548" s="418"/>
      <c r="D548" s="419"/>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7"/>
      <c r="B549" s="133"/>
      <c r="C549" s="418"/>
      <c r="D549" s="419"/>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7"/>
      <c r="B550" s="133"/>
      <c r="C550" s="418"/>
      <c r="D550" s="419"/>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7"/>
      <c r="B551" s="133"/>
      <c r="C551" s="418"/>
      <c r="D551" s="419"/>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7"/>
      <c r="B552" s="133"/>
      <c r="C552" s="418"/>
      <c r="D552" s="419"/>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7"/>
      <c r="B553" s="133"/>
      <c r="C553" s="418"/>
      <c r="D553" s="419"/>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7"/>
      <c r="B554" s="133"/>
      <c r="C554" s="418"/>
      <c r="D554" s="419"/>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7"/>
      <c r="B555" s="133"/>
      <c r="C555" s="418"/>
      <c r="D555" s="419"/>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7"/>
      <c r="B556" s="133"/>
      <c r="C556" s="418"/>
      <c r="D556" s="419"/>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7"/>
      <c r="B557" s="133"/>
      <c r="C557" s="418"/>
      <c r="D557" s="419"/>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7"/>
      <c r="B558" s="133"/>
      <c r="C558" s="418"/>
      <c r="D558" s="419"/>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7"/>
      <c r="B559" s="133"/>
      <c r="C559" s="418"/>
      <c r="D559" s="419"/>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7"/>
      <c r="B560" s="133"/>
      <c r="C560" s="418"/>
      <c r="D560" s="419"/>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7"/>
      <c r="B561" s="133"/>
      <c r="C561" s="418"/>
      <c r="D561" s="419"/>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7"/>
      <c r="B562" s="133"/>
      <c r="C562" s="418"/>
      <c r="D562" s="419"/>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7"/>
      <c r="B563" s="133"/>
      <c r="C563" s="418"/>
      <c r="D563" s="419"/>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7"/>
      <c r="B564" s="133"/>
      <c r="C564" s="418"/>
      <c r="D564" s="419"/>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7"/>
      <c r="B565" s="133"/>
      <c r="C565" s="418"/>
      <c r="D565" s="419"/>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7"/>
      <c r="B566" s="133"/>
      <c r="C566" s="418"/>
      <c r="D566" s="419"/>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7"/>
      <c r="B567" s="133"/>
      <c r="C567" s="418"/>
      <c r="D567" s="419"/>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7"/>
      <c r="B568" s="133"/>
      <c r="C568" s="418"/>
      <c r="D568" s="419"/>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7"/>
      <c r="B569" s="133"/>
      <c r="C569" s="418"/>
      <c r="D569" s="419"/>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7"/>
      <c r="B570" s="133"/>
      <c r="C570" s="418"/>
      <c r="D570" s="419"/>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7"/>
      <c r="B571" s="133"/>
      <c r="C571" s="418"/>
      <c r="D571" s="419"/>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7"/>
      <c r="B572" s="133"/>
      <c r="C572" s="418"/>
      <c r="D572" s="419"/>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7"/>
      <c r="B573" s="133"/>
      <c r="C573" s="418"/>
      <c r="D573" s="419"/>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7"/>
      <c r="B574" s="133"/>
      <c r="C574" s="418"/>
      <c r="D574" s="419"/>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7"/>
      <c r="B575" s="133"/>
      <c r="C575" s="418"/>
      <c r="D575" s="419"/>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7"/>
      <c r="B576" s="133"/>
      <c r="C576" s="418"/>
      <c r="D576" s="419"/>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7"/>
      <c r="B577" s="133"/>
      <c r="C577" s="418"/>
      <c r="D577" s="419"/>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7"/>
      <c r="B578" s="133"/>
      <c r="C578" s="418"/>
      <c r="D578" s="419"/>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7"/>
      <c r="B579" s="133"/>
      <c r="C579" s="418"/>
      <c r="D579" s="419"/>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7"/>
      <c r="B580" s="133"/>
      <c r="C580" s="418"/>
      <c r="D580" s="419"/>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7"/>
      <c r="B581" s="133"/>
      <c r="C581" s="418"/>
      <c r="D581" s="419"/>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7"/>
      <c r="B582" s="133"/>
      <c r="C582" s="418"/>
      <c r="D582" s="419"/>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7"/>
      <c r="B583" s="133"/>
      <c r="C583" s="418"/>
      <c r="D583" s="419"/>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7"/>
      <c r="B584" s="133"/>
      <c r="C584" s="418"/>
      <c r="D584" s="419"/>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7"/>
      <c r="B585" s="133"/>
      <c r="C585" s="418"/>
      <c r="D585" s="419"/>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7"/>
      <c r="B586" s="133"/>
      <c r="C586" s="418"/>
      <c r="D586" s="419"/>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7"/>
      <c r="B587" s="133"/>
      <c r="C587" s="418"/>
      <c r="D587" s="419"/>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7"/>
      <c r="B588" s="133"/>
      <c r="C588" s="418"/>
      <c r="D588" s="419"/>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7"/>
      <c r="B589" s="133"/>
      <c r="C589" s="418"/>
      <c r="D589" s="419"/>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7"/>
      <c r="B590" s="133"/>
      <c r="C590" s="418"/>
      <c r="D590" s="419"/>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7"/>
      <c r="B591" s="133"/>
      <c r="C591" s="418"/>
      <c r="D591" s="419"/>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7"/>
      <c r="B592" s="133"/>
      <c r="C592" s="418"/>
      <c r="D592" s="419"/>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7"/>
      <c r="B593" s="133"/>
      <c r="C593" s="418"/>
      <c r="D593" s="419"/>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7"/>
      <c r="B594" s="133"/>
      <c r="C594" s="418"/>
      <c r="D594" s="419"/>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7"/>
      <c r="B595" s="133"/>
      <c r="C595" s="418"/>
      <c r="D595" s="419"/>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7"/>
      <c r="B596" s="133"/>
      <c r="C596" s="418"/>
      <c r="D596" s="419"/>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7"/>
      <c r="B597" s="133"/>
      <c r="C597" s="418"/>
      <c r="D597" s="419"/>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7"/>
      <c r="B598" s="133"/>
      <c r="C598" s="418"/>
      <c r="D598" s="419"/>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7"/>
      <c r="B599" s="133"/>
      <c r="C599" s="418"/>
      <c r="D599" s="419"/>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7"/>
      <c r="B600" s="133"/>
      <c r="C600" s="418"/>
      <c r="D600" s="419"/>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7"/>
      <c r="B601" s="133"/>
      <c r="C601" s="418"/>
      <c r="D601" s="419"/>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7"/>
      <c r="B602" s="133"/>
      <c r="C602" s="418"/>
      <c r="D602" s="419"/>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7"/>
      <c r="B603" s="133"/>
      <c r="C603" s="418"/>
      <c r="D603" s="419"/>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7"/>
      <c r="B604" s="133"/>
      <c r="C604" s="418"/>
      <c r="D604" s="419"/>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7"/>
      <c r="B605" s="133"/>
      <c r="C605" s="418"/>
      <c r="D605" s="419"/>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7"/>
      <c r="B606" s="133"/>
      <c r="C606" s="418"/>
      <c r="D606" s="419"/>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7"/>
      <c r="B607" s="133"/>
      <c r="C607" s="418"/>
      <c r="D607" s="419"/>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7"/>
      <c r="B608" s="133"/>
      <c r="C608" s="418"/>
      <c r="D608" s="419"/>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7"/>
      <c r="B609" s="133"/>
      <c r="C609" s="418"/>
      <c r="D609" s="419"/>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7"/>
      <c r="B610" s="133"/>
      <c r="C610" s="418"/>
      <c r="D610" s="419"/>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7"/>
      <c r="B611" s="133"/>
      <c r="C611" s="418"/>
      <c r="D611" s="419"/>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7"/>
      <c r="B612" s="133"/>
      <c r="C612" s="418"/>
      <c r="D612" s="419"/>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7"/>
      <c r="B613" s="133"/>
      <c r="C613" s="418"/>
      <c r="D613" s="419"/>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7"/>
      <c r="B614" s="133"/>
      <c r="C614" s="418"/>
      <c r="D614" s="419"/>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7"/>
      <c r="B615" s="133"/>
      <c r="C615" s="418"/>
      <c r="D615" s="419"/>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7"/>
      <c r="B616" s="133"/>
      <c r="C616" s="418"/>
      <c r="D616" s="419"/>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7"/>
      <c r="B617" s="133"/>
      <c r="C617" s="418"/>
      <c r="D617" s="419"/>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7"/>
      <c r="B618" s="133"/>
      <c r="C618" s="418"/>
      <c r="D618" s="419"/>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7"/>
      <c r="B619" s="133"/>
      <c r="C619" s="418"/>
      <c r="D619" s="419"/>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7"/>
      <c r="B620" s="133"/>
      <c r="C620" s="418"/>
      <c r="D620" s="419"/>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7"/>
      <c r="B621" s="133"/>
      <c r="C621" s="418"/>
      <c r="D621" s="419"/>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7"/>
      <c r="B622" s="133"/>
      <c r="C622" s="418"/>
      <c r="D622" s="419"/>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7"/>
      <c r="B623" s="133"/>
      <c r="C623" s="418"/>
      <c r="D623" s="419"/>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7"/>
      <c r="B624" s="133"/>
      <c r="C624" s="418"/>
      <c r="D624" s="419"/>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7"/>
      <c r="B625" s="133"/>
      <c r="C625" s="418"/>
      <c r="D625" s="419"/>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7"/>
      <c r="B626" s="133"/>
      <c r="C626" s="418"/>
      <c r="D626" s="419"/>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7"/>
      <c r="B627" s="133"/>
      <c r="C627" s="418"/>
      <c r="D627" s="419"/>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7"/>
      <c r="B628" s="133"/>
      <c r="C628" s="418"/>
      <c r="D628" s="419"/>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7"/>
      <c r="B629" s="133"/>
      <c r="C629" s="418"/>
      <c r="D629" s="419"/>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7"/>
      <c r="B630" s="133"/>
      <c r="C630" s="418"/>
      <c r="D630" s="419"/>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7"/>
      <c r="B631" s="133"/>
      <c r="C631" s="418"/>
      <c r="D631" s="419"/>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7"/>
      <c r="B632" s="133"/>
      <c r="C632" s="418"/>
      <c r="D632" s="419"/>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7"/>
      <c r="B633" s="133"/>
      <c r="C633" s="418"/>
      <c r="D633" s="419"/>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7"/>
      <c r="B634" s="133"/>
      <c r="C634" s="418"/>
      <c r="D634" s="419"/>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7"/>
      <c r="B635" s="133"/>
      <c r="C635" s="418"/>
      <c r="D635" s="419"/>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7"/>
      <c r="B636" s="133"/>
      <c r="C636" s="418"/>
      <c r="D636" s="419"/>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7"/>
      <c r="B637" s="133"/>
      <c r="C637" s="418"/>
      <c r="D637" s="419"/>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7"/>
      <c r="B638" s="133"/>
      <c r="C638" s="418"/>
      <c r="D638" s="419"/>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7"/>
      <c r="B639" s="133"/>
      <c r="C639" s="418"/>
      <c r="D639" s="419"/>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7"/>
      <c r="B640" s="133"/>
      <c r="C640" s="418"/>
      <c r="D640" s="419"/>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7"/>
      <c r="B641" s="133"/>
      <c r="C641" s="418"/>
      <c r="D641" s="419"/>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7"/>
      <c r="B642" s="133"/>
      <c r="C642" s="418"/>
      <c r="D642" s="419"/>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7"/>
      <c r="B643" s="133"/>
      <c r="C643" s="418"/>
      <c r="D643" s="419"/>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7"/>
      <c r="B644" s="133"/>
      <c r="C644" s="418"/>
      <c r="D644" s="419"/>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7"/>
      <c r="B645" s="133"/>
      <c r="C645" s="418"/>
      <c r="D645" s="419"/>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7"/>
      <c r="B646" s="133"/>
      <c r="C646" s="418"/>
      <c r="D646" s="419"/>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7"/>
      <c r="B647" s="133"/>
      <c r="C647" s="418"/>
      <c r="D647" s="419"/>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7"/>
      <c r="B648" s="133"/>
      <c r="C648" s="418"/>
      <c r="D648" s="419"/>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7"/>
      <c r="B649" s="133"/>
      <c r="C649" s="418"/>
      <c r="D649" s="419"/>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7"/>
      <c r="B650" s="133"/>
      <c r="C650" s="418"/>
      <c r="D650" s="419"/>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7"/>
      <c r="B651" s="133"/>
      <c r="C651" s="418"/>
      <c r="D651" s="419"/>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7"/>
      <c r="B652" s="133"/>
      <c r="C652" s="418"/>
      <c r="D652" s="419"/>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7"/>
      <c r="B653" s="133"/>
      <c r="C653" s="418"/>
      <c r="D653" s="419"/>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7"/>
      <c r="B654" s="133"/>
      <c r="C654" s="418"/>
      <c r="D654" s="419"/>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7"/>
      <c r="B655" s="133"/>
      <c r="C655" s="418"/>
      <c r="D655" s="419"/>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7"/>
      <c r="B656" s="133"/>
      <c r="C656" s="418"/>
      <c r="D656" s="419"/>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7"/>
      <c r="B657" s="133"/>
      <c r="C657" s="418"/>
      <c r="D657" s="419"/>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7"/>
      <c r="B658" s="133"/>
      <c r="C658" s="418"/>
      <c r="D658" s="419"/>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7"/>
      <c r="B659" s="133"/>
      <c r="C659" s="418"/>
      <c r="D659" s="419"/>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7"/>
      <c r="B660" s="133"/>
      <c r="C660" s="418"/>
      <c r="D660" s="419"/>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7"/>
      <c r="B661" s="133"/>
      <c r="C661" s="418"/>
      <c r="D661" s="419"/>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7"/>
      <c r="B662" s="133"/>
      <c r="C662" s="418"/>
      <c r="D662" s="419"/>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7"/>
      <c r="B663" s="133"/>
      <c r="C663" s="418"/>
      <c r="D663" s="419"/>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7"/>
      <c r="B664" s="133"/>
      <c r="C664" s="418"/>
      <c r="D664" s="419"/>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7"/>
      <c r="B665" s="133"/>
      <c r="C665" s="418"/>
      <c r="D665" s="419"/>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7"/>
      <c r="B666" s="133"/>
      <c r="C666" s="418"/>
      <c r="D666" s="419"/>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7"/>
      <c r="B667" s="133"/>
      <c r="C667" s="418"/>
      <c r="D667" s="419"/>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7"/>
      <c r="B668" s="133"/>
      <c r="C668" s="418"/>
      <c r="D668" s="419"/>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7"/>
      <c r="B669" s="133"/>
      <c r="C669" s="418"/>
      <c r="D669" s="419"/>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7"/>
      <c r="B670" s="133"/>
      <c r="C670" s="418"/>
      <c r="D670" s="419"/>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7"/>
      <c r="B671" s="133"/>
      <c r="C671" s="418"/>
      <c r="D671" s="419"/>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7"/>
      <c r="B672" s="133"/>
      <c r="C672" s="418"/>
      <c r="D672" s="419"/>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7"/>
      <c r="B673" s="133"/>
      <c r="C673" s="418"/>
      <c r="D673" s="419"/>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7"/>
      <c r="B674" s="133"/>
      <c r="C674" s="418"/>
      <c r="D674" s="419"/>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7"/>
      <c r="B675" s="133"/>
      <c r="C675" s="418"/>
      <c r="D675" s="419"/>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7"/>
      <c r="B676" s="133"/>
      <c r="C676" s="418"/>
      <c r="D676" s="419"/>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7"/>
      <c r="B677" s="133"/>
      <c r="C677" s="418"/>
      <c r="D677" s="419"/>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7"/>
      <c r="B678" s="133"/>
      <c r="C678" s="418"/>
      <c r="D678" s="419"/>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7"/>
      <c r="B679" s="133"/>
      <c r="C679" s="418"/>
      <c r="D679" s="419"/>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7"/>
      <c r="B680" s="133"/>
      <c r="C680" s="418"/>
      <c r="D680" s="419"/>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7"/>
      <c r="B681" s="133"/>
      <c r="C681" s="418"/>
      <c r="D681" s="419"/>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7"/>
      <c r="B682" s="133"/>
      <c r="C682" s="418"/>
      <c r="D682" s="419"/>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7"/>
      <c r="B683" s="133"/>
      <c r="C683" s="418"/>
      <c r="D683" s="419"/>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7"/>
      <c r="B684" s="133"/>
      <c r="C684" s="418"/>
      <c r="D684" s="419"/>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7"/>
      <c r="B685" s="133"/>
      <c r="C685" s="418"/>
      <c r="D685" s="419"/>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7"/>
      <c r="B686" s="133"/>
      <c r="C686" s="418"/>
      <c r="D686" s="419"/>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7"/>
      <c r="B687" s="133"/>
      <c r="C687" s="418"/>
      <c r="D687" s="419"/>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7"/>
      <c r="B688" s="133"/>
      <c r="C688" s="418"/>
      <c r="D688" s="419"/>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7"/>
      <c r="B689" s="133"/>
      <c r="C689" s="418"/>
      <c r="D689" s="419"/>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7"/>
      <c r="B690" s="133"/>
      <c r="C690" s="418"/>
      <c r="D690" s="419"/>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7"/>
      <c r="B691" s="133"/>
      <c r="C691" s="418"/>
      <c r="D691" s="419"/>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7"/>
      <c r="B692" s="133"/>
      <c r="C692" s="418"/>
      <c r="D692" s="419"/>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7"/>
      <c r="B693" s="133"/>
      <c r="C693" s="418"/>
      <c r="D693" s="419"/>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7"/>
      <c r="B694" s="133"/>
      <c r="C694" s="418"/>
      <c r="D694" s="419"/>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7"/>
      <c r="B695" s="133"/>
      <c r="C695" s="418"/>
      <c r="D695" s="419"/>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7"/>
      <c r="B696" s="133"/>
      <c r="C696" s="418"/>
      <c r="D696" s="419"/>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7"/>
      <c r="B697" s="133"/>
      <c r="C697" s="418"/>
      <c r="D697" s="419"/>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7"/>
      <c r="B698" s="133"/>
      <c r="C698" s="418"/>
      <c r="D698" s="419"/>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7"/>
      <c r="B699" s="133"/>
      <c r="C699" s="418"/>
      <c r="D699" s="419"/>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7"/>
      <c r="B700" s="133"/>
      <c r="C700" s="418"/>
      <c r="D700" s="419"/>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7"/>
      <c r="B701" s="133"/>
      <c r="C701" s="418"/>
      <c r="D701" s="419"/>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7"/>
      <c r="B702" s="133"/>
      <c r="C702" s="418"/>
      <c r="D702" s="419"/>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7"/>
      <c r="B703" s="133"/>
      <c r="C703" s="418"/>
      <c r="D703" s="419"/>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7"/>
      <c r="B704" s="133"/>
      <c r="C704" s="418"/>
      <c r="D704" s="419"/>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7"/>
      <c r="B705" s="133"/>
      <c r="C705" s="418"/>
      <c r="D705" s="419"/>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7"/>
      <c r="B706" s="133"/>
      <c r="C706" s="418"/>
      <c r="D706" s="419"/>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7"/>
      <c r="B707" s="133"/>
      <c r="C707" s="418"/>
      <c r="D707" s="419"/>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7"/>
      <c r="B708" s="133"/>
      <c r="C708" s="418"/>
      <c r="D708" s="419"/>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7"/>
      <c r="B709" s="133"/>
      <c r="C709" s="418"/>
      <c r="D709" s="419"/>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7"/>
      <c r="B710" s="133"/>
      <c r="C710" s="418"/>
      <c r="D710" s="419"/>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7"/>
      <c r="B711" s="133"/>
      <c r="C711" s="418"/>
      <c r="D711" s="419"/>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7"/>
      <c r="B712" s="133"/>
      <c r="C712" s="418"/>
      <c r="D712" s="419"/>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7"/>
      <c r="B713" s="133"/>
      <c r="C713" s="418"/>
      <c r="D713" s="419"/>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7"/>
      <c r="B714" s="133"/>
      <c r="C714" s="418"/>
      <c r="D714" s="419"/>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7"/>
      <c r="B715" s="133"/>
      <c r="C715" s="418"/>
      <c r="D715" s="419"/>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7"/>
      <c r="B716" s="133"/>
      <c r="C716" s="418"/>
      <c r="D716" s="419"/>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7"/>
      <c r="B717" s="133"/>
      <c r="C717" s="418"/>
      <c r="D717" s="419"/>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7"/>
      <c r="B718" s="133"/>
      <c r="C718" s="418"/>
      <c r="D718" s="419"/>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7"/>
      <c r="B719" s="133"/>
      <c r="C719" s="418"/>
      <c r="D719" s="419"/>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7"/>
      <c r="B720" s="133"/>
      <c r="C720" s="418"/>
      <c r="D720" s="419"/>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7"/>
      <c r="B721" s="133"/>
      <c r="C721" s="418"/>
      <c r="D721" s="419"/>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7"/>
      <c r="B722" s="133"/>
      <c r="C722" s="418"/>
      <c r="D722" s="419"/>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7"/>
      <c r="B723" s="133"/>
      <c r="C723" s="418"/>
      <c r="D723" s="419"/>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7"/>
      <c r="B724" s="133"/>
      <c r="C724" s="418"/>
      <c r="D724" s="419"/>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7"/>
      <c r="B725" s="133"/>
      <c r="C725" s="418"/>
      <c r="D725" s="419"/>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7"/>
      <c r="B726" s="133"/>
      <c r="C726" s="418"/>
      <c r="D726" s="419"/>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7"/>
      <c r="B727" s="133"/>
      <c r="C727" s="418"/>
      <c r="D727" s="419"/>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7"/>
      <c r="B728" s="133"/>
      <c r="C728" s="418"/>
      <c r="D728" s="419"/>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7"/>
      <c r="B729" s="133"/>
      <c r="C729" s="418"/>
      <c r="D729" s="419"/>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7"/>
      <c r="B730" s="133"/>
      <c r="C730" s="418"/>
      <c r="D730" s="419"/>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7"/>
      <c r="B731" s="133"/>
      <c r="C731" s="418"/>
      <c r="D731" s="419"/>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7"/>
      <c r="B732" s="133"/>
      <c r="C732" s="418"/>
      <c r="D732" s="419"/>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7"/>
      <c r="B733" s="133"/>
      <c r="C733" s="418"/>
      <c r="D733" s="419"/>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7"/>
      <c r="B734" s="133"/>
      <c r="C734" s="418"/>
      <c r="D734" s="419"/>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7"/>
      <c r="B735" s="133"/>
      <c r="C735" s="418"/>
      <c r="D735" s="419"/>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7"/>
      <c r="B736" s="133"/>
      <c r="C736" s="418"/>
      <c r="D736" s="419"/>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7"/>
      <c r="B737" s="133"/>
      <c r="C737" s="418"/>
      <c r="D737" s="419"/>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7"/>
      <c r="B738" s="133"/>
      <c r="C738" s="418"/>
      <c r="D738" s="419"/>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7"/>
      <c r="B739" s="133"/>
      <c r="C739" s="418"/>
      <c r="D739" s="419"/>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7"/>
      <c r="B740" s="133"/>
      <c r="C740" s="418"/>
      <c r="D740" s="419"/>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7"/>
      <c r="B741" s="133"/>
      <c r="C741" s="418"/>
      <c r="D741" s="419"/>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7"/>
      <c r="B742" s="133"/>
      <c r="C742" s="418"/>
      <c r="D742" s="419"/>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7"/>
      <c r="B743" s="133"/>
      <c r="C743" s="418"/>
      <c r="D743" s="419"/>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7"/>
      <c r="B744" s="133"/>
      <c r="C744" s="418"/>
      <c r="D744" s="419"/>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7"/>
      <c r="B745" s="133"/>
      <c r="C745" s="418"/>
      <c r="D745" s="419"/>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7"/>
      <c r="B746" s="133"/>
      <c r="C746" s="418"/>
      <c r="D746" s="419"/>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7"/>
      <c r="B747" s="133"/>
      <c r="C747" s="418"/>
      <c r="D747" s="419"/>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7"/>
      <c r="B748" s="133"/>
      <c r="C748" s="418"/>
      <c r="D748" s="419"/>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7"/>
      <c r="B749" s="133"/>
      <c r="C749" s="418"/>
      <c r="D749" s="419"/>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7"/>
      <c r="B750" s="133"/>
      <c r="C750" s="418"/>
      <c r="D750" s="419"/>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7"/>
      <c r="B751" s="133"/>
      <c r="C751" s="418"/>
      <c r="D751" s="419"/>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7"/>
      <c r="B752" s="133"/>
      <c r="C752" s="418"/>
      <c r="D752" s="419"/>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7"/>
      <c r="B753" s="133"/>
      <c r="C753" s="418"/>
      <c r="D753" s="419"/>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7"/>
      <c r="B754" s="133"/>
      <c r="C754" s="418"/>
      <c r="D754" s="419"/>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7"/>
      <c r="B755" s="133"/>
      <c r="C755" s="418"/>
      <c r="D755" s="419"/>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7"/>
      <c r="B756" s="133"/>
      <c r="C756" s="418"/>
      <c r="D756" s="419"/>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7"/>
      <c r="B757" s="133"/>
      <c r="C757" s="418"/>
      <c r="D757" s="419"/>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7"/>
      <c r="B758" s="133"/>
      <c r="C758" s="418"/>
      <c r="D758" s="419"/>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7"/>
      <c r="B759" s="133"/>
      <c r="C759" s="418"/>
      <c r="D759" s="419"/>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7"/>
      <c r="B760" s="133"/>
      <c r="C760" s="418"/>
      <c r="D760" s="419"/>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7"/>
      <c r="B761" s="133"/>
      <c r="C761" s="418"/>
      <c r="D761" s="419"/>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7"/>
      <c r="B762" s="133"/>
      <c r="C762" s="418"/>
      <c r="D762" s="419"/>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7"/>
      <c r="B763" s="133"/>
      <c r="C763" s="418"/>
      <c r="D763" s="419"/>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7"/>
      <c r="B764" s="133"/>
      <c r="C764" s="418"/>
      <c r="D764" s="419"/>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7"/>
      <c r="B765" s="133"/>
      <c r="C765" s="418"/>
      <c r="D765" s="419"/>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7"/>
      <c r="B766" s="133"/>
      <c r="C766" s="418"/>
      <c r="D766" s="419"/>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7"/>
      <c r="B767" s="133"/>
      <c r="C767" s="418"/>
      <c r="D767" s="419"/>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7"/>
      <c r="B768" s="133"/>
      <c r="C768" s="418"/>
      <c r="D768" s="419"/>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7"/>
      <c r="B769" s="133"/>
      <c r="C769" s="418"/>
      <c r="D769" s="419"/>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7"/>
      <c r="B770" s="133"/>
      <c r="C770" s="418"/>
      <c r="D770" s="419"/>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7"/>
      <c r="B771" s="133"/>
      <c r="C771" s="418"/>
      <c r="D771" s="419"/>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7"/>
      <c r="B772" s="133"/>
      <c r="C772" s="418"/>
      <c r="D772" s="419"/>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7"/>
      <c r="B773" s="133"/>
      <c r="C773" s="418"/>
      <c r="D773" s="419"/>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7"/>
      <c r="B774" s="133"/>
      <c r="C774" s="418"/>
      <c r="D774" s="419"/>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7"/>
      <c r="B775" s="133"/>
      <c r="C775" s="418"/>
      <c r="D775" s="419"/>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7"/>
      <c r="B776" s="133"/>
      <c r="C776" s="418"/>
      <c r="D776" s="419"/>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7"/>
      <c r="B777" s="133"/>
      <c r="C777" s="418"/>
      <c r="D777" s="419"/>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7"/>
      <c r="B778" s="133"/>
      <c r="C778" s="418"/>
      <c r="D778" s="419"/>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7"/>
      <c r="B779" s="133"/>
      <c r="C779" s="418"/>
      <c r="D779" s="419"/>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7"/>
      <c r="B780" s="133"/>
      <c r="C780" s="418"/>
      <c r="D780" s="419"/>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7"/>
      <c r="B781" s="133"/>
      <c r="C781" s="418"/>
      <c r="D781" s="419"/>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7"/>
      <c r="B782" s="133"/>
      <c r="C782" s="418"/>
      <c r="D782" s="419"/>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7"/>
      <c r="B783" s="133"/>
      <c r="C783" s="418"/>
      <c r="D783" s="419"/>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7"/>
      <c r="B784" s="133"/>
      <c r="C784" s="418"/>
      <c r="D784" s="419"/>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7"/>
      <c r="B785" s="133"/>
      <c r="C785" s="418"/>
      <c r="D785" s="419"/>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7"/>
      <c r="B786" s="133"/>
      <c r="C786" s="418"/>
      <c r="D786" s="419"/>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7"/>
      <c r="B787" s="133"/>
      <c r="C787" s="418"/>
      <c r="D787" s="419"/>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7"/>
      <c r="B788" s="133"/>
      <c r="C788" s="418"/>
      <c r="D788" s="419"/>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7"/>
      <c r="B789" s="133"/>
      <c r="C789" s="418"/>
      <c r="D789" s="419"/>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7"/>
      <c r="B790" s="133"/>
      <c r="C790" s="418"/>
      <c r="D790" s="419"/>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7"/>
      <c r="B791" s="133"/>
      <c r="C791" s="418"/>
      <c r="D791" s="419"/>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7"/>
      <c r="B792" s="133"/>
      <c r="C792" s="418"/>
      <c r="D792" s="419"/>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7"/>
      <c r="B793" s="133"/>
      <c r="C793" s="418"/>
      <c r="D793" s="419"/>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7"/>
      <c r="B794" s="133"/>
      <c r="C794" s="418"/>
      <c r="D794" s="419"/>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7"/>
      <c r="B795" s="133"/>
      <c r="C795" s="418"/>
      <c r="D795" s="419"/>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7"/>
      <c r="B796" s="133"/>
      <c r="C796" s="418"/>
      <c r="D796" s="419"/>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7"/>
      <c r="B797" s="133"/>
      <c r="C797" s="418"/>
      <c r="D797" s="419"/>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7"/>
      <c r="B798" s="133"/>
      <c r="C798" s="418"/>
      <c r="D798" s="419"/>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7"/>
      <c r="B799" s="133"/>
      <c r="C799" s="418"/>
      <c r="D799" s="419"/>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7"/>
      <c r="B800" s="133"/>
      <c r="C800" s="418"/>
      <c r="D800" s="419"/>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7"/>
      <c r="B801" s="133"/>
      <c r="C801" s="418"/>
      <c r="D801" s="419"/>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7"/>
      <c r="B802" s="133"/>
      <c r="C802" s="418"/>
      <c r="D802" s="419"/>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7"/>
      <c r="B803" s="133"/>
      <c r="C803" s="418"/>
      <c r="D803" s="419"/>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7"/>
      <c r="B804" s="133"/>
      <c r="C804" s="418"/>
      <c r="D804" s="419"/>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7"/>
      <c r="B805" s="133"/>
      <c r="C805" s="418"/>
      <c r="D805" s="419"/>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7"/>
      <c r="B806" s="133"/>
      <c r="C806" s="418"/>
      <c r="D806" s="419"/>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7"/>
      <c r="B807" s="133"/>
      <c r="C807" s="418"/>
      <c r="D807" s="419"/>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7"/>
      <c r="B808" s="133"/>
      <c r="C808" s="418"/>
      <c r="D808" s="419"/>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7"/>
      <c r="B809" s="133"/>
      <c r="C809" s="418"/>
      <c r="D809" s="419"/>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7"/>
      <c r="B810" s="133"/>
      <c r="C810" s="418"/>
      <c r="D810" s="419"/>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7"/>
      <c r="B811" s="133"/>
      <c r="C811" s="418"/>
      <c r="D811" s="419"/>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7"/>
      <c r="B812" s="133"/>
      <c r="C812" s="418"/>
      <c r="D812" s="419"/>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7"/>
      <c r="B813" s="133"/>
      <c r="C813" s="418"/>
      <c r="D813" s="419"/>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7"/>
      <c r="B814" s="133"/>
      <c r="C814" s="418"/>
      <c r="D814" s="419"/>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7"/>
      <c r="B815" s="133"/>
      <c r="C815" s="418"/>
      <c r="D815" s="419"/>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7"/>
      <c r="B816" s="133"/>
      <c r="C816" s="418"/>
      <c r="D816" s="419"/>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7"/>
      <c r="B817" s="133"/>
      <c r="C817" s="418"/>
      <c r="D817" s="419"/>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7"/>
      <c r="B818" s="133"/>
      <c r="C818" s="418"/>
      <c r="D818" s="419"/>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7"/>
      <c r="B819" s="133"/>
      <c r="C819" s="418"/>
      <c r="D819" s="419"/>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7"/>
      <c r="B820" s="133"/>
      <c r="C820" s="418"/>
      <c r="D820" s="419"/>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7"/>
      <c r="B821" s="133"/>
      <c r="C821" s="418"/>
      <c r="D821" s="419"/>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7"/>
      <c r="B822" s="133"/>
      <c r="C822" s="418"/>
      <c r="D822" s="419"/>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7"/>
      <c r="B823" s="133"/>
      <c r="C823" s="418"/>
      <c r="D823" s="419"/>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7"/>
      <c r="B824" s="133"/>
      <c r="C824" s="418"/>
      <c r="D824" s="419"/>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7"/>
      <c r="B825" s="133"/>
      <c r="C825" s="418"/>
      <c r="D825" s="419"/>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7"/>
      <c r="B826" s="133"/>
      <c r="C826" s="418"/>
      <c r="D826" s="419"/>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7"/>
      <c r="B827" s="133"/>
      <c r="C827" s="418"/>
      <c r="D827" s="419"/>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7"/>
      <c r="B828" s="133"/>
      <c r="C828" s="418"/>
      <c r="D828" s="419"/>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7"/>
      <c r="B829" s="133"/>
      <c r="C829" s="418"/>
      <c r="D829" s="419"/>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7"/>
      <c r="B830" s="133"/>
      <c r="C830" s="418"/>
      <c r="D830" s="419"/>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7"/>
      <c r="B831" s="133"/>
      <c r="C831" s="418"/>
      <c r="D831" s="419"/>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7"/>
      <c r="B832" s="133"/>
      <c r="C832" s="418"/>
      <c r="D832" s="419"/>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7"/>
      <c r="B833" s="133"/>
      <c r="C833" s="418"/>
      <c r="D833" s="419"/>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7"/>
      <c r="B834" s="133"/>
      <c r="C834" s="418"/>
      <c r="D834" s="419"/>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7"/>
      <c r="B835" s="133"/>
      <c r="C835" s="418"/>
      <c r="D835" s="419"/>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7"/>
      <c r="B836" s="133"/>
      <c r="C836" s="418"/>
      <c r="D836" s="419"/>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7"/>
      <c r="B837" s="133"/>
      <c r="C837" s="418"/>
      <c r="D837" s="419"/>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7"/>
      <c r="B838" s="133"/>
      <c r="C838" s="418"/>
      <c r="D838" s="419"/>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7"/>
      <c r="B839" s="133"/>
      <c r="C839" s="418"/>
      <c r="D839" s="419"/>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7"/>
      <c r="B840" s="133"/>
      <c r="C840" s="418"/>
      <c r="D840" s="419"/>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7"/>
      <c r="B841" s="133"/>
      <c r="C841" s="418"/>
      <c r="D841" s="419"/>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7"/>
      <c r="B842" s="133"/>
      <c r="C842" s="418"/>
      <c r="D842" s="419"/>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7"/>
      <c r="B843" s="133"/>
      <c r="C843" s="418"/>
      <c r="D843" s="419"/>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7"/>
      <c r="B844" s="133"/>
      <c r="C844" s="418"/>
      <c r="D844" s="419"/>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7"/>
      <c r="B845" s="133"/>
      <c r="C845" s="418"/>
      <c r="D845" s="419"/>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7"/>
      <c r="B846" s="133"/>
      <c r="C846" s="418"/>
      <c r="D846" s="419"/>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7"/>
      <c r="B847" s="133"/>
      <c r="C847" s="418"/>
      <c r="D847" s="419"/>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7"/>
      <c r="B848" s="133"/>
      <c r="C848" s="418"/>
      <c r="D848" s="419"/>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7"/>
      <c r="B849" s="133"/>
      <c r="C849" s="418"/>
      <c r="D849" s="419"/>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7"/>
      <c r="B850" s="133"/>
      <c r="C850" s="418"/>
      <c r="D850" s="419"/>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7"/>
      <c r="B851" s="133"/>
      <c r="C851" s="418"/>
      <c r="D851" s="419"/>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7"/>
      <c r="B852" s="133"/>
      <c r="C852" s="418"/>
      <c r="D852" s="419"/>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7"/>
      <c r="B853" s="133"/>
      <c r="C853" s="418"/>
      <c r="D853" s="419"/>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7"/>
      <c r="B854" s="133"/>
      <c r="C854" s="418"/>
      <c r="D854" s="419"/>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7"/>
      <c r="B855" s="133"/>
      <c r="C855" s="418"/>
      <c r="D855" s="419"/>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7"/>
      <c r="B856" s="133"/>
      <c r="C856" s="418"/>
      <c r="D856" s="419"/>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7"/>
      <c r="B857" s="133"/>
      <c r="C857" s="418"/>
      <c r="D857" s="419"/>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7"/>
      <c r="B858" s="133"/>
      <c r="C858" s="418"/>
      <c r="D858" s="419"/>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7"/>
      <c r="B859" s="133"/>
      <c r="C859" s="418"/>
      <c r="D859" s="419"/>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7"/>
      <c r="B860" s="133"/>
      <c r="C860" s="418"/>
      <c r="D860" s="419"/>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7"/>
      <c r="B861" s="133"/>
      <c r="C861" s="418"/>
      <c r="D861" s="419"/>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7"/>
      <c r="B862" s="133"/>
      <c r="C862" s="418"/>
      <c r="D862" s="419"/>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7"/>
      <c r="B863" s="133"/>
      <c r="C863" s="418"/>
      <c r="D863" s="419"/>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7"/>
      <c r="B864" s="133"/>
      <c r="C864" s="418"/>
      <c r="D864" s="419"/>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7"/>
      <c r="B865" s="133"/>
      <c r="C865" s="418"/>
      <c r="D865" s="419"/>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7"/>
      <c r="B866" s="133"/>
      <c r="C866" s="418"/>
      <c r="D866" s="419"/>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7"/>
      <c r="B867" s="133"/>
      <c r="C867" s="418"/>
      <c r="D867" s="419"/>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7"/>
      <c r="B868" s="133"/>
      <c r="C868" s="418"/>
      <c r="D868" s="419"/>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7"/>
      <c r="B869" s="133"/>
      <c r="C869" s="418"/>
      <c r="D869" s="419"/>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7"/>
      <c r="B870" s="133"/>
      <c r="C870" s="418"/>
      <c r="D870" s="419"/>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7"/>
      <c r="B871" s="133"/>
      <c r="C871" s="418"/>
      <c r="D871" s="419"/>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7"/>
      <c r="B872" s="133"/>
      <c r="C872" s="418"/>
      <c r="D872" s="419"/>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7"/>
      <c r="B873" s="133"/>
      <c r="C873" s="418"/>
      <c r="D873" s="419"/>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7"/>
      <c r="B874" s="133"/>
      <c r="C874" s="418"/>
      <c r="D874" s="419"/>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7"/>
      <c r="B875" s="133"/>
      <c r="C875" s="418"/>
      <c r="D875" s="419"/>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7"/>
      <c r="B876" s="133"/>
      <c r="C876" s="418"/>
      <c r="D876" s="419"/>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7"/>
      <c r="B877" s="133"/>
      <c r="C877" s="418"/>
      <c r="D877" s="419"/>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7"/>
      <c r="B878" s="133"/>
      <c r="C878" s="418"/>
      <c r="D878" s="419"/>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7"/>
      <c r="B879" s="133"/>
      <c r="C879" s="418"/>
      <c r="D879" s="419"/>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7"/>
      <c r="B880" s="133"/>
      <c r="C880" s="418"/>
      <c r="D880" s="419"/>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7"/>
      <c r="B881" s="133"/>
      <c r="C881" s="418"/>
      <c r="D881" s="419"/>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7"/>
      <c r="B882" s="133"/>
      <c r="C882" s="418"/>
      <c r="D882" s="419"/>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7"/>
      <c r="B883" s="133"/>
      <c r="C883" s="418"/>
      <c r="D883" s="419"/>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7"/>
      <c r="B884" s="133"/>
      <c r="C884" s="418"/>
      <c r="D884" s="419"/>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7"/>
      <c r="B885" s="133"/>
      <c r="C885" s="418"/>
      <c r="D885" s="419"/>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7"/>
      <c r="B886" s="133"/>
      <c r="C886" s="418"/>
      <c r="D886" s="419"/>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7"/>
      <c r="B887" s="133"/>
      <c r="C887" s="418"/>
      <c r="D887" s="419"/>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7"/>
      <c r="B888" s="133"/>
      <c r="C888" s="418"/>
      <c r="D888" s="419"/>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7"/>
      <c r="B889" s="133"/>
      <c r="C889" s="418"/>
      <c r="D889" s="419"/>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7"/>
      <c r="B890" s="133"/>
      <c r="C890" s="418"/>
      <c r="D890" s="419"/>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7"/>
      <c r="B891" s="133"/>
      <c r="C891" s="418"/>
      <c r="D891" s="419"/>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7"/>
      <c r="B892" s="133"/>
      <c r="C892" s="418"/>
      <c r="D892" s="419"/>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7"/>
      <c r="B893" s="133"/>
      <c r="C893" s="418"/>
      <c r="D893" s="419"/>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7"/>
      <c r="B894" s="133"/>
      <c r="C894" s="418"/>
      <c r="D894" s="419"/>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7"/>
      <c r="B895" s="133"/>
      <c r="C895" s="418"/>
      <c r="D895" s="419"/>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7"/>
      <c r="B896" s="133"/>
      <c r="C896" s="418"/>
      <c r="D896" s="419"/>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7"/>
      <c r="B897" s="133"/>
      <c r="C897" s="418"/>
      <c r="D897" s="419"/>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7"/>
      <c r="B898" s="133"/>
      <c r="C898" s="418"/>
      <c r="D898" s="419"/>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7"/>
      <c r="B899" s="133"/>
      <c r="C899" s="418"/>
      <c r="D899" s="419"/>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7"/>
      <c r="B900" s="133"/>
      <c r="C900" s="418"/>
      <c r="D900" s="419"/>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7"/>
      <c r="B901" s="133"/>
      <c r="C901" s="418"/>
      <c r="D901" s="419"/>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7"/>
      <c r="B902" s="133"/>
      <c r="C902" s="418"/>
      <c r="D902" s="419"/>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7"/>
      <c r="B903" s="133"/>
      <c r="C903" s="418"/>
      <c r="D903" s="419"/>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7"/>
      <c r="B904" s="133"/>
      <c r="C904" s="418"/>
      <c r="D904" s="419"/>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7"/>
      <c r="B905" s="133"/>
      <c r="C905" s="418"/>
      <c r="D905" s="419"/>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7"/>
      <c r="B906" s="133"/>
      <c r="C906" s="418"/>
      <c r="D906" s="419"/>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7"/>
      <c r="B907" s="133"/>
      <c r="C907" s="418"/>
      <c r="D907" s="419"/>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7"/>
      <c r="B908" s="133"/>
      <c r="C908" s="418"/>
      <c r="D908" s="419"/>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7"/>
      <c r="B909" s="133"/>
      <c r="C909" s="418"/>
      <c r="D909" s="419"/>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7"/>
      <c r="B910" s="133"/>
      <c r="C910" s="418"/>
      <c r="D910" s="419"/>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7"/>
      <c r="B911" s="133"/>
      <c r="C911" s="418"/>
      <c r="D911" s="419"/>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7"/>
      <c r="B912" s="133"/>
      <c r="C912" s="418"/>
      <c r="D912" s="419"/>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7"/>
      <c r="B913" s="133"/>
      <c r="C913" s="418"/>
      <c r="D913" s="419"/>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7"/>
      <c r="B914" s="133"/>
      <c r="C914" s="418"/>
      <c r="D914" s="419"/>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7"/>
      <c r="B915" s="133"/>
      <c r="C915" s="418"/>
      <c r="D915" s="419"/>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7"/>
      <c r="B916" s="133"/>
      <c r="C916" s="418"/>
      <c r="D916" s="419"/>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7"/>
      <c r="B917" s="133"/>
      <c r="C917" s="418"/>
      <c r="D917" s="419"/>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7"/>
      <c r="B918" s="133"/>
      <c r="C918" s="418"/>
      <c r="D918" s="419"/>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7"/>
      <c r="B919" s="133"/>
      <c r="C919" s="418"/>
      <c r="D919" s="419"/>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7"/>
      <c r="B920" s="133"/>
      <c r="C920" s="418"/>
      <c r="D920" s="419"/>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7"/>
      <c r="B921" s="133"/>
      <c r="C921" s="418"/>
      <c r="D921" s="419"/>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7"/>
      <c r="B922" s="133"/>
      <c r="C922" s="418"/>
      <c r="D922" s="419"/>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7"/>
      <c r="B923" s="133"/>
      <c r="C923" s="418"/>
      <c r="D923" s="419"/>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7"/>
      <c r="B924" s="133"/>
      <c r="C924" s="418"/>
      <c r="D924" s="419"/>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7"/>
      <c r="B925" s="133"/>
      <c r="C925" s="418"/>
      <c r="D925" s="419"/>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7"/>
      <c r="B926" s="133"/>
      <c r="C926" s="418"/>
      <c r="D926" s="419"/>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7"/>
      <c r="B927" s="133"/>
      <c r="C927" s="418"/>
      <c r="D927" s="419"/>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7"/>
      <c r="B928" s="133"/>
      <c r="C928" s="418"/>
      <c r="D928" s="419"/>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7"/>
      <c r="B929" s="133"/>
      <c r="C929" s="418"/>
      <c r="D929" s="419"/>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7"/>
      <c r="B930" s="133"/>
      <c r="C930" s="418"/>
      <c r="D930" s="419"/>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7"/>
      <c r="B931" s="133"/>
      <c r="C931" s="418"/>
      <c r="D931" s="419"/>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7"/>
      <c r="B932" s="133"/>
      <c r="C932" s="418"/>
      <c r="D932" s="419"/>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7"/>
      <c r="B933" s="133"/>
      <c r="C933" s="418"/>
      <c r="D933" s="419"/>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7"/>
      <c r="B934" s="133"/>
      <c r="C934" s="418"/>
      <c r="D934" s="419"/>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7"/>
      <c r="B935" s="133"/>
      <c r="C935" s="418"/>
      <c r="D935" s="419"/>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7"/>
      <c r="B936" s="133"/>
      <c r="C936" s="418"/>
      <c r="D936" s="419"/>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7"/>
      <c r="B937" s="133"/>
      <c r="C937" s="418"/>
      <c r="D937" s="419"/>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7"/>
      <c r="B938" s="133"/>
      <c r="C938" s="418"/>
      <c r="D938" s="419"/>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7"/>
      <c r="B939" s="133"/>
      <c r="C939" s="418"/>
      <c r="D939" s="419"/>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7"/>
      <c r="B940" s="133"/>
      <c r="C940" s="418"/>
      <c r="D940" s="419"/>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7"/>
      <c r="B941" s="133"/>
      <c r="C941" s="418"/>
      <c r="D941" s="419"/>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7"/>
      <c r="B942" s="133"/>
      <c r="C942" s="418"/>
      <c r="D942" s="419"/>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7"/>
      <c r="B943" s="133"/>
      <c r="C943" s="418"/>
      <c r="D943" s="419"/>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7"/>
      <c r="B944" s="133"/>
      <c r="C944" s="418"/>
      <c r="D944" s="419"/>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7"/>
      <c r="B945" s="133"/>
      <c r="C945" s="418"/>
      <c r="D945" s="419"/>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7"/>
      <c r="B946" s="133"/>
      <c r="C946" s="418"/>
      <c r="D946" s="419"/>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7"/>
      <c r="B947" s="133"/>
      <c r="C947" s="418"/>
      <c r="D947" s="419"/>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7"/>
      <c r="B948" s="133"/>
      <c r="C948" s="418"/>
      <c r="D948" s="419"/>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7"/>
      <c r="B949" s="133"/>
      <c r="C949" s="418"/>
      <c r="D949" s="419"/>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7"/>
      <c r="B950" s="133"/>
      <c r="C950" s="418"/>
      <c r="D950" s="419"/>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7"/>
      <c r="B951" s="133"/>
      <c r="C951" s="418"/>
      <c r="D951" s="419"/>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7"/>
      <c r="B952" s="133"/>
      <c r="C952" s="418"/>
      <c r="D952" s="419"/>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7"/>
      <c r="B953" s="133"/>
      <c r="C953" s="418"/>
      <c r="D953" s="419"/>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7"/>
      <c r="B954" s="133"/>
      <c r="C954" s="418"/>
      <c r="D954" s="419"/>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7"/>
      <c r="B955" s="133"/>
      <c r="C955" s="418"/>
      <c r="D955" s="419"/>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7"/>
      <c r="B956" s="133"/>
      <c r="C956" s="418"/>
      <c r="D956" s="419"/>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7"/>
      <c r="B957" s="133"/>
      <c r="C957" s="418"/>
      <c r="D957" s="419"/>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7"/>
      <c r="B958" s="133"/>
      <c r="C958" s="418"/>
      <c r="D958" s="419"/>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7"/>
      <c r="B959" s="133"/>
      <c r="C959" s="418"/>
      <c r="D959" s="419"/>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7"/>
      <c r="B960" s="133"/>
      <c r="C960" s="418"/>
      <c r="D960" s="419"/>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7"/>
      <c r="B961" s="133"/>
      <c r="C961" s="418"/>
      <c r="D961" s="419"/>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7"/>
      <c r="B962" s="133"/>
      <c r="C962" s="418"/>
      <c r="D962" s="419"/>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7"/>
      <c r="B963" s="133"/>
      <c r="C963" s="418"/>
      <c r="D963" s="419"/>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7"/>
      <c r="B964" s="133"/>
      <c r="C964" s="418"/>
      <c r="D964" s="419"/>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7"/>
      <c r="B965" s="133"/>
      <c r="C965" s="418"/>
      <c r="D965" s="419"/>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7"/>
      <c r="B966" s="133"/>
      <c r="C966" s="418"/>
      <c r="D966" s="419"/>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7"/>
      <c r="B967" s="133"/>
      <c r="C967" s="418"/>
      <c r="D967" s="419"/>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7"/>
      <c r="B968" s="133"/>
      <c r="C968" s="418"/>
      <c r="D968" s="419"/>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7"/>
      <c r="B969" s="133"/>
      <c r="C969" s="418"/>
      <c r="D969" s="419"/>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7"/>
      <c r="B970" s="133"/>
      <c r="C970" s="418"/>
      <c r="D970" s="419"/>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7"/>
      <c r="B971" s="133"/>
      <c r="C971" s="418"/>
      <c r="D971" s="419"/>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7"/>
      <c r="B972" s="133"/>
      <c r="C972" s="418"/>
      <c r="D972" s="419"/>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7"/>
      <c r="B973" s="133"/>
      <c r="C973" s="418"/>
      <c r="D973" s="419"/>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7"/>
      <c r="B974" s="133"/>
      <c r="C974" s="418"/>
      <c r="D974" s="419"/>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7"/>
      <c r="B975" s="133"/>
      <c r="C975" s="418"/>
      <c r="D975" s="419"/>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7"/>
      <c r="B976" s="133"/>
      <c r="C976" s="418"/>
      <c r="D976" s="419"/>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7"/>
      <c r="B977" s="133"/>
      <c r="C977" s="418"/>
      <c r="D977" s="419"/>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7"/>
      <c r="B978" s="133"/>
      <c r="C978" s="418"/>
      <c r="D978" s="419"/>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7"/>
      <c r="B979" s="133"/>
      <c r="C979" s="418"/>
      <c r="D979" s="419"/>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7"/>
      <c r="B980" s="133"/>
      <c r="C980" s="418"/>
      <c r="D980" s="419"/>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7"/>
      <c r="B981" s="133"/>
      <c r="C981" s="418"/>
      <c r="D981" s="419"/>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7"/>
      <c r="B982" s="133"/>
      <c r="C982" s="418"/>
      <c r="D982" s="419"/>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7"/>
      <c r="B983" s="133"/>
      <c r="C983" s="418"/>
      <c r="D983" s="419"/>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7"/>
      <c r="B984" s="133"/>
      <c r="C984" s="418"/>
      <c r="D984" s="419"/>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7"/>
      <c r="B985" s="133"/>
      <c r="C985" s="418"/>
      <c r="D985" s="419"/>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7"/>
      <c r="B986" s="133"/>
      <c r="C986" s="418"/>
      <c r="D986" s="419"/>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7"/>
      <c r="B987" s="133"/>
      <c r="C987" s="418"/>
      <c r="D987" s="419"/>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7"/>
      <c r="B988" s="133"/>
      <c r="C988" s="418"/>
      <c r="D988" s="419"/>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7"/>
      <c r="B989" s="133"/>
      <c r="C989" s="418"/>
      <c r="D989" s="419"/>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7"/>
      <c r="B990" s="133"/>
      <c r="C990" s="418"/>
      <c r="D990" s="419"/>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7"/>
      <c r="B991" s="133"/>
      <c r="C991" s="418"/>
      <c r="D991" s="419"/>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7"/>
      <c r="B992" s="133"/>
      <c r="C992" s="418"/>
      <c r="D992" s="419"/>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7"/>
      <c r="B993" s="133"/>
      <c r="C993" s="418"/>
      <c r="D993" s="419"/>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7"/>
      <c r="B994" s="133"/>
      <c r="C994" s="418"/>
      <c r="D994" s="419"/>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7"/>
      <c r="B995" s="133"/>
      <c r="C995" s="418"/>
      <c r="D995" s="419"/>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7"/>
      <c r="B996" s="133"/>
      <c r="C996" s="418"/>
      <c r="D996" s="419"/>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7"/>
      <c r="B997" s="133"/>
      <c r="C997" s="418"/>
      <c r="D997" s="419"/>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7"/>
      <c r="B998" s="133"/>
      <c r="C998" s="418"/>
      <c r="D998" s="419"/>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7"/>
      <c r="B999" s="133"/>
      <c r="C999" s="418"/>
      <c r="D999" s="419"/>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7"/>
      <c r="B1000" s="133"/>
      <c r="C1000" s="418"/>
      <c r="D1000" s="419"/>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7"/>
      <c r="B1001" s="133"/>
      <c r="C1001" s="418"/>
      <c r="D1001" s="419"/>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7"/>
      <c r="B1002" s="133"/>
      <c r="C1002" s="418"/>
      <c r="D1002" s="419"/>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0" t="s">
        <v>7003</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3"/>
      <c r="F1" s="424" t="s">
        <v>7004</v>
      </c>
      <c r="G1" s="425"/>
      <c r="H1" s="425"/>
      <c r="I1" s="425"/>
      <c r="J1" s="425"/>
      <c r="K1" s="425"/>
      <c r="L1" s="425"/>
      <c r="M1" s="425"/>
      <c r="N1" s="425"/>
      <c r="O1" s="425"/>
      <c r="P1" s="425"/>
      <c r="Q1" s="425"/>
      <c r="R1" s="425"/>
    </row>
    <row r="2">
      <c r="A2" s="426" t="s">
        <v>7005</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27" t="str">
        <f>IFERROR(__xludf.DUMMYFUNCTION("GOOGLETRANSLATE(A2,""zh-tw"",""zh"")"),"1 - 在google play上搜寻 档案管理员 安装。")</f>
        <v>1 - 在google play上搜寻 档案管理员 安装。</v>
      </c>
      <c r="E2" s="428" t="s">
        <v>7006</v>
      </c>
      <c r="F2" s="429" t="s">
        <v>7007</v>
      </c>
      <c r="G2" s="135"/>
      <c r="H2" s="135"/>
      <c r="I2" s="135"/>
      <c r="J2" s="135"/>
      <c r="K2" s="135"/>
      <c r="L2" s="135"/>
      <c r="M2" s="135"/>
      <c r="N2" s="135"/>
      <c r="O2" s="135"/>
      <c r="P2" s="135"/>
      <c r="Q2" s="135"/>
      <c r="R2" s="135"/>
    </row>
    <row r="3">
      <c r="A3" s="426" t="s">
        <v>7008</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8" t="s">
        <v>7009</v>
      </c>
      <c r="F3" s="429" t="s">
        <v>7010</v>
      </c>
      <c r="G3" s="135"/>
      <c r="H3" s="135"/>
      <c r="I3" s="135"/>
      <c r="J3" s="135"/>
      <c r="K3" s="135"/>
      <c r="L3" s="135"/>
      <c r="M3" s="135"/>
      <c r="N3" s="135"/>
      <c r="O3" s="135"/>
      <c r="P3" s="135"/>
      <c r="Q3" s="135"/>
      <c r="R3" s="135"/>
    </row>
    <row r="4">
      <c r="A4" s="426" t="s">
        <v>7011</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8" t="s">
        <v>7012</v>
      </c>
      <c r="F4" s="429" t="s">
        <v>7013</v>
      </c>
      <c r="G4" s="135"/>
      <c r="H4" s="135"/>
      <c r="I4" s="135"/>
      <c r="J4" s="135"/>
      <c r="K4" s="135"/>
      <c r="L4" s="135"/>
      <c r="M4" s="135"/>
      <c r="N4" s="135"/>
      <c r="O4" s="135"/>
      <c r="P4" s="135"/>
      <c r="Q4" s="135"/>
      <c r="R4" s="135"/>
    </row>
    <row r="5">
      <c r="A5" s="426" t="s">
        <v>7014</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8" t="s">
        <v>7015</v>
      </c>
      <c r="F5" s="429" t="s">
        <v>7016</v>
      </c>
      <c r="G5" s="135"/>
      <c r="H5" s="135"/>
      <c r="I5" s="135"/>
      <c r="J5" s="135"/>
      <c r="K5" s="135"/>
      <c r="L5" s="135"/>
      <c r="M5" s="135"/>
      <c r="N5" s="135"/>
      <c r="O5" s="135"/>
      <c r="P5" s="135"/>
      <c r="Q5" s="135"/>
      <c r="R5" s="135"/>
    </row>
    <row r="6">
      <c r="A6" s="430" t="s">
        <v>7017</v>
      </c>
      <c r="B6" s="431" t="s">
        <v>7018</v>
      </c>
      <c r="C6" s="432" t="s">
        <v>7019</v>
      </c>
      <c r="D6" s="433" t="s">
        <v>7020</v>
      </c>
      <c r="E6" s="434" t="s">
        <v>7021</v>
      </c>
      <c r="F6" s="435" t="s">
        <v>7022</v>
      </c>
      <c r="G6" s="135"/>
      <c r="H6" s="135"/>
      <c r="I6" s="135"/>
      <c r="J6" s="135"/>
      <c r="K6" s="135"/>
      <c r="L6" s="135"/>
      <c r="M6" s="135"/>
      <c r="N6" s="135"/>
      <c r="O6" s="135"/>
      <c r="P6" s="135"/>
      <c r="Q6" s="135"/>
      <c r="R6" s="135"/>
    </row>
    <row r="7">
      <c r="A7" s="436"/>
      <c r="B7" s="135"/>
      <c r="C7" s="436"/>
      <c r="D7" s="135"/>
      <c r="E7" s="437"/>
      <c r="F7" s="200"/>
      <c r="G7" s="135"/>
      <c r="H7" s="135"/>
      <c r="I7" s="135"/>
      <c r="J7" s="135"/>
      <c r="K7" s="135"/>
      <c r="L7" s="135"/>
      <c r="M7" s="135"/>
      <c r="N7" s="135"/>
      <c r="O7" s="135"/>
      <c r="P7" s="135"/>
      <c r="Q7" s="135"/>
      <c r="R7" s="135"/>
    </row>
    <row r="8">
      <c r="A8" s="436"/>
      <c r="B8" s="135"/>
      <c r="C8" s="135"/>
      <c r="D8" s="135"/>
      <c r="E8" s="135"/>
      <c r="F8" s="200"/>
      <c r="G8" s="135"/>
      <c r="H8" s="135"/>
      <c r="I8" s="135"/>
      <c r="J8" s="135"/>
      <c r="K8" s="135"/>
      <c r="L8" s="135"/>
      <c r="M8" s="135"/>
      <c r="N8" s="135"/>
      <c r="O8" s="135"/>
      <c r="P8" s="135"/>
      <c r="Q8" s="135"/>
      <c r="R8" s="135"/>
    </row>
    <row r="9">
      <c r="A9" s="436"/>
      <c r="B9" s="135"/>
      <c r="C9" s="135"/>
      <c r="D9" s="135"/>
      <c r="E9" s="135"/>
      <c r="F9" s="200"/>
      <c r="G9" s="135"/>
      <c r="H9" s="135"/>
      <c r="I9" s="135"/>
      <c r="J9" s="135"/>
      <c r="K9" s="135"/>
      <c r="L9" s="135"/>
      <c r="M9" s="135"/>
      <c r="N9" s="135"/>
      <c r="O9" s="135"/>
      <c r="P9" s="135"/>
      <c r="Q9" s="135"/>
      <c r="R9" s="135"/>
    </row>
    <row r="10">
      <c r="A10" s="436"/>
      <c r="B10" s="135"/>
      <c r="C10" s="135"/>
      <c r="D10" s="135"/>
      <c r="E10" s="135"/>
      <c r="F10" s="200"/>
      <c r="G10" s="135"/>
      <c r="H10" s="135"/>
      <c r="I10" s="135"/>
      <c r="J10" s="135"/>
      <c r="K10" s="135"/>
      <c r="L10" s="135"/>
      <c r="M10" s="135"/>
      <c r="N10" s="135"/>
      <c r="O10" s="135"/>
      <c r="P10" s="135"/>
      <c r="Q10" s="135"/>
      <c r="R10" s="135"/>
    </row>
    <row r="11">
      <c r="A11" s="436"/>
      <c r="B11" s="135"/>
      <c r="C11" s="135"/>
      <c r="D11" s="135"/>
      <c r="E11" s="135"/>
      <c r="F11" s="200"/>
      <c r="G11" s="135"/>
      <c r="H11" s="135"/>
      <c r="I11" s="135"/>
      <c r="J11" s="135"/>
      <c r="K11" s="135"/>
      <c r="L11" s="135"/>
      <c r="M11" s="135"/>
      <c r="N11" s="135"/>
      <c r="O11" s="135"/>
      <c r="P11" s="135"/>
      <c r="Q11" s="135"/>
      <c r="R11" s="135"/>
    </row>
    <row r="12">
      <c r="A12" s="436"/>
      <c r="B12" s="135"/>
      <c r="C12" s="135"/>
      <c r="D12" s="135"/>
      <c r="E12" s="135"/>
      <c r="F12" s="200"/>
      <c r="G12" s="135"/>
      <c r="H12" s="135"/>
      <c r="I12" s="135"/>
      <c r="J12" s="135"/>
      <c r="K12" s="135"/>
      <c r="L12" s="135"/>
      <c r="M12" s="135"/>
      <c r="N12" s="135"/>
      <c r="O12" s="135"/>
      <c r="P12" s="135"/>
      <c r="Q12" s="135"/>
      <c r="R12" s="135"/>
    </row>
    <row r="13">
      <c r="A13" s="436"/>
      <c r="B13" s="135"/>
      <c r="C13" s="135"/>
      <c r="D13" s="135"/>
      <c r="E13" s="135"/>
      <c r="F13" s="200"/>
      <c r="G13" s="135"/>
      <c r="H13" s="135"/>
      <c r="I13" s="135"/>
      <c r="J13" s="135"/>
      <c r="K13" s="135"/>
      <c r="L13" s="135"/>
      <c r="M13" s="135"/>
      <c r="N13" s="135"/>
      <c r="O13" s="135"/>
      <c r="P13" s="135"/>
      <c r="Q13" s="135"/>
      <c r="R13" s="135"/>
    </row>
    <row r="14">
      <c r="A14" s="436"/>
      <c r="B14" s="135"/>
      <c r="C14" s="135"/>
      <c r="D14" s="135"/>
      <c r="E14" s="135"/>
      <c r="F14" s="200"/>
      <c r="G14" s="135"/>
      <c r="H14" s="135"/>
      <c r="I14" s="135"/>
      <c r="J14" s="135"/>
      <c r="K14" s="135"/>
      <c r="L14" s="135"/>
      <c r="M14" s="135"/>
      <c r="N14" s="135"/>
      <c r="O14" s="135"/>
      <c r="P14" s="135"/>
      <c r="Q14" s="135"/>
      <c r="R14" s="135"/>
    </row>
    <row r="15">
      <c r="A15" s="436"/>
      <c r="B15" s="135"/>
      <c r="C15" s="135"/>
      <c r="D15" s="135"/>
      <c r="E15" s="135"/>
      <c r="F15" s="200"/>
      <c r="G15" s="135"/>
      <c r="H15" s="135"/>
      <c r="I15" s="135"/>
      <c r="J15" s="135"/>
      <c r="K15" s="135"/>
      <c r="L15" s="135"/>
      <c r="M15" s="135"/>
      <c r="N15" s="135"/>
      <c r="O15" s="135"/>
      <c r="P15" s="135"/>
      <c r="Q15" s="135"/>
      <c r="R15" s="135"/>
    </row>
    <row r="16">
      <c r="A16" s="436"/>
      <c r="B16" s="135"/>
      <c r="C16" s="135"/>
      <c r="D16" s="135"/>
      <c r="E16" s="135"/>
      <c r="F16" s="200"/>
      <c r="G16" s="135"/>
      <c r="H16" s="135"/>
      <c r="I16" s="135"/>
      <c r="J16" s="135"/>
      <c r="K16" s="135"/>
      <c r="L16" s="135"/>
      <c r="M16" s="135"/>
      <c r="N16" s="135"/>
      <c r="O16" s="135"/>
      <c r="P16" s="135"/>
      <c r="Q16" s="135"/>
      <c r="R16" s="135"/>
    </row>
    <row r="17">
      <c r="A17" s="436"/>
      <c r="B17" s="135"/>
      <c r="C17" s="135"/>
      <c r="D17" s="135"/>
      <c r="E17" s="135"/>
      <c r="F17" s="200"/>
      <c r="G17" s="135"/>
      <c r="H17" s="135"/>
      <c r="I17" s="135"/>
      <c r="J17" s="135"/>
      <c r="K17" s="135"/>
      <c r="L17" s="135"/>
      <c r="M17" s="135"/>
      <c r="N17" s="135"/>
      <c r="O17" s="135"/>
      <c r="P17" s="135"/>
      <c r="Q17" s="135"/>
      <c r="R17" s="135"/>
    </row>
    <row r="18">
      <c r="A18" s="436"/>
      <c r="B18" s="135"/>
      <c r="C18" s="135"/>
      <c r="D18" s="135"/>
      <c r="E18" s="135"/>
      <c r="F18" s="200"/>
      <c r="G18" s="135"/>
      <c r="H18" s="135"/>
      <c r="I18" s="135"/>
      <c r="J18" s="135"/>
      <c r="K18" s="135"/>
      <c r="L18" s="135"/>
      <c r="M18" s="135"/>
      <c r="N18" s="135"/>
      <c r="O18" s="135"/>
      <c r="P18" s="135"/>
      <c r="Q18" s="135"/>
      <c r="R18" s="135"/>
    </row>
    <row r="19">
      <c r="A19" s="436"/>
      <c r="B19" s="135"/>
      <c r="C19" s="135"/>
      <c r="D19" s="135"/>
      <c r="E19" s="135"/>
      <c r="F19" s="200"/>
      <c r="G19" s="135"/>
      <c r="H19" s="135"/>
      <c r="I19" s="135"/>
      <c r="J19" s="135"/>
      <c r="K19" s="135"/>
      <c r="L19" s="135"/>
      <c r="M19" s="135"/>
      <c r="N19" s="135"/>
      <c r="O19" s="135"/>
      <c r="P19" s="135"/>
      <c r="Q19" s="135"/>
      <c r="R19" s="135"/>
    </row>
    <row r="20">
      <c r="A20" s="436"/>
      <c r="B20" s="135"/>
      <c r="C20" s="135"/>
      <c r="D20" s="135"/>
      <c r="E20" s="135"/>
      <c r="F20" s="200"/>
      <c r="G20" s="135"/>
      <c r="H20" s="135"/>
      <c r="I20" s="135"/>
      <c r="J20" s="135"/>
      <c r="K20" s="135"/>
      <c r="L20" s="135"/>
      <c r="M20" s="135"/>
      <c r="N20" s="135"/>
      <c r="O20" s="135"/>
      <c r="P20" s="135"/>
      <c r="Q20" s="135"/>
      <c r="R20" s="135"/>
    </row>
    <row r="21">
      <c r="A21" s="436"/>
      <c r="B21" s="135"/>
      <c r="C21" s="135"/>
      <c r="D21" s="135"/>
      <c r="E21" s="135"/>
      <c r="F21" s="200"/>
      <c r="G21" s="135"/>
      <c r="H21" s="135"/>
      <c r="I21" s="135"/>
      <c r="J21" s="135"/>
      <c r="K21" s="135"/>
      <c r="L21" s="135"/>
      <c r="M21" s="135"/>
      <c r="N21" s="135"/>
      <c r="O21" s="135"/>
      <c r="P21" s="135"/>
      <c r="Q21" s="135"/>
      <c r="R21" s="135"/>
    </row>
    <row r="22">
      <c r="A22" s="436"/>
      <c r="B22" s="135"/>
      <c r="C22" s="135"/>
      <c r="D22" s="135"/>
      <c r="E22" s="135"/>
      <c r="F22" s="200"/>
      <c r="G22" s="135"/>
      <c r="H22" s="135"/>
      <c r="I22" s="135"/>
      <c r="J22" s="135"/>
      <c r="K22" s="135"/>
      <c r="L22" s="135"/>
      <c r="M22" s="135"/>
      <c r="N22" s="135"/>
      <c r="O22" s="135"/>
      <c r="P22" s="135"/>
      <c r="Q22" s="135"/>
      <c r="R22" s="135"/>
    </row>
    <row r="23">
      <c r="A23" s="436"/>
      <c r="B23" s="135"/>
      <c r="C23" s="135"/>
      <c r="D23" s="135"/>
      <c r="E23" s="135"/>
      <c r="F23" s="200"/>
      <c r="G23" s="135"/>
      <c r="H23" s="135"/>
      <c r="I23" s="135"/>
      <c r="J23" s="135"/>
      <c r="K23" s="135"/>
      <c r="L23" s="135"/>
      <c r="M23" s="135"/>
      <c r="N23" s="135"/>
      <c r="O23" s="135"/>
      <c r="P23" s="135"/>
      <c r="Q23" s="135"/>
      <c r="R23" s="135"/>
    </row>
    <row r="24">
      <c r="A24" s="436"/>
      <c r="B24" s="135"/>
      <c r="C24" s="135"/>
      <c r="D24" s="135"/>
      <c r="E24" s="135"/>
      <c r="F24" s="200"/>
      <c r="G24" s="135"/>
      <c r="H24" s="135"/>
      <c r="I24" s="135"/>
      <c r="J24" s="135"/>
      <c r="K24" s="135"/>
      <c r="L24" s="135"/>
      <c r="M24" s="135"/>
      <c r="N24" s="135"/>
      <c r="O24" s="135"/>
      <c r="P24" s="135"/>
      <c r="Q24" s="135"/>
      <c r="R24" s="135"/>
    </row>
    <row r="25">
      <c r="A25" s="436"/>
      <c r="B25" s="135"/>
      <c r="C25" s="135"/>
      <c r="D25" s="135"/>
      <c r="E25" s="135"/>
      <c r="F25" s="200"/>
      <c r="G25" s="135"/>
      <c r="H25" s="135"/>
      <c r="I25" s="135"/>
      <c r="J25" s="135"/>
      <c r="K25" s="135"/>
      <c r="L25" s="135"/>
      <c r="M25" s="135"/>
      <c r="N25" s="135"/>
      <c r="O25" s="135"/>
      <c r="P25" s="135"/>
      <c r="Q25" s="135"/>
      <c r="R25" s="135"/>
    </row>
    <row r="26">
      <c r="A26" s="436"/>
      <c r="B26" s="135"/>
      <c r="C26" s="135"/>
      <c r="D26" s="135"/>
      <c r="E26" s="135"/>
      <c r="F26" s="200"/>
      <c r="G26" s="135"/>
      <c r="H26" s="135"/>
      <c r="I26" s="135"/>
      <c r="J26" s="135"/>
      <c r="K26" s="135"/>
      <c r="L26" s="135"/>
      <c r="M26" s="135"/>
      <c r="N26" s="135"/>
      <c r="O26" s="135"/>
      <c r="P26" s="135"/>
      <c r="Q26" s="135"/>
      <c r="R26" s="135"/>
    </row>
    <row r="27">
      <c r="A27" s="436"/>
      <c r="B27" s="135"/>
      <c r="C27" s="135"/>
      <c r="D27" s="135"/>
      <c r="E27" s="135"/>
      <c r="F27" s="200"/>
      <c r="G27" s="135"/>
      <c r="H27" s="135"/>
      <c r="I27" s="135"/>
      <c r="J27" s="135"/>
      <c r="K27" s="135"/>
      <c r="L27" s="135"/>
      <c r="M27" s="135"/>
      <c r="N27" s="135"/>
      <c r="O27" s="135"/>
      <c r="P27" s="135"/>
      <c r="Q27" s="135"/>
      <c r="R27" s="135"/>
    </row>
    <row r="28">
      <c r="A28" s="436"/>
      <c r="B28" s="135"/>
      <c r="C28" s="135"/>
      <c r="D28" s="135"/>
      <c r="E28" s="135"/>
      <c r="F28" s="200"/>
      <c r="G28" s="135"/>
      <c r="H28" s="135"/>
      <c r="I28" s="135"/>
      <c r="J28" s="135"/>
      <c r="K28" s="135"/>
      <c r="L28" s="135"/>
      <c r="M28" s="135"/>
      <c r="N28" s="135"/>
      <c r="O28" s="135"/>
      <c r="P28" s="135"/>
      <c r="Q28" s="135"/>
      <c r="R28" s="135"/>
    </row>
    <row r="29">
      <c r="A29" s="436"/>
      <c r="B29" s="135"/>
      <c r="C29" s="135"/>
      <c r="D29" s="135"/>
      <c r="E29" s="135"/>
      <c r="F29" s="200"/>
      <c r="G29" s="135"/>
      <c r="H29" s="135"/>
      <c r="I29" s="135"/>
      <c r="J29" s="135"/>
      <c r="K29" s="135"/>
      <c r="L29" s="135"/>
      <c r="M29" s="135"/>
      <c r="N29" s="135"/>
      <c r="O29" s="135"/>
      <c r="P29" s="135"/>
      <c r="Q29" s="135"/>
      <c r="R29" s="135"/>
    </row>
    <row r="30">
      <c r="A30" s="436"/>
      <c r="B30" s="135"/>
      <c r="C30" s="135"/>
      <c r="D30" s="135"/>
      <c r="E30" s="135"/>
      <c r="F30" s="200"/>
      <c r="G30" s="135"/>
      <c r="H30" s="135"/>
      <c r="I30" s="135"/>
      <c r="J30" s="135"/>
      <c r="K30" s="135"/>
      <c r="L30" s="135"/>
      <c r="M30" s="135"/>
      <c r="N30" s="135"/>
      <c r="O30" s="135"/>
      <c r="P30" s="135"/>
      <c r="Q30" s="135"/>
      <c r="R30" s="135"/>
    </row>
    <row r="31">
      <c r="A31" s="436"/>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0" t="s">
        <v>7023</v>
      </c>
      <c r="B1" s="420" t="s">
        <v>7024</v>
      </c>
      <c r="C1" s="301" t="s">
        <v>7025</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8" t="s">
        <v>7026</v>
      </c>
      <c r="F1" s="42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9" t="s">
        <v>7027</v>
      </c>
      <c r="H1" s="4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3" t="s">
        <v>7028</v>
      </c>
      <c r="J1" s="423" t="s">
        <v>7029</v>
      </c>
      <c r="K1" s="440" t="s">
        <v>7030</v>
      </c>
      <c r="L1" s="440" t="s">
        <v>7031</v>
      </c>
      <c r="M1" s="425"/>
      <c r="N1" s="425"/>
      <c r="O1" s="425"/>
      <c r="P1" s="425"/>
      <c r="Q1" s="425"/>
      <c r="R1" s="425"/>
      <c r="S1" s="425"/>
      <c r="T1" s="425"/>
      <c r="U1" s="425"/>
      <c r="V1" s="425"/>
      <c r="W1" s="425"/>
    </row>
    <row r="2">
      <c r="A2" s="426" t="s">
        <v>7032</v>
      </c>
      <c r="B2" s="426" t="s">
        <v>7033</v>
      </c>
      <c r="C2" s="106" t="s">
        <v>7034</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1" t="s">
        <v>7035</v>
      </c>
      <c r="F2" s="214" t="str">
        <f>IFERROR(__xludf.DUMMYFUNCTION("GOOGLETRANSLATE(B2,""zh-tw"",""en"")"),"1 - Search for ""NVIDIA APP install"" on Google and launch the NVIDIA application.")</f>
        <v>1 - Search for "NVIDIA APP install" on Google and launch the NVIDIA application.</v>
      </c>
      <c r="G2" s="442" t="s">
        <v>7036</v>
      </c>
      <c r="H2" s="427" t="str">
        <f>IFERROR(__xludf.DUMMYFUNCTION("GOOGLETRANSLATE(B2,""zh-tw"",""zh"")"),"1 - 在google上搜寻 NVIDIA APP安装，并启动 NVIDIA 应用程式。")</f>
        <v>1 - 在google上搜寻 NVIDIA APP安装，并启动 NVIDIA 应用程式。</v>
      </c>
      <c r="I2" s="428" t="s">
        <v>7037</v>
      </c>
      <c r="J2" s="428" t="s">
        <v>7038</v>
      </c>
      <c r="K2" s="429" t="s">
        <v>7039</v>
      </c>
      <c r="L2" s="429" t="s">
        <v>7040</v>
      </c>
      <c r="M2" s="135"/>
      <c r="N2" s="135"/>
      <c r="O2" s="135"/>
      <c r="P2" s="135"/>
      <c r="Q2" s="135"/>
      <c r="R2" s="135"/>
      <c r="S2" s="135"/>
      <c r="T2" s="135"/>
      <c r="U2" s="135"/>
      <c r="V2" s="135"/>
      <c r="W2" s="135"/>
    </row>
    <row r="3">
      <c r="A3" s="426" t="s">
        <v>7041</v>
      </c>
      <c r="B3" s="426" t="s">
        <v>7042</v>
      </c>
      <c r="C3" s="106" t="s">
        <v>7043</v>
      </c>
      <c r="D3" s="106" t="str">
        <f>IFERROR(__xludf.DUMMYFUNCTION("GOOGLETRANSLATE(B3,""zh-tw"",""ja"")"),"2 - 最新バージョンに更新した後、NVIDIA アプリケーションを再起動します。")</f>
        <v>2 - 最新バージョンに更新した後、NVIDIA アプリケーションを再起動します。</v>
      </c>
      <c r="E3" s="441" t="s">
        <v>7044</v>
      </c>
      <c r="F3" s="214" t="str">
        <f>IFERROR(__xludf.DUMMYFUNCTION("GOOGLETRANSLATE(B3,""zh-tw"",""en"")"),"2 - Restart the NVIDIA application after updating to the latest version.")</f>
        <v>2 - Restart the NVIDIA application after updating to the latest version.</v>
      </c>
      <c r="G3" s="442" t="s">
        <v>7045</v>
      </c>
      <c r="H3" s="427" t="str">
        <f>IFERROR(__xludf.DUMMYFUNCTION("GOOGLETRANSLATE(B3,""zh-tw"",""zh"")"),"2 - 在更新至最新版本后重新启动 NVIDIA 应用程式。")</f>
        <v>2 - 在更新至最新版本后重新启动 NVIDIA 应用程式。</v>
      </c>
      <c r="I3" s="428" t="s">
        <v>7046</v>
      </c>
      <c r="J3" s="428" t="s">
        <v>7047</v>
      </c>
      <c r="K3" s="429" t="s">
        <v>7048</v>
      </c>
      <c r="L3" s="429" t="s">
        <v>7049</v>
      </c>
      <c r="M3" s="135"/>
      <c r="N3" s="135"/>
      <c r="O3" s="135"/>
      <c r="P3" s="135"/>
      <c r="Q3" s="135"/>
      <c r="R3" s="135"/>
      <c r="S3" s="135"/>
      <c r="T3" s="135"/>
      <c r="U3" s="135"/>
      <c r="V3" s="135"/>
      <c r="W3" s="135"/>
    </row>
    <row r="4">
      <c r="A4" s="426" t="s">
        <v>7050</v>
      </c>
      <c r="B4" s="426" t="s">
        <v>7051</v>
      </c>
      <c r="C4" s="106" t="s">
        <v>7052</v>
      </c>
      <c r="D4" s="106" t="str">
        <f>IFERROR(__xludf.DUMMYFUNCTION("GOOGLETRANSLATE(B4,""zh-tw"",""ja"")"),"3 - NVIDIA アプリケーションで、グラフィック設定領域に移動します。")</f>
        <v>3 - NVIDIA アプリケーションで、グラフィック設定領域に移動します。</v>
      </c>
      <c r="E4" s="441" t="s">
        <v>7053</v>
      </c>
      <c r="F4" s="214" t="str">
        <f>IFERROR(__xludf.DUMMYFUNCTION("GOOGLETRANSLATE(B4,""zh-tw"",""en"")"),"3 - In the NVIDIA application, go to the graphics settings area.")</f>
        <v>3 - In the NVIDIA application, go to the graphics settings area.</v>
      </c>
      <c r="G4" s="442" t="s">
        <v>7054</v>
      </c>
      <c r="H4" s="427" t="str">
        <f>IFERROR(__xludf.DUMMYFUNCTION("GOOGLETRANSLATE(B4,""zh-tw"",""zh"")"),"3 - 在NVIDIA应用程式中，进入图形设置区域。")</f>
        <v>3 - 在NVIDIA应用程式中，进入图形设置区域。</v>
      </c>
      <c r="I4" s="428" t="s">
        <v>7055</v>
      </c>
      <c r="J4" s="428" t="s">
        <v>7056</v>
      </c>
      <c r="K4" s="429" t="s">
        <v>7057</v>
      </c>
      <c r="L4" s="429" t="s">
        <v>7058</v>
      </c>
      <c r="M4" s="135"/>
      <c r="N4" s="135"/>
      <c r="O4" s="135"/>
      <c r="P4" s="135"/>
      <c r="Q4" s="135"/>
      <c r="R4" s="135"/>
      <c r="S4" s="135"/>
      <c r="T4" s="135"/>
      <c r="U4" s="135"/>
      <c r="V4" s="135"/>
      <c r="W4" s="135"/>
    </row>
    <row r="5">
      <c r="A5" s="426" t="s">
        <v>7059</v>
      </c>
      <c r="B5" s="426" t="s">
        <v>7060</v>
      </c>
      <c r="C5" s="106" t="s">
        <v>7061</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1" t="s">
        <v>7062</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2" t="s">
        <v>7063</v>
      </c>
      <c r="H5" s="427" t="str">
        <f>IFERROR(__xludf.DUMMYFUNCTION("GOOGLETRANSLATE(B5,""zh-tw"",""zh"")"),"4 - 在「程式设定」中点击三个点，选择「新增程式」，然后寻找游戏的执行档。")</f>
        <v>4 - 在「程式设定」中点击三个点，选择「新增程式」，然后寻找游戏的执行档。</v>
      </c>
      <c r="I5" s="428" t="s">
        <v>7064</v>
      </c>
      <c r="J5" s="428" t="s">
        <v>7065</v>
      </c>
      <c r="K5" s="429" t="s">
        <v>7066</v>
      </c>
      <c r="L5" s="429" t="s">
        <v>7067</v>
      </c>
      <c r="M5" s="135"/>
      <c r="N5" s="135"/>
      <c r="O5" s="135"/>
      <c r="P5" s="135"/>
      <c r="Q5" s="135"/>
      <c r="R5" s="135"/>
      <c r="S5" s="135"/>
      <c r="T5" s="135"/>
      <c r="U5" s="135"/>
      <c r="V5" s="135"/>
      <c r="W5" s="135"/>
    </row>
    <row r="6">
      <c r="A6" s="426" t="s">
        <v>7068</v>
      </c>
      <c r="B6" s="426" t="s">
        <v>7069</v>
      </c>
      <c r="C6" s="106" t="s">
        <v>7070</v>
      </c>
      <c r="D6" s="106" t="str">
        <f>IFERROR(__xludf.DUMMYFUNCTION("GOOGLETRANSLATE(B6,""zh-tw"",""ja"")"),"5 - 「低遅延モード」を「超高」に、「電源管理モード」を「最適電力」に設定します。")</f>
        <v>5 - 「低遅延モード」を「超高」に、「電源管理モード」を「最適電力」に設定します。</v>
      </c>
      <c r="E6" s="441" t="s">
        <v>7071</v>
      </c>
      <c r="F6" s="214" t="str">
        <f>IFERROR(__xludf.DUMMYFUNCTION("GOOGLETRANSLATE(B6,""zh-tw"",""en"")"),"5 - Set ""Low Latency Mode"" to ""Ultra High"" and ""Power Management Mode"" to ""Optimal Power"".")</f>
        <v>5 - Set "Low Latency Mode" to "Ultra High" and "Power Management Mode" to "Optimal Power".</v>
      </c>
      <c r="G6" s="442" t="s">
        <v>7072</v>
      </c>
      <c r="H6" s="427" t="str">
        <f>IFERROR(__xludf.DUMMYFUNCTION("GOOGLETRANSLATE(B6,""zh-tw"",""zh"")"),"5 - 将「低延迟模式」设为「超高」，电源管理模式设为「最佳电源」。")</f>
        <v>5 - 将「低延迟模式」设为「超高」，电源管理模式设为「最佳电源」。</v>
      </c>
      <c r="I6" s="428" t="s">
        <v>7073</v>
      </c>
      <c r="J6" s="428" t="s">
        <v>7074</v>
      </c>
      <c r="K6" s="429" t="s">
        <v>7075</v>
      </c>
      <c r="L6" s="429" t="s">
        <v>7076</v>
      </c>
      <c r="M6" s="135"/>
      <c r="N6" s="135"/>
      <c r="O6" s="135"/>
      <c r="P6" s="135"/>
      <c r="Q6" s="135"/>
      <c r="R6" s="135"/>
      <c r="S6" s="135"/>
      <c r="T6" s="135"/>
      <c r="U6" s="135"/>
      <c r="V6" s="135"/>
      <c r="W6" s="135"/>
    </row>
    <row r="7">
      <c r="A7" s="426" t="s">
        <v>7077</v>
      </c>
      <c r="B7" s="426" t="s">
        <v>7078</v>
      </c>
      <c r="C7" s="106" t="s">
        <v>7079</v>
      </c>
      <c r="D7" s="106" t="str">
        <f>IFERROR(__xludf.DUMMYFUNCTION("GOOGLETRANSLATE(B7,""zh-tw"",""ja"")"),"6-「垂直同期」を「高速」に設定します。")</f>
        <v>6-「垂直同期」を「高速」に設定します。</v>
      </c>
      <c r="E7" s="441" t="s">
        <v>7080</v>
      </c>
      <c r="F7" s="214" t="str">
        <f>IFERROR(__xludf.DUMMYFUNCTION("GOOGLETRANSLATE(B7,""zh-tw"",""en"")"),"6- Set ""Vertical Sync"" to ""Fast"".")</f>
        <v>6- Set "Vertical Sync" to "Fast".</v>
      </c>
      <c r="G7" s="442" t="s">
        <v>7081</v>
      </c>
      <c r="H7" s="427" t="str">
        <f>IFERROR(__xludf.DUMMYFUNCTION("GOOGLETRANSLATE(B7,""zh-tw"",""zh"")"),"6- 将「垂直同步」设为「快速」。")</f>
        <v>6- 将「垂直同步」设为「快速」。</v>
      </c>
      <c r="I7" s="428" t="s">
        <v>7082</v>
      </c>
      <c r="J7" s="428" t="s">
        <v>7083</v>
      </c>
      <c r="K7" s="429" t="s">
        <v>7084</v>
      </c>
      <c r="L7" s="429" t="s">
        <v>7085</v>
      </c>
      <c r="M7" s="135"/>
      <c r="N7" s="135"/>
      <c r="O7" s="135"/>
      <c r="P7" s="135"/>
      <c r="Q7" s="135"/>
      <c r="R7" s="135"/>
      <c r="S7" s="135"/>
      <c r="T7" s="135"/>
      <c r="U7" s="135"/>
      <c r="V7" s="135"/>
      <c r="W7" s="135"/>
    </row>
    <row r="8">
      <c r="A8" s="426" t="s">
        <v>7086</v>
      </c>
      <c r="B8" s="426" t="s">
        <v>7087</v>
      </c>
      <c r="C8" s="106" t="s">
        <v>7088</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1" t="s">
        <v>7089</v>
      </c>
      <c r="F8" s="214" t="str">
        <f>IFERROR(__xludf.DUMMYFUNCTION("GOOGLETRANSLATE(B8,""zh-tw"",""en"")"),"7 - If your computer cannot handle these options, please choose the best option.")</f>
        <v>7 - If your computer cannot handle these options, please choose the best option.</v>
      </c>
      <c r="G8" s="442" t="s">
        <v>7090</v>
      </c>
      <c r="H8" s="427" t="str">
        <f>IFERROR(__xludf.DUMMYFUNCTION("GOOGLETRANSLATE(B8,""zh-tw"",""zh"")"),"7 - 如果你的电脑无法负荷这些选项，请依照最佳的选项即可。")</f>
        <v>7 - 如果你的电脑无法负荷这些选项，请依照最佳的选项即可。</v>
      </c>
      <c r="I8" s="428" t="s">
        <v>7091</v>
      </c>
      <c r="J8" s="428" t="s">
        <v>7092</v>
      </c>
      <c r="K8" s="429" t="s">
        <v>7093</v>
      </c>
      <c r="L8" s="429" t="s">
        <v>7094</v>
      </c>
      <c r="M8" s="135"/>
      <c r="N8" s="135"/>
      <c r="O8" s="135"/>
      <c r="P8" s="135"/>
      <c r="Q8" s="135"/>
      <c r="R8" s="135"/>
      <c r="S8" s="135"/>
      <c r="T8" s="135"/>
      <c r="U8" s="135"/>
      <c r="V8" s="135"/>
      <c r="W8" s="135"/>
    </row>
    <row r="9">
      <c r="A9" s="426" t="s">
        <v>7095</v>
      </c>
      <c r="B9" s="426" t="s">
        <v>7096</v>
      </c>
      <c r="C9" s="106" t="s">
        <v>7097</v>
      </c>
      <c r="D9" s="106" t="str">
        <f>IFERROR(__xludf.DUMMYFUNCTION("GOOGLETRANSLATE(B9,""zh-tw"",""ja"")"),"8- ゲームを起動すると、その優れた安定性を体験できます。")</f>
        <v>8- ゲームを起動すると、その優れた安定性を体験できます。</v>
      </c>
      <c r="E9" s="441" t="s">
        <v>7098</v>
      </c>
      <c r="F9" s="214" t="str">
        <f>IFERROR(__xludf.DUMMYFUNCTION("GOOGLETRANSLATE(B9,""zh-tw"",""en"")"),"8- Now, launch the game and you will experience its excellent stability.")</f>
        <v>8- Now, launch the game and you will experience its excellent stability.</v>
      </c>
      <c r="G9" s="442" t="s">
        <v>7099</v>
      </c>
      <c r="H9" s="427" t="str">
        <f>IFERROR(__xludf.DUMMYFUNCTION("GOOGLETRANSLATE(B9,""zh-tw"",""zh"")"),"8- 现在，将游戏启动，你能体验到良好的稳定性能。")</f>
        <v>8- 现在，将游戏启动，你能体验到良好的稳定性能。</v>
      </c>
      <c r="I9" s="428" t="s">
        <v>7100</v>
      </c>
      <c r="J9" s="428" t="s">
        <v>7101</v>
      </c>
      <c r="K9" s="429" t="s">
        <v>7102</v>
      </c>
      <c r="L9" s="429" t="s">
        <v>7103</v>
      </c>
      <c r="M9" s="135"/>
      <c r="N9" s="135"/>
      <c r="O9" s="135"/>
      <c r="P9" s="135"/>
      <c r="Q9" s="135"/>
      <c r="R9" s="135"/>
      <c r="S9" s="135"/>
      <c r="T9" s="135"/>
      <c r="U9" s="135"/>
      <c r="V9" s="135"/>
      <c r="W9" s="135"/>
    </row>
    <row r="10">
      <c r="A10" s="426"/>
      <c r="B10" s="443" t="s">
        <v>7104</v>
      </c>
      <c r="C10" s="444"/>
      <c r="D10" s="445" t="s">
        <v>7105</v>
      </c>
      <c r="E10" s="446"/>
      <c r="F10" s="447" t="s">
        <v>7019</v>
      </c>
      <c r="G10" s="427"/>
      <c r="H10" s="448" t="s">
        <v>7106</v>
      </c>
      <c r="I10" s="449"/>
      <c r="J10" s="450" t="s">
        <v>7021</v>
      </c>
      <c r="K10" s="451"/>
      <c r="L10" s="435"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6"/>
      <c r="B11" s="436"/>
      <c r="C11" s="135"/>
      <c r="D11" s="135"/>
      <c r="E11" s="135"/>
      <c r="F11" s="436"/>
      <c r="G11" s="135"/>
      <c r="H11" s="135"/>
      <c r="I11" s="135"/>
      <c r="J11" s="437"/>
      <c r="K11" s="452"/>
      <c r="L11" s="452"/>
      <c r="M11" s="135"/>
      <c r="N11" s="135"/>
      <c r="O11" s="135"/>
      <c r="P11" s="135"/>
      <c r="Q11" s="135"/>
      <c r="R11" s="135"/>
      <c r="S11" s="135"/>
      <c r="T11" s="135"/>
      <c r="U11" s="135"/>
      <c r="V11" s="135"/>
      <c r="W11" s="135"/>
    </row>
    <row r="12">
      <c r="A12" s="436"/>
      <c r="B12" s="436"/>
      <c r="C12" s="135"/>
      <c r="D12" s="135"/>
      <c r="E12" s="135"/>
      <c r="F12" s="135"/>
      <c r="G12" s="135"/>
      <c r="H12" s="135"/>
      <c r="I12" s="135"/>
      <c r="J12" s="135"/>
      <c r="K12" s="452"/>
      <c r="L12" s="452"/>
      <c r="M12" s="135"/>
      <c r="N12" s="135"/>
      <c r="O12" s="135"/>
      <c r="P12" s="135"/>
      <c r="Q12" s="135"/>
      <c r="R12" s="135"/>
      <c r="S12" s="135"/>
      <c r="T12" s="135"/>
      <c r="U12" s="135"/>
      <c r="V12" s="135"/>
      <c r="W12" s="135"/>
    </row>
    <row r="13">
      <c r="A13" s="436"/>
      <c r="B13" s="436"/>
      <c r="C13" s="135"/>
      <c r="D13" s="135"/>
      <c r="E13" s="135"/>
      <c r="F13" s="135"/>
      <c r="G13" s="135"/>
      <c r="H13" s="135"/>
      <c r="I13" s="135"/>
      <c r="J13" s="135"/>
      <c r="K13" s="452"/>
      <c r="L13" s="452"/>
      <c r="M13" s="135"/>
      <c r="N13" s="135"/>
      <c r="O13" s="135"/>
      <c r="P13" s="135"/>
      <c r="Q13" s="135"/>
      <c r="R13" s="135"/>
      <c r="S13" s="135"/>
      <c r="T13" s="135"/>
      <c r="U13" s="135"/>
      <c r="V13" s="135"/>
      <c r="W13" s="135"/>
    </row>
    <row r="14">
      <c r="A14" s="436"/>
      <c r="B14" s="436"/>
      <c r="C14" s="135"/>
      <c r="D14" s="135"/>
      <c r="E14" s="135"/>
      <c r="F14" s="135"/>
      <c r="G14" s="135"/>
      <c r="H14" s="135"/>
      <c r="I14" s="135"/>
      <c r="J14" s="135"/>
      <c r="K14" s="452"/>
      <c r="L14" s="452"/>
      <c r="M14" s="135"/>
      <c r="N14" s="135"/>
      <c r="O14" s="135"/>
      <c r="P14" s="135"/>
      <c r="Q14" s="135"/>
      <c r="R14" s="135"/>
      <c r="S14" s="135"/>
      <c r="T14" s="135"/>
      <c r="U14" s="135"/>
      <c r="V14" s="135"/>
      <c r="W14" s="135"/>
    </row>
    <row r="15">
      <c r="A15" s="436"/>
      <c r="B15" s="436"/>
      <c r="C15" s="135"/>
      <c r="D15" s="135"/>
      <c r="E15" s="135"/>
      <c r="F15" s="135"/>
      <c r="G15" s="135"/>
      <c r="H15" s="135"/>
      <c r="I15" s="135"/>
      <c r="J15" s="135"/>
      <c r="K15" s="452"/>
      <c r="L15" s="452"/>
      <c r="M15" s="135"/>
      <c r="N15" s="135"/>
      <c r="O15" s="135"/>
      <c r="P15" s="135"/>
      <c r="Q15" s="135"/>
      <c r="R15" s="135"/>
      <c r="S15" s="135"/>
      <c r="T15" s="135"/>
      <c r="U15" s="135"/>
      <c r="V15" s="135"/>
      <c r="W15" s="135"/>
    </row>
    <row r="16">
      <c r="A16" s="436"/>
      <c r="B16" s="436"/>
      <c r="C16" s="135"/>
      <c r="D16" s="135"/>
      <c r="E16" s="135"/>
      <c r="F16" s="135"/>
      <c r="G16" s="135"/>
      <c r="H16" s="135"/>
      <c r="I16" s="135"/>
      <c r="J16" s="135"/>
      <c r="K16" s="452"/>
      <c r="L16" s="452"/>
      <c r="M16" s="135"/>
      <c r="N16" s="135"/>
      <c r="O16" s="135"/>
      <c r="P16" s="135"/>
      <c r="Q16" s="135"/>
      <c r="R16" s="135"/>
      <c r="S16" s="135"/>
      <c r="T16" s="135"/>
      <c r="U16" s="135"/>
      <c r="V16" s="135"/>
      <c r="W16" s="135"/>
    </row>
    <row r="17">
      <c r="A17" s="436"/>
      <c r="B17" s="436"/>
      <c r="C17" s="135"/>
      <c r="D17" s="135"/>
      <c r="E17" s="135"/>
      <c r="F17" s="135"/>
      <c r="G17" s="135"/>
      <c r="H17" s="135"/>
      <c r="I17" s="135"/>
      <c r="J17" s="135"/>
      <c r="K17" s="452"/>
      <c r="L17" s="452"/>
      <c r="M17" s="135"/>
      <c r="N17" s="135"/>
      <c r="O17" s="135"/>
      <c r="P17" s="135"/>
      <c r="Q17" s="135"/>
      <c r="R17" s="135"/>
      <c r="S17" s="135"/>
      <c r="T17" s="135"/>
      <c r="U17" s="135"/>
      <c r="V17" s="135"/>
      <c r="W17" s="135"/>
    </row>
    <row r="18">
      <c r="A18" s="436"/>
      <c r="B18" s="436"/>
      <c r="C18" s="135"/>
      <c r="D18" s="135"/>
      <c r="E18" s="135"/>
      <c r="F18" s="135"/>
      <c r="G18" s="135"/>
      <c r="H18" s="135"/>
      <c r="I18" s="135"/>
      <c r="J18" s="135"/>
      <c r="K18" s="452"/>
      <c r="L18" s="452"/>
      <c r="M18" s="135"/>
      <c r="N18" s="135"/>
      <c r="O18" s="135"/>
      <c r="P18" s="135"/>
      <c r="Q18" s="135"/>
      <c r="R18" s="135"/>
      <c r="S18" s="135"/>
      <c r="T18" s="135"/>
      <c r="U18" s="135"/>
      <c r="V18" s="135"/>
      <c r="W18" s="135"/>
    </row>
    <row r="19">
      <c r="A19" s="436"/>
      <c r="B19" s="436"/>
      <c r="C19" s="135"/>
      <c r="D19" s="135"/>
      <c r="E19" s="135"/>
      <c r="F19" s="135"/>
      <c r="G19" s="135"/>
      <c r="H19" s="135"/>
      <c r="I19" s="135"/>
      <c r="J19" s="135"/>
      <c r="K19" s="452"/>
      <c r="L19" s="452"/>
      <c r="M19" s="135"/>
      <c r="N19" s="135"/>
      <c r="O19" s="135"/>
      <c r="P19" s="135"/>
      <c r="Q19" s="135"/>
      <c r="R19" s="135"/>
      <c r="S19" s="135"/>
      <c r="T19" s="135"/>
      <c r="U19" s="135"/>
      <c r="V19" s="135"/>
      <c r="W19" s="135"/>
    </row>
    <row r="20">
      <c r="A20" s="436"/>
      <c r="B20" s="436"/>
      <c r="C20" s="135"/>
      <c r="D20" s="135"/>
      <c r="E20" s="135"/>
      <c r="F20" s="135"/>
      <c r="G20" s="135"/>
      <c r="H20" s="135"/>
      <c r="I20" s="135"/>
      <c r="J20" s="135"/>
      <c r="K20" s="452"/>
      <c r="L20" s="452"/>
      <c r="M20" s="135"/>
      <c r="N20" s="135"/>
      <c r="O20" s="135"/>
      <c r="P20" s="135"/>
      <c r="Q20" s="135"/>
      <c r="R20" s="135"/>
      <c r="S20" s="135"/>
      <c r="T20" s="135"/>
      <c r="U20" s="135"/>
      <c r="V20" s="135"/>
      <c r="W20" s="135"/>
    </row>
    <row r="21">
      <c r="A21" s="436"/>
      <c r="B21" s="436"/>
      <c r="C21" s="135"/>
      <c r="D21" s="135"/>
      <c r="E21" s="135"/>
      <c r="F21" s="135"/>
      <c r="G21" s="135"/>
      <c r="H21" s="135"/>
      <c r="I21" s="135"/>
      <c r="J21" s="135"/>
      <c r="K21" s="452"/>
      <c r="L21" s="452"/>
      <c r="M21" s="135"/>
      <c r="N21" s="135"/>
      <c r="O21" s="135"/>
      <c r="P21" s="135"/>
      <c r="Q21" s="135"/>
      <c r="R21" s="135"/>
      <c r="S21" s="135"/>
      <c r="T21" s="135"/>
      <c r="U21" s="135"/>
      <c r="V21" s="135"/>
      <c r="W21" s="135"/>
    </row>
    <row r="22">
      <c r="A22" s="453"/>
      <c r="B22" s="436"/>
      <c r="C22" s="135"/>
      <c r="D22" s="135"/>
      <c r="E22" s="135"/>
      <c r="F22" s="135"/>
      <c r="G22" s="135"/>
      <c r="H22" s="135"/>
      <c r="I22" s="135"/>
      <c r="J22" s="135"/>
      <c r="K22" s="452"/>
      <c r="L22" s="452"/>
      <c r="M22" s="135"/>
      <c r="N22" s="135"/>
      <c r="O22" s="135"/>
      <c r="P22" s="135"/>
      <c r="Q22" s="135"/>
      <c r="R22" s="135"/>
      <c r="S22" s="135"/>
      <c r="T22" s="135"/>
      <c r="U22" s="135"/>
      <c r="V22" s="135"/>
      <c r="W22" s="135"/>
    </row>
    <row r="23">
      <c r="A23" s="436"/>
      <c r="B23" s="436"/>
      <c r="C23" s="135"/>
      <c r="D23" s="135"/>
      <c r="E23" s="135"/>
      <c r="F23" s="135"/>
      <c r="G23" s="135"/>
      <c r="H23" s="135"/>
      <c r="I23" s="135"/>
      <c r="J23" s="135"/>
      <c r="K23" s="452"/>
      <c r="L23" s="452"/>
      <c r="M23" s="135"/>
      <c r="N23" s="135"/>
      <c r="O23" s="135"/>
      <c r="P23" s="135"/>
      <c r="Q23" s="135"/>
      <c r="R23" s="135"/>
      <c r="S23" s="135"/>
      <c r="T23" s="135"/>
      <c r="U23" s="135"/>
      <c r="V23" s="135"/>
      <c r="W23" s="135"/>
    </row>
    <row r="24">
      <c r="A24" s="436"/>
      <c r="B24" s="436"/>
      <c r="C24" s="135"/>
      <c r="D24" s="135"/>
      <c r="E24" s="135"/>
      <c r="F24" s="135"/>
      <c r="G24" s="135"/>
      <c r="H24" s="135"/>
      <c r="I24" s="135"/>
      <c r="J24" s="135"/>
      <c r="K24" s="452"/>
      <c r="L24" s="452"/>
      <c r="M24" s="135"/>
      <c r="N24" s="135"/>
      <c r="O24" s="135"/>
      <c r="P24" s="135"/>
      <c r="Q24" s="135"/>
      <c r="R24" s="135"/>
      <c r="S24" s="135"/>
      <c r="T24" s="135"/>
      <c r="U24" s="135"/>
      <c r="V24" s="135"/>
      <c r="W24" s="135"/>
    </row>
    <row r="25">
      <c r="A25" s="436"/>
      <c r="B25" s="436"/>
      <c r="C25" s="135"/>
      <c r="D25" s="135"/>
      <c r="E25" s="135"/>
      <c r="F25" s="135"/>
      <c r="G25" s="135"/>
      <c r="H25" s="135"/>
      <c r="I25" s="135"/>
      <c r="J25" s="135"/>
      <c r="K25" s="452"/>
      <c r="L25" s="452"/>
      <c r="M25" s="135"/>
      <c r="N25" s="135"/>
      <c r="O25" s="135"/>
      <c r="P25" s="135"/>
      <c r="Q25" s="135"/>
      <c r="R25" s="135"/>
      <c r="S25" s="135"/>
      <c r="T25" s="135"/>
      <c r="U25" s="135"/>
      <c r="V25" s="135"/>
      <c r="W25" s="135"/>
    </row>
    <row r="26">
      <c r="A26" s="436"/>
      <c r="B26" s="436"/>
      <c r="C26" s="135"/>
      <c r="D26" s="135"/>
      <c r="E26" s="135"/>
      <c r="F26" s="135"/>
      <c r="G26" s="135"/>
      <c r="H26" s="135"/>
      <c r="I26" s="135"/>
      <c r="J26" s="135"/>
      <c r="K26" s="452"/>
      <c r="L26" s="452"/>
      <c r="M26" s="135"/>
      <c r="N26" s="135"/>
      <c r="O26" s="135"/>
      <c r="P26" s="135"/>
      <c r="Q26" s="135"/>
      <c r="R26" s="135"/>
      <c r="S26" s="135"/>
      <c r="T26" s="135"/>
      <c r="U26" s="135"/>
      <c r="V26" s="135"/>
      <c r="W26" s="135"/>
    </row>
    <row r="27">
      <c r="A27" s="436"/>
      <c r="B27" s="436"/>
      <c r="C27" s="135"/>
      <c r="D27" s="135"/>
      <c r="E27" s="135"/>
      <c r="F27" s="135"/>
      <c r="G27" s="135"/>
      <c r="H27" s="135"/>
      <c r="I27" s="135"/>
      <c r="J27" s="135"/>
      <c r="K27" s="452"/>
      <c r="L27" s="452"/>
      <c r="M27" s="135"/>
      <c r="N27" s="135"/>
      <c r="O27" s="135"/>
      <c r="P27" s="135"/>
      <c r="Q27" s="135"/>
      <c r="R27" s="135"/>
      <c r="S27" s="135"/>
      <c r="T27" s="135"/>
      <c r="U27" s="135"/>
      <c r="V27" s="135"/>
      <c r="W27" s="135"/>
    </row>
    <row r="28">
      <c r="A28" s="436"/>
      <c r="B28" s="436"/>
      <c r="C28" s="135"/>
      <c r="D28" s="135"/>
      <c r="E28" s="135"/>
      <c r="F28" s="135"/>
      <c r="G28" s="135"/>
      <c r="H28" s="135"/>
      <c r="I28" s="135"/>
      <c r="J28" s="135"/>
      <c r="K28" s="452"/>
      <c r="L28" s="452"/>
      <c r="M28" s="135"/>
      <c r="N28" s="135"/>
      <c r="O28" s="135"/>
      <c r="P28" s="135"/>
      <c r="Q28" s="135"/>
      <c r="R28" s="135"/>
      <c r="S28" s="135"/>
      <c r="T28" s="135"/>
      <c r="U28" s="135"/>
      <c r="V28" s="135"/>
      <c r="W28" s="135"/>
    </row>
    <row r="29">
      <c r="A29" s="436"/>
      <c r="B29" s="436"/>
      <c r="C29" s="135"/>
      <c r="D29" s="135"/>
      <c r="E29" s="135"/>
      <c r="F29" s="135"/>
      <c r="G29" s="135"/>
      <c r="H29" s="135"/>
      <c r="I29" s="135"/>
      <c r="J29" s="135"/>
      <c r="K29" s="452"/>
      <c r="L29" s="452"/>
      <c r="M29" s="135"/>
      <c r="N29" s="135"/>
      <c r="O29" s="135"/>
      <c r="P29" s="135"/>
      <c r="Q29" s="135"/>
      <c r="R29" s="135"/>
      <c r="S29" s="135"/>
      <c r="T29" s="135"/>
      <c r="U29" s="135"/>
      <c r="V29" s="135"/>
      <c r="W29" s="135"/>
    </row>
    <row r="30">
      <c r="A30" s="436"/>
      <c r="B30" s="436"/>
      <c r="C30" s="135"/>
      <c r="D30" s="135"/>
      <c r="E30" s="135"/>
      <c r="F30" s="135"/>
      <c r="G30" s="135"/>
      <c r="H30" s="135"/>
      <c r="I30" s="135"/>
      <c r="J30" s="135"/>
      <c r="K30" s="452"/>
      <c r="L30" s="452"/>
      <c r="M30" s="135"/>
      <c r="N30" s="135"/>
      <c r="O30" s="135"/>
      <c r="P30" s="135"/>
      <c r="Q30" s="135"/>
      <c r="R30" s="135"/>
      <c r="S30" s="135"/>
      <c r="T30" s="135"/>
      <c r="U30" s="135"/>
      <c r="V30" s="135"/>
      <c r="W30" s="135"/>
    </row>
    <row r="31">
      <c r="A31" s="436"/>
      <c r="B31" s="436"/>
      <c r="C31" s="135"/>
      <c r="D31" s="135"/>
      <c r="E31" s="135"/>
      <c r="F31" s="135"/>
      <c r="G31" s="135"/>
      <c r="H31" s="135"/>
      <c r="I31" s="135"/>
      <c r="J31" s="135"/>
      <c r="K31" s="452"/>
      <c r="L31" s="452"/>
      <c r="M31" s="135"/>
      <c r="N31" s="135"/>
      <c r="O31" s="135"/>
      <c r="P31" s="135"/>
      <c r="Q31" s="135"/>
      <c r="R31" s="135"/>
      <c r="S31" s="135"/>
      <c r="T31" s="135"/>
      <c r="U31" s="135"/>
      <c r="V31" s="135"/>
      <c r="W31" s="135"/>
    </row>
    <row r="32">
      <c r="A32" s="436"/>
      <c r="B32" s="436"/>
      <c r="C32" s="135"/>
      <c r="D32" s="135"/>
      <c r="E32" s="135"/>
      <c r="F32" s="135"/>
      <c r="G32" s="135"/>
      <c r="H32" s="135"/>
      <c r="I32" s="135"/>
      <c r="J32" s="135"/>
      <c r="K32" s="452"/>
      <c r="L32" s="452"/>
      <c r="M32" s="135"/>
      <c r="N32" s="135"/>
      <c r="O32" s="135"/>
      <c r="P32" s="135"/>
      <c r="Q32" s="135"/>
      <c r="R32" s="135"/>
      <c r="S32" s="135"/>
      <c r="T32" s="135"/>
      <c r="U32" s="135"/>
      <c r="V32" s="135"/>
      <c r="W32" s="135"/>
    </row>
    <row r="33">
      <c r="A33" s="436"/>
      <c r="B33" s="436"/>
      <c r="C33" s="135"/>
      <c r="D33" s="135"/>
      <c r="E33" s="135"/>
      <c r="F33" s="135"/>
      <c r="G33" s="135"/>
      <c r="H33" s="135"/>
      <c r="I33" s="135"/>
      <c r="J33" s="135"/>
      <c r="K33" s="452"/>
      <c r="L33" s="452"/>
      <c r="M33" s="135"/>
      <c r="N33" s="135"/>
      <c r="O33" s="135"/>
      <c r="P33" s="135"/>
      <c r="Q33" s="135"/>
      <c r="R33" s="135"/>
      <c r="S33" s="135"/>
      <c r="T33" s="135"/>
      <c r="U33" s="135"/>
      <c r="V33" s="135"/>
      <c r="W33" s="135"/>
    </row>
    <row r="34">
      <c r="A34" s="436"/>
      <c r="B34" s="436"/>
      <c r="C34" s="135"/>
      <c r="D34" s="135"/>
      <c r="E34" s="135"/>
      <c r="F34" s="135"/>
      <c r="G34" s="135"/>
      <c r="H34" s="135"/>
      <c r="I34" s="135"/>
      <c r="J34" s="135"/>
      <c r="K34" s="452"/>
      <c r="L34" s="452"/>
      <c r="M34" s="135"/>
      <c r="N34" s="135"/>
      <c r="O34" s="135"/>
      <c r="P34" s="135"/>
      <c r="Q34" s="135"/>
      <c r="R34" s="135"/>
      <c r="S34" s="135"/>
      <c r="T34" s="135"/>
      <c r="U34" s="135"/>
      <c r="V34" s="135"/>
      <c r="W34" s="135"/>
    </row>
    <row r="35">
      <c r="A35" s="436"/>
      <c r="B35" s="436"/>
      <c r="C35" s="135"/>
      <c r="D35" s="135"/>
      <c r="E35" s="135"/>
      <c r="F35" s="135"/>
      <c r="G35" s="135"/>
      <c r="H35" s="135"/>
      <c r="I35" s="135"/>
      <c r="J35" s="135"/>
      <c r="K35" s="452"/>
      <c r="L35" s="452"/>
      <c r="M35" s="135"/>
      <c r="N35" s="135"/>
      <c r="O35" s="135"/>
      <c r="P35" s="135"/>
      <c r="Q35" s="135"/>
      <c r="R35" s="135"/>
      <c r="S35" s="135"/>
      <c r="T35" s="135"/>
      <c r="U35" s="135"/>
      <c r="V35" s="135"/>
      <c r="W35" s="135"/>
    </row>
    <row r="36">
      <c r="A36" s="135"/>
      <c r="B36" s="135"/>
      <c r="C36" s="135"/>
      <c r="D36" s="135"/>
      <c r="E36" s="135"/>
      <c r="F36" s="135"/>
      <c r="G36" s="135"/>
      <c r="H36" s="135"/>
      <c r="I36" s="135"/>
      <c r="J36" s="135"/>
      <c r="K36" s="452"/>
      <c r="L36" s="452"/>
      <c r="M36" s="135"/>
      <c r="N36" s="135"/>
      <c r="O36" s="135"/>
      <c r="P36" s="135"/>
      <c r="Q36" s="135"/>
      <c r="R36" s="135"/>
      <c r="S36" s="135"/>
      <c r="T36" s="135"/>
      <c r="U36" s="135"/>
      <c r="V36" s="135"/>
      <c r="W36" s="135"/>
    </row>
    <row r="37">
      <c r="A37" s="135"/>
      <c r="B37" s="135"/>
      <c r="C37" s="135"/>
      <c r="D37" s="135"/>
      <c r="E37" s="135"/>
      <c r="F37" s="135"/>
      <c r="G37" s="135"/>
      <c r="H37" s="135"/>
      <c r="I37" s="135"/>
      <c r="J37" s="135"/>
      <c r="K37" s="452"/>
      <c r="L37" s="452"/>
      <c r="M37" s="135"/>
      <c r="N37" s="135"/>
      <c r="O37" s="135"/>
      <c r="P37" s="135"/>
      <c r="Q37" s="135"/>
      <c r="R37" s="135"/>
      <c r="S37" s="135"/>
      <c r="T37" s="135"/>
      <c r="U37" s="135"/>
      <c r="V37" s="135"/>
      <c r="W37" s="135"/>
    </row>
    <row r="38">
      <c r="A38" s="135"/>
      <c r="B38" s="135"/>
      <c r="C38" s="135"/>
      <c r="D38" s="135"/>
      <c r="E38" s="135"/>
      <c r="F38" s="135"/>
      <c r="G38" s="135"/>
      <c r="H38" s="135"/>
      <c r="I38" s="135"/>
      <c r="J38" s="135"/>
      <c r="K38" s="452"/>
      <c r="L38" s="452"/>
      <c r="M38" s="135"/>
      <c r="N38" s="135"/>
      <c r="O38" s="135"/>
      <c r="P38" s="135"/>
      <c r="Q38" s="135"/>
      <c r="R38" s="135"/>
      <c r="S38" s="135"/>
      <c r="T38" s="135"/>
      <c r="U38" s="135"/>
      <c r="V38" s="135"/>
      <c r="W38" s="135"/>
    </row>
    <row r="39">
      <c r="A39" s="135"/>
      <c r="B39" s="135"/>
      <c r="C39" s="135"/>
      <c r="D39" s="135"/>
      <c r="E39" s="135"/>
      <c r="F39" s="135"/>
      <c r="G39" s="135"/>
      <c r="H39" s="135"/>
      <c r="I39" s="135"/>
      <c r="J39" s="135"/>
      <c r="K39" s="452"/>
      <c r="L39" s="452"/>
      <c r="M39" s="135"/>
      <c r="N39" s="135"/>
      <c r="O39" s="135"/>
      <c r="P39" s="135"/>
      <c r="Q39" s="135"/>
      <c r="R39" s="135"/>
      <c r="S39" s="135"/>
      <c r="T39" s="135"/>
      <c r="U39" s="135"/>
      <c r="V39" s="135"/>
      <c r="W39" s="135"/>
    </row>
    <row r="40">
      <c r="A40" s="135"/>
      <c r="B40" s="135"/>
      <c r="C40" s="135"/>
      <c r="D40" s="135"/>
      <c r="E40" s="135"/>
      <c r="F40" s="135"/>
      <c r="G40" s="135"/>
      <c r="H40" s="135"/>
      <c r="I40" s="135"/>
      <c r="J40" s="135"/>
      <c r="K40" s="452"/>
      <c r="L40" s="452"/>
      <c r="M40" s="135"/>
      <c r="N40" s="135"/>
      <c r="O40" s="135"/>
      <c r="P40" s="135"/>
      <c r="Q40" s="135"/>
      <c r="R40" s="135"/>
      <c r="S40" s="135"/>
      <c r="T40" s="135"/>
      <c r="U40" s="135"/>
      <c r="V40" s="135"/>
      <c r="W40" s="135"/>
    </row>
    <row r="41">
      <c r="A41" s="135"/>
      <c r="B41" s="135"/>
      <c r="C41" s="135"/>
      <c r="D41" s="135"/>
      <c r="E41" s="135"/>
      <c r="F41" s="135"/>
      <c r="G41" s="135"/>
      <c r="H41" s="135"/>
      <c r="I41" s="135"/>
      <c r="J41" s="135"/>
      <c r="K41" s="452"/>
      <c r="L41" s="452"/>
      <c r="M41" s="135"/>
      <c r="N41" s="135"/>
      <c r="O41" s="135"/>
      <c r="P41" s="135"/>
      <c r="Q41" s="135"/>
      <c r="R41" s="135"/>
      <c r="S41" s="135"/>
      <c r="T41" s="135"/>
      <c r="U41" s="135"/>
      <c r="V41" s="135"/>
      <c r="W41" s="135"/>
    </row>
    <row r="42">
      <c r="A42" s="135"/>
      <c r="B42" s="135"/>
      <c r="C42" s="135"/>
      <c r="D42" s="135"/>
      <c r="E42" s="135"/>
      <c r="F42" s="135"/>
      <c r="G42" s="135"/>
      <c r="H42" s="135"/>
      <c r="I42" s="135"/>
      <c r="J42" s="135"/>
      <c r="K42" s="452"/>
      <c r="L42" s="452"/>
      <c r="M42" s="135"/>
      <c r="N42" s="135"/>
      <c r="O42" s="135"/>
      <c r="P42" s="135"/>
      <c r="Q42" s="135"/>
      <c r="R42" s="135"/>
      <c r="S42" s="135"/>
      <c r="T42" s="135"/>
      <c r="U42" s="135"/>
      <c r="V42" s="135"/>
      <c r="W42" s="135"/>
    </row>
    <row r="43">
      <c r="A43" s="135"/>
      <c r="B43" s="135"/>
      <c r="C43" s="135"/>
      <c r="D43" s="135"/>
      <c r="E43" s="135"/>
      <c r="F43" s="135"/>
      <c r="G43" s="135"/>
      <c r="H43" s="135"/>
      <c r="I43" s="135"/>
      <c r="J43" s="135"/>
      <c r="K43" s="452"/>
      <c r="L43" s="452"/>
      <c r="M43" s="135"/>
      <c r="N43" s="135"/>
      <c r="O43" s="135"/>
      <c r="P43" s="135"/>
      <c r="Q43" s="135"/>
      <c r="R43" s="135"/>
      <c r="S43" s="135"/>
      <c r="T43" s="135"/>
      <c r="U43" s="135"/>
      <c r="V43" s="135"/>
      <c r="W43" s="135"/>
    </row>
    <row r="44">
      <c r="A44" s="135"/>
      <c r="B44" s="135"/>
      <c r="C44" s="135"/>
      <c r="D44" s="135"/>
      <c r="E44" s="135"/>
      <c r="F44" s="135"/>
      <c r="G44" s="135"/>
      <c r="H44" s="135"/>
      <c r="I44" s="135"/>
      <c r="J44" s="135"/>
      <c r="K44" s="452"/>
      <c r="L44" s="452"/>
      <c r="M44" s="135"/>
      <c r="N44" s="135"/>
      <c r="O44" s="135"/>
      <c r="P44" s="135"/>
      <c r="Q44" s="135"/>
      <c r="R44" s="135"/>
      <c r="S44" s="135"/>
      <c r="T44" s="135"/>
      <c r="U44" s="135"/>
      <c r="V44" s="135"/>
      <c r="W44" s="135"/>
    </row>
    <row r="45">
      <c r="A45" s="135"/>
      <c r="B45" s="135"/>
      <c r="C45" s="135"/>
      <c r="D45" s="135"/>
      <c r="E45" s="135"/>
      <c r="F45" s="135"/>
      <c r="G45" s="135"/>
      <c r="H45" s="135"/>
      <c r="I45" s="135"/>
      <c r="J45" s="135"/>
      <c r="K45" s="452"/>
      <c r="L45" s="452"/>
      <c r="M45" s="135"/>
      <c r="N45" s="135"/>
      <c r="O45" s="135"/>
      <c r="P45" s="135"/>
      <c r="Q45" s="135"/>
      <c r="R45" s="135"/>
      <c r="S45" s="135"/>
      <c r="T45" s="135"/>
      <c r="U45" s="135"/>
      <c r="V45" s="135"/>
      <c r="W45" s="135"/>
    </row>
    <row r="46">
      <c r="A46" s="135"/>
      <c r="B46" s="135"/>
      <c r="C46" s="135"/>
      <c r="D46" s="135"/>
      <c r="E46" s="135"/>
      <c r="F46" s="135"/>
      <c r="G46" s="135"/>
      <c r="H46" s="135"/>
      <c r="I46" s="135"/>
      <c r="J46" s="135"/>
      <c r="K46" s="452"/>
      <c r="L46" s="452"/>
      <c r="M46" s="135"/>
      <c r="N46" s="135"/>
      <c r="O46" s="135"/>
      <c r="P46" s="135"/>
      <c r="Q46" s="135"/>
      <c r="R46" s="135"/>
      <c r="S46" s="135"/>
      <c r="T46" s="135"/>
      <c r="U46" s="135"/>
      <c r="V46" s="135"/>
      <c r="W46" s="135"/>
    </row>
    <row r="47">
      <c r="A47" s="135"/>
      <c r="B47" s="135"/>
      <c r="C47" s="135"/>
      <c r="D47" s="135"/>
      <c r="E47" s="135"/>
      <c r="F47" s="135"/>
      <c r="G47" s="135"/>
      <c r="H47" s="135"/>
      <c r="I47" s="135"/>
      <c r="J47" s="135"/>
      <c r="K47" s="452"/>
      <c r="L47" s="452"/>
      <c r="M47" s="135"/>
      <c r="N47" s="135"/>
      <c r="O47" s="135"/>
      <c r="P47" s="135"/>
      <c r="Q47" s="135"/>
      <c r="R47" s="135"/>
      <c r="S47" s="135"/>
      <c r="T47" s="135"/>
      <c r="U47" s="135"/>
      <c r="V47" s="135"/>
      <c r="W47" s="135"/>
    </row>
    <row r="48">
      <c r="A48" s="135"/>
      <c r="B48" s="135"/>
      <c r="C48" s="135"/>
      <c r="D48" s="135"/>
      <c r="E48" s="135"/>
      <c r="F48" s="135"/>
      <c r="G48" s="135"/>
      <c r="H48" s="135"/>
      <c r="I48" s="135"/>
      <c r="J48" s="135"/>
      <c r="K48" s="452"/>
      <c r="L48" s="452"/>
      <c r="M48" s="135"/>
      <c r="N48" s="135"/>
      <c r="O48" s="135"/>
      <c r="P48" s="135"/>
      <c r="Q48" s="135"/>
      <c r="R48" s="135"/>
      <c r="S48" s="135"/>
      <c r="T48" s="135"/>
      <c r="U48" s="135"/>
      <c r="V48" s="135"/>
      <c r="W48" s="135"/>
    </row>
    <row r="49">
      <c r="A49" s="135"/>
      <c r="B49" s="135"/>
      <c r="C49" s="135"/>
      <c r="D49" s="135"/>
      <c r="E49" s="135"/>
      <c r="F49" s="135"/>
      <c r="G49" s="135"/>
      <c r="H49" s="135"/>
      <c r="I49" s="135"/>
      <c r="J49" s="135"/>
      <c r="K49" s="452"/>
      <c r="L49" s="452"/>
      <c r="M49" s="135"/>
      <c r="N49" s="135"/>
      <c r="O49" s="135"/>
      <c r="P49" s="135"/>
      <c r="Q49" s="135"/>
      <c r="R49" s="135"/>
      <c r="S49" s="135"/>
      <c r="T49" s="135"/>
      <c r="U49" s="135"/>
      <c r="V49" s="135"/>
      <c r="W49" s="135"/>
    </row>
    <row r="50">
      <c r="A50" s="135"/>
      <c r="B50" s="135"/>
      <c r="C50" s="135"/>
      <c r="D50" s="135"/>
      <c r="E50" s="135"/>
      <c r="F50" s="135"/>
      <c r="G50" s="135"/>
      <c r="H50" s="135"/>
      <c r="I50" s="135"/>
      <c r="J50" s="135"/>
      <c r="K50" s="452"/>
      <c r="L50" s="452"/>
      <c r="M50" s="135"/>
      <c r="N50" s="135"/>
      <c r="O50" s="135"/>
      <c r="P50" s="135"/>
      <c r="Q50" s="135"/>
      <c r="R50" s="135"/>
      <c r="S50" s="135"/>
      <c r="T50" s="135"/>
      <c r="U50" s="135"/>
      <c r="V50" s="135"/>
      <c r="W50" s="135"/>
    </row>
    <row r="51">
      <c r="A51" s="135"/>
      <c r="B51" s="135"/>
      <c r="C51" s="135"/>
      <c r="D51" s="135"/>
      <c r="E51" s="135"/>
      <c r="F51" s="135"/>
      <c r="G51" s="135"/>
      <c r="H51" s="135"/>
      <c r="I51" s="135"/>
      <c r="J51" s="135"/>
      <c r="K51" s="452"/>
      <c r="L51" s="452"/>
      <c r="M51" s="135"/>
      <c r="N51" s="135"/>
      <c r="O51" s="135"/>
      <c r="P51" s="135"/>
      <c r="Q51" s="135"/>
      <c r="R51" s="135"/>
      <c r="S51" s="135"/>
      <c r="T51" s="135"/>
      <c r="U51" s="135"/>
      <c r="V51" s="135"/>
      <c r="W51" s="135"/>
    </row>
    <row r="52">
      <c r="A52" s="135"/>
      <c r="B52" s="135"/>
      <c r="C52" s="135"/>
      <c r="D52" s="135"/>
      <c r="E52" s="135"/>
      <c r="F52" s="135"/>
      <c r="G52" s="135"/>
      <c r="H52" s="135"/>
      <c r="I52" s="135"/>
      <c r="J52" s="135"/>
      <c r="K52" s="452"/>
      <c r="L52" s="452"/>
      <c r="M52" s="135"/>
      <c r="N52" s="135"/>
      <c r="O52" s="135"/>
      <c r="P52" s="135"/>
      <c r="Q52" s="135"/>
      <c r="R52" s="135"/>
      <c r="S52" s="135"/>
      <c r="T52" s="135"/>
      <c r="U52" s="135"/>
      <c r="V52" s="135"/>
      <c r="W52" s="135"/>
    </row>
    <row r="53">
      <c r="A53" s="135"/>
      <c r="B53" s="135"/>
      <c r="C53" s="135"/>
      <c r="D53" s="135"/>
      <c r="E53" s="135"/>
      <c r="F53" s="135"/>
      <c r="G53" s="135"/>
      <c r="H53" s="135"/>
      <c r="I53" s="135"/>
      <c r="J53" s="135"/>
      <c r="K53" s="452"/>
      <c r="L53" s="452"/>
      <c r="M53" s="135"/>
      <c r="N53" s="135"/>
      <c r="O53" s="135"/>
      <c r="P53" s="135"/>
      <c r="Q53" s="135"/>
      <c r="R53" s="135"/>
      <c r="S53" s="135"/>
      <c r="T53" s="135"/>
      <c r="U53" s="135"/>
      <c r="V53" s="135"/>
      <c r="W53" s="135"/>
    </row>
    <row r="54">
      <c r="A54" s="135"/>
      <c r="B54" s="135"/>
      <c r="C54" s="135"/>
      <c r="D54" s="135"/>
      <c r="E54" s="135"/>
      <c r="F54" s="135"/>
      <c r="G54" s="135"/>
      <c r="H54" s="135"/>
      <c r="I54" s="135"/>
      <c r="J54" s="135"/>
      <c r="K54" s="452"/>
      <c r="L54" s="452"/>
      <c r="M54" s="135"/>
      <c r="N54" s="135"/>
      <c r="O54" s="135"/>
      <c r="P54" s="135"/>
      <c r="Q54" s="135"/>
      <c r="R54" s="135"/>
      <c r="S54" s="135"/>
      <c r="T54" s="135"/>
      <c r="U54" s="135"/>
      <c r="V54" s="135"/>
      <c r="W54" s="135"/>
    </row>
    <row r="55">
      <c r="A55" s="135"/>
      <c r="B55" s="135"/>
      <c r="C55" s="135"/>
      <c r="D55" s="135"/>
      <c r="E55" s="135"/>
      <c r="F55" s="135"/>
      <c r="G55" s="135"/>
      <c r="H55" s="135"/>
      <c r="I55" s="135"/>
      <c r="J55" s="135"/>
      <c r="K55" s="452"/>
      <c r="L55" s="452"/>
      <c r="M55" s="135"/>
      <c r="N55" s="135"/>
      <c r="O55" s="135"/>
      <c r="P55" s="135"/>
      <c r="Q55" s="135"/>
      <c r="R55" s="135"/>
      <c r="S55" s="135"/>
      <c r="T55" s="135"/>
      <c r="U55" s="135"/>
      <c r="V55" s="135"/>
      <c r="W55" s="135"/>
    </row>
    <row r="56">
      <c r="A56" s="135"/>
      <c r="B56" s="135"/>
      <c r="C56" s="135"/>
      <c r="D56" s="135"/>
      <c r="E56" s="135"/>
      <c r="F56" s="135"/>
      <c r="G56" s="135"/>
      <c r="H56" s="135"/>
      <c r="I56" s="135"/>
      <c r="J56" s="135"/>
      <c r="K56" s="452"/>
      <c r="L56" s="452"/>
      <c r="M56" s="135"/>
      <c r="N56" s="135"/>
      <c r="O56" s="135"/>
      <c r="P56" s="135"/>
      <c r="Q56" s="135"/>
      <c r="R56" s="135"/>
      <c r="S56" s="135"/>
      <c r="T56" s="135"/>
      <c r="U56" s="135"/>
      <c r="V56" s="135"/>
      <c r="W56" s="135"/>
    </row>
    <row r="57">
      <c r="A57" s="135"/>
      <c r="B57" s="135"/>
      <c r="C57" s="135"/>
      <c r="D57" s="135"/>
      <c r="E57" s="135"/>
      <c r="F57" s="135"/>
      <c r="G57" s="135"/>
      <c r="H57" s="135"/>
      <c r="I57" s="135"/>
      <c r="J57" s="135"/>
      <c r="K57" s="452"/>
      <c r="L57" s="452"/>
      <c r="M57" s="135"/>
      <c r="N57" s="135"/>
      <c r="O57" s="135"/>
      <c r="P57" s="135"/>
      <c r="Q57" s="135"/>
      <c r="R57" s="135"/>
      <c r="S57" s="135"/>
      <c r="T57" s="135"/>
      <c r="U57" s="135"/>
      <c r="V57" s="135"/>
      <c r="W57" s="135"/>
    </row>
    <row r="58">
      <c r="A58" s="135"/>
      <c r="B58" s="135"/>
      <c r="C58" s="135"/>
      <c r="D58" s="135"/>
      <c r="E58" s="135"/>
      <c r="F58" s="135"/>
      <c r="G58" s="135"/>
      <c r="H58" s="135"/>
      <c r="I58" s="135"/>
      <c r="J58" s="135"/>
      <c r="K58" s="452"/>
      <c r="L58" s="452"/>
      <c r="M58" s="135"/>
      <c r="N58" s="135"/>
      <c r="O58" s="135"/>
      <c r="P58" s="135"/>
      <c r="Q58" s="135"/>
      <c r="R58" s="135"/>
      <c r="S58" s="135"/>
      <c r="T58" s="135"/>
      <c r="U58" s="135"/>
      <c r="V58" s="135"/>
      <c r="W58" s="135"/>
    </row>
    <row r="59">
      <c r="A59" s="135"/>
      <c r="B59" s="135"/>
      <c r="C59" s="135"/>
      <c r="D59" s="135"/>
      <c r="E59" s="135"/>
      <c r="F59" s="135"/>
      <c r="G59" s="135"/>
      <c r="H59" s="135"/>
      <c r="I59" s="135"/>
      <c r="J59" s="135"/>
      <c r="K59" s="452"/>
      <c r="L59" s="452"/>
      <c r="M59" s="135"/>
      <c r="N59" s="135"/>
      <c r="O59" s="135"/>
      <c r="P59" s="135"/>
      <c r="Q59" s="135"/>
      <c r="R59" s="135"/>
      <c r="S59" s="135"/>
      <c r="T59" s="135"/>
      <c r="U59" s="135"/>
      <c r="V59" s="135"/>
      <c r="W59" s="135"/>
    </row>
    <row r="60">
      <c r="A60" s="135"/>
      <c r="B60" s="135"/>
      <c r="C60" s="135"/>
      <c r="D60" s="135"/>
      <c r="E60" s="135"/>
      <c r="F60" s="135"/>
      <c r="G60" s="135"/>
      <c r="H60" s="135"/>
      <c r="I60" s="135"/>
      <c r="J60" s="135"/>
      <c r="K60" s="452"/>
      <c r="L60" s="452"/>
      <c r="M60" s="135"/>
      <c r="N60" s="135"/>
      <c r="O60" s="135"/>
      <c r="P60" s="135"/>
      <c r="Q60" s="135"/>
      <c r="R60" s="135"/>
      <c r="S60" s="135"/>
      <c r="T60" s="135"/>
      <c r="U60" s="135"/>
      <c r="V60" s="135"/>
      <c r="W60" s="135"/>
    </row>
    <row r="61">
      <c r="A61" s="135"/>
      <c r="B61" s="135"/>
      <c r="C61" s="135"/>
      <c r="D61" s="135"/>
      <c r="E61" s="135"/>
      <c r="F61" s="135"/>
      <c r="G61" s="135"/>
      <c r="H61" s="135"/>
      <c r="I61" s="135"/>
      <c r="J61" s="135"/>
      <c r="K61" s="452"/>
      <c r="L61" s="452"/>
      <c r="M61" s="135"/>
      <c r="N61" s="135"/>
      <c r="O61" s="135"/>
      <c r="P61" s="135"/>
      <c r="Q61" s="135"/>
      <c r="R61" s="135"/>
      <c r="S61" s="135"/>
      <c r="T61" s="135"/>
      <c r="U61" s="135"/>
      <c r="V61" s="135"/>
      <c r="W61" s="135"/>
    </row>
    <row r="62">
      <c r="A62" s="135"/>
      <c r="B62" s="135"/>
      <c r="C62" s="135"/>
      <c r="D62" s="135"/>
      <c r="E62" s="135"/>
      <c r="F62" s="135"/>
      <c r="G62" s="135"/>
      <c r="H62" s="135"/>
      <c r="I62" s="135"/>
      <c r="J62" s="135"/>
      <c r="K62" s="452"/>
      <c r="L62" s="452"/>
      <c r="M62" s="135"/>
      <c r="N62" s="135"/>
      <c r="O62" s="135"/>
      <c r="P62" s="135"/>
      <c r="Q62" s="135"/>
      <c r="R62" s="135"/>
      <c r="S62" s="135"/>
      <c r="T62" s="135"/>
      <c r="U62" s="135"/>
      <c r="V62" s="135"/>
      <c r="W62" s="135"/>
    </row>
    <row r="63">
      <c r="A63" s="135"/>
      <c r="B63" s="135"/>
      <c r="C63" s="135"/>
      <c r="D63" s="135"/>
      <c r="E63" s="135"/>
      <c r="F63" s="135"/>
      <c r="G63" s="135"/>
      <c r="H63" s="135"/>
      <c r="I63" s="135"/>
      <c r="J63" s="135"/>
      <c r="K63" s="452"/>
      <c r="L63" s="452"/>
      <c r="M63" s="135"/>
      <c r="N63" s="135"/>
      <c r="O63" s="135"/>
      <c r="P63" s="135"/>
      <c r="Q63" s="135"/>
      <c r="R63" s="135"/>
      <c r="S63" s="135"/>
      <c r="T63" s="135"/>
      <c r="U63" s="135"/>
      <c r="V63" s="135"/>
      <c r="W63" s="135"/>
    </row>
    <row r="64">
      <c r="A64" s="135"/>
      <c r="B64" s="135"/>
      <c r="C64" s="135"/>
      <c r="D64" s="135"/>
      <c r="E64" s="135"/>
      <c r="F64" s="135"/>
      <c r="G64" s="135"/>
      <c r="H64" s="135"/>
      <c r="I64" s="135"/>
      <c r="J64" s="135"/>
      <c r="K64" s="452"/>
      <c r="L64" s="452"/>
      <c r="M64" s="135"/>
      <c r="N64" s="135"/>
      <c r="O64" s="135"/>
      <c r="P64" s="135"/>
      <c r="Q64" s="135"/>
      <c r="R64" s="135"/>
      <c r="S64" s="135"/>
      <c r="T64" s="135"/>
      <c r="U64" s="135"/>
      <c r="V64" s="135"/>
      <c r="W64" s="135"/>
    </row>
    <row r="65">
      <c r="A65" s="135"/>
      <c r="B65" s="135"/>
      <c r="C65" s="135"/>
      <c r="D65" s="135"/>
      <c r="E65" s="135"/>
      <c r="F65" s="135"/>
      <c r="G65" s="135"/>
      <c r="H65" s="135"/>
      <c r="I65" s="135"/>
      <c r="J65" s="135"/>
      <c r="K65" s="452"/>
      <c r="L65" s="452"/>
      <c r="M65" s="135"/>
      <c r="N65" s="135"/>
      <c r="O65" s="135"/>
      <c r="P65" s="135"/>
      <c r="Q65" s="135"/>
      <c r="R65" s="135"/>
      <c r="S65" s="135"/>
      <c r="T65" s="135"/>
      <c r="U65" s="135"/>
      <c r="V65" s="135"/>
      <c r="W65" s="135"/>
    </row>
    <row r="66">
      <c r="A66" s="135"/>
      <c r="B66" s="135"/>
      <c r="C66" s="135"/>
      <c r="D66" s="135"/>
      <c r="E66" s="135"/>
      <c r="F66" s="135"/>
      <c r="G66" s="135"/>
      <c r="H66" s="135"/>
      <c r="I66" s="135"/>
      <c r="J66" s="135"/>
      <c r="K66" s="452"/>
      <c r="L66" s="452"/>
      <c r="M66" s="135"/>
      <c r="N66" s="135"/>
      <c r="O66" s="135"/>
      <c r="P66" s="135"/>
      <c r="Q66" s="135"/>
      <c r="R66" s="135"/>
      <c r="S66" s="135"/>
      <c r="T66" s="135"/>
      <c r="U66" s="135"/>
      <c r="V66" s="135"/>
      <c r="W66" s="135"/>
    </row>
    <row r="67">
      <c r="A67" s="135"/>
      <c r="B67" s="135"/>
      <c r="C67" s="135"/>
      <c r="D67" s="135"/>
      <c r="E67" s="135"/>
      <c r="F67" s="135"/>
      <c r="G67" s="135"/>
      <c r="H67" s="135"/>
      <c r="I67" s="135"/>
      <c r="J67" s="135"/>
      <c r="K67" s="452"/>
      <c r="L67" s="452"/>
      <c r="M67" s="135"/>
      <c r="N67" s="135"/>
      <c r="O67" s="135"/>
      <c r="P67" s="135"/>
      <c r="Q67" s="135"/>
      <c r="R67" s="135"/>
      <c r="S67" s="135"/>
      <c r="T67" s="135"/>
      <c r="U67" s="135"/>
      <c r="V67" s="135"/>
      <c r="W67" s="135"/>
    </row>
    <row r="68">
      <c r="A68" s="135"/>
      <c r="B68" s="135"/>
      <c r="C68" s="135"/>
      <c r="D68" s="135"/>
      <c r="E68" s="135"/>
      <c r="F68" s="135"/>
      <c r="G68" s="135"/>
      <c r="H68" s="135"/>
      <c r="I68" s="135"/>
      <c r="J68" s="135"/>
      <c r="K68" s="452"/>
      <c r="L68" s="452"/>
      <c r="M68" s="135"/>
      <c r="N68" s="135"/>
      <c r="O68" s="135"/>
      <c r="P68" s="135"/>
      <c r="Q68" s="135"/>
      <c r="R68" s="135"/>
      <c r="S68" s="135"/>
      <c r="T68" s="135"/>
      <c r="U68" s="135"/>
      <c r="V68" s="135"/>
      <c r="W68" s="135"/>
    </row>
    <row r="69">
      <c r="A69" s="135"/>
      <c r="B69" s="135"/>
      <c r="C69" s="135"/>
      <c r="D69" s="135"/>
      <c r="E69" s="135"/>
      <c r="F69" s="135"/>
      <c r="G69" s="135"/>
      <c r="H69" s="135"/>
      <c r="I69" s="135"/>
      <c r="J69" s="135"/>
      <c r="K69" s="452"/>
      <c r="L69" s="452"/>
      <c r="M69" s="135"/>
      <c r="N69" s="135"/>
      <c r="O69" s="135"/>
      <c r="P69" s="135"/>
      <c r="Q69" s="135"/>
      <c r="R69" s="135"/>
      <c r="S69" s="135"/>
      <c r="T69" s="135"/>
      <c r="U69" s="135"/>
      <c r="V69" s="135"/>
      <c r="W69" s="135"/>
    </row>
    <row r="70">
      <c r="A70" s="135"/>
      <c r="B70" s="135"/>
      <c r="C70" s="135"/>
      <c r="D70" s="135"/>
      <c r="E70" s="135"/>
      <c r="F70" s="135"/>
      <c r="G70" s="135"/>
      <c r="H70" s="135"/>
      <c r="I70" s="135"/>
      <c r="J70" s="135"/>
      <c r="K70" s="452"/>
      <c r="L70" s="452"/>
      <c r="M70" s="135"/>
      <c r="N70" s="135"/>
      <c r="O70" s="135"/>
      <c r="P70" s="135"/>
      <c r="Q70" s="135"/>
      <c r="R70" s="135"/>
      <c r="S70" s="135"/>
      <c r="T70" s="135"/>
      <c r="U70" s="135"/>
      <c r="V70" s="135"/>
      <c r="W70" s="135"/>
    </row>
    <row r="71">
      <c r="A71" s="135"/>
      <c r="B71" s="135"/>
      <c r="C71" s="135"/>
      <c r="D71" s="135"/>
      <c r="E71" s="135"/>
      <c r="F71" s="135"/>
      <c r="G71" s="135"/>
      <c r="H71" s="135"/>
      <c r="I71" s="135"/>
      <c r="J71" s="135"/>
      <c r="K71" s="452"/>
      <c r="L71" s="452"/>
      <c r="M71" s="135"/>
      <c r="N71" s="135"/>
      <c r="O71" s="135"/>
      <c r="P71" s="135"/>
      <c r="Q71" s="135"/>
      <c r="R71" s="135"/>
      <c r="S71" s="135"/>
      <c r="T71" s="135"/>
      <c r="U71" s="135"/>
      <c r="V71" s="135"/>
      <c r="W71" s="135"/>
    </row>
    <row r="72">
      <c r="A72" s="135"/>
      <c r="B72" s="135"/>
      <c r="C72" s="135"/>
      <c r="D72" s="135"/>
      <c r="E72" s="135"/>
      <c r="F72" s="135"/>
      <c r="G72" s="135"/>
      <c r="H72" s="135"/>
      <c r="I72" s="135"/>
      <c r="J72" s="135"/>
      <c r="K72" s="452"/>
      <c r="L72" s="452"/>
      <c r="M72" s="135"/>
      <c r="N72" s="135"/>
      <c r="O72" s="135"/>
      <c r="P72" s="135"/>
      <c r="Q72" s="135"/>
      <c r="R72" s="135"/>
      <c r="S72" s="135"/>
      <c r="T72" s="135"/>
      <c r="U72" s="135"/>
      <c r="V72" s="135"/>
      <c r="W72" s="135"/>
    </row>
    <row r="73">
      <c r="A73" s="135"/>
      <c r="B73" s="135"/>
      <c r="C73" s="135"/>
      <c r="D73" s="135"/>
      <c r="E73" s="135"/>
      <c r="F73" s="135"/>
      <c r="G73" s="135"/>
      <c r="H73" s="135"/>
      <c r="I73" s="135"/>
      <c r="J73" s="135"/>
      <c r="K73" s="452"/>
      <c r="L73" s="452"/>
      <c r="M73" s="135"/>
      <c r="N73" s="135"/>
      <c r="O73" s="135"/>
      <c r="P73" s="135"/>
      <c r="Q73" s="135"/>
      <c r="R73" s="135"/>
      <c r="S73" s="135"/>
      <c r="T73" s="135"/>
      <c r="U73" s="135"/>
      <c r="V73" s="135"/>
      <c r="W73" s="135"/>
    </row>
    <row r="74">
      <c r="A74" s="135"/>
      <c r="B74" s="135"/>
      <c r="C74" s="135"/>
      <c r="D74" s="135"/>
      <c r="E74" s="135"/>
      <c r="F74" s="135"/>
      <c r="G74" s="135"/>
      <c r="H74" s="135"/>
      <c r="I74" s="135"/>
      <c r="J74" s="135"/>
      <c r="K74" s="452"/>
      <c r="L74" s="452"/>
      <c r="M74" s="135"/>
      <c r="N74" s="135"/>
      <c r="O74" s="135"/>
      <c r="P74" s="135"/>
      <c r="Q74" s="135"/>
      <c r="R74" s="135"/>
      <c r="S74" s="135"/>
      <c r="T74" s="135"/>
      <c r="U74" s="135"/>
      <c r="V74" s="135"/>
      <c r="W74" s="135"/>
    </row>
    <row r="75">
      <c r="A75" s="135"/>
      <c r="B75" s="135"/>
      <c r="C75" s="135"/>
      <c r="D75" s="135"/>
      <c r="E75" s="135"/>
      <c r="F75" s="135"/>
      <c r="G75" s="135"/>
      <c r="H75" s="135"/>
      <c r="I75" s="135"/>
      <c r="J75" s="135"/>
      <c r="K75" s="452"/>
      <c r="L75" s="452"/>
      <c r="M75" s="135"/>
      <c r="N75" s="135"/>
      <c r="O75" s="135"/>
      <c r="P75" s="135"/>
      <c r="Q75" s="135"/>
      <c r="R75" s="135"/>
      <c r="S75" s="135"/>
      <c r="T75" s="135"/>
      <c r="U75" s="135"/>
      <c r="V75" s="135"/>
      <c r="W75" s="135"/>
    </row>
    <row r="76">
      <c r="A76" s="135"/>
      <c r="B76" s="135"/>
      <c r="C76" s="135"/>
      <c r="D76" s="135"/>
      <c r="E76" s="135"/>
      <c r="F76" s="135"/>
      <c r="G76" s="135"/>
      <c r="H76" s="135"/>
      <c r="I76" s="135"/>
      <c r="J76" s="135"/>
      <c r="K76" s="452"/>
      <c r="L76" s="452"/>
      <c r="M76" s="135"/>
      <c r="N76" s="135"/>
      <c r="O76" s="135"/>
      <c r="P76" s="135"/>
      <c r="Q76" s="135"/>
      <c r="R76" s="135"/>
      <c r="S76" s="135"/>
      <c r="T76" s="135"/>
      <c r="U76" s="135"/>
      <c r="V76" s="135"/>
      <c r="W76" s="135"/>
    </row>
    <row r="77">
      <c r="A77" s="135"/>
      <c r="B77" s="135"/>
      <c r="C77" s="135"/>
      <c r="D77" s="135"/>
      <c r="E77" s="135"/>
      <c r="F77" s="135"/>
      <c r="G77" s="135"/>
      <c r="H77" s="135"/>
      <c r="I77" s="135"/>
      <c r="J77" s="135"/>
      <c r="K77" s="452"/>
      <c r="L77" s="452"/>
      <c r="M77" s="135"/>
      <c r="N77" s="135"/>
      <c r="O77" s="135"/>
      <c r="P77" s="135"/>
      <c r="Q77" s="135"/>
      <c r="R77" s="135"/>
      <c r="S77" s="135"/>
      <c r="T77" s="135"/>
      <c r="U77" s="135"/>
      <c r="V77" s="135"/>
      <c r="W77" s="135"/>
    </row>
    <row r="78">
      <c r="A78" s="135"/>
      <c r="B78" s="135"/>
      <c r="C78" s="135"/>
      <c r="D78" s="135"/>
      <c r="E78" s="135"/>
      <c r="F78" s="135"/>
      <c r="G78" s="135"/>
      <c r="H78" s="135"/>
      <c r="I78" s="135"/>
      <c r="J78" s="135"/>
      <c r="K78" s="452"/>
      <c r="L78" s="452"/>
      <c r="M78" s="135"/>
      <c r="N78" s="135"/>
      <c r="O78" s="135"/>
      <c r="P78" s="135"/>
      <c r="Q78" s="135"/>
      <c r="R78" s="135"/>
      <c r="S78" s="135"/>
      <c r="T78" s="135"/>
      <c r="U78" s="135"/>
      <c r="V78" s="135"/>
      <c r="W78" s="135"/>
    </row>
    <row r="79">
      <c r="A79" s="135"/>
      <c r="B79" s="135"/>
      <c r="C79" s="135"/>
      <c r="D79" s="135"/>
      <c r="E79" s="135"/>
      <c r="F79" s="135"/>
      <c r="G79" s="135"/>
      <c r="H79" s="135"/>
      <c r="I79" s="135"/>
      <c r="J79" s="135"/>
      <c r="K79" s="452"/>
      <c r="L79" s="452"/>
      <c r="M79" s="135"/>
      <c r="N79" s="135"/>
      <c r="O79" s="135"/>
      <c r="P79" s="135"/>
      <c r="Q79" s="135"/>
      <c r="R79" s="135"/>
      <c r="S79" s="135"/>
      <c r="T79" s="135"/>
      <c r="U79" s="135"/>
      <c r="V79" s="135"/>
      <c r="W79" s="135"/>
    </row>
    <row r="80">
      <c r="A80" s="135"/>
      <c r="B80" s="135"/>
      <c r="C80" s="135"/>
      <c r="D80" s="135"/>
      <c r="E80" s="135"/>
      <c r="F80" s="135"/>
      <c r="G80" s="135"/>
      <c r="H80" s="135"/>
      <c r="I80" s="135"/>
      <c r="J80" s="135"/>
      <c r="K80" s="452"/>
      <c r="L80" s="452"/>
      <c r="M80" s="135"/>
      <c r="N80" s="135"/>
      <c r="O80" s="135"/>
      <c r="P80" s="135"/>
      <c r="Q80" s="135"/>
      <c r="R80" s="135"/>
      <c r="S80" s="135"/>
      <c r="T80" s="135"/>
      <c r="U80" s="135"/>
      <c r="V80" s="135"/>
      <c r="W80" s="135"/>
    </row>
    <row r="81">
      <c r="A81" s="135"/>
      <c r="B81" s="135"/>
      <c r="C81" s="135"/>
      <c r="D81" s="135"/>
      <c r="E81" s="135"/>
      <c r="F81" s="135"/>
      <c r="G81" s="135"/>
      <c r="H81" s="135"/>
      <c r="I81" s="135"/>
      <c r="J81" s="135"/>
      <c r="K81" s="452"/>
      <c r="L81" s="452"/>
      <c r="M81" s="135"/>
      <c r="N81" s="135"/>
      <c r="O81" s="135"/>
      <c r="P81" s="135"/>
      <c r="Q81" s="135"/>
      <c r="R81" s="135"/>
      <c r="S81" s="135"/>
      <c r="T81" s="135"/>
      <c r="U81" s="135"/>
      <c r="V81" s="135"/>
      <c r="W81" s="135"/>
    </row>
    <row r="82">
      <c r="A82" s="135"/>
      <c r="B82" s="135"/>
      <c r="C82" s="135"/>
      <c r="D82" s="135"/>
      <c r="E82" s="135"/>
      <c r="F82" s="135"/>
      <c r="G82" s="135"/>
      <c r="H82" s="135"/>
      <c r="I82" s="135"/>
      <c r="J82" s="135"/>
      <c r="K82" s="452"/>
      <c r="L82" s="452"/>
      <c r="M82" s="135"/>
      <c r="N82" s="135"/>
      <c r="O82" s="135"/>
      <c r="P82" s="135"/>
      <c r="Q82" s="135"/>
      <c r="R82" s="135"/>
      <c r="S82" s="135"/>
      <c r="T82" s="135"/>
      <c r="U82" s="135"/>
      <c r="V82" s="135"/>
      <c r="W82" s="135"/>
    </row>
    <row r="83">
      <c r="A83" s="135"/>
      <c r="B83" s="135"/>
      <c r="C83" s="135"/>
      <c r="D83" s="135"/>
      <c r="E83" s="135"/>
      <c r="F83" s="135"/>
      <c r="G83" s="135"/>
      <c r="H83" s="135"/>
      <c r="I83" s="135"/>
      <c r="J83" s="135"/>
      <c r="K83" s="452"/>
      <c r="L83" s="452"/>
      <c r="M83" s="135"/>
      <c r="N83" s="135"/>
      <c r="O83" s="135"/>
      <c r="P83" s="135"/>
      <c r="Q83" s="135"/>
      <c r="R83" s="135"/>
      <c r="S83" s="135"/>
      <c r="T83" s="135"/>
      <c r="U83" s="135"/>
      <c r="V83" s="135"/>
      <c r="W83" s="135"/>
    </row>
    <row r="84">
      <c r="A84" s="135"/>
      <c r="B84" s="135"/>
      <c r="C84" s="135"/>
      <c r="D84" s="135"/>
      <c r="E84" s="135"/>
      <c r="F84" s="135"/>
      <c r="G84" s="135"/>
      <c r="H84" s="135"/>
      <c r="I84" s="135"/>
      <c r="J84" s="135"/>
      <c r="K84" s="452"/>
      <c r="L84" s="452"/>
      <c r="M84" s="135"/>
      <c r="N84" s="135"/>
      <c r="O84" s="135"/>
      <c r="P84" s="135"/>
      <c r="Q84" s="135"/>
      <c r="R84" s="135"/>
      <c r="S84" s="135"/>
      <c r="T84" s="135"/>
      <c r="U84" s="135"/>
      <c r="V84" s="135"/>
      <c r="W84" s="135"/>
    </row>
    <row r="85">
      <c r="A85" s="135"/>
      <c r="B85" s="135"/>
      <c r="C85" s="135"/>
      <c r="D85" s="135"/>
      <c r="E85" s="135"/>
      <c r="F85" s="135"/>
      <c r="G85" s="135"/>
      <c r="H85" s="135"/>
      <c r="I85" s="135"/>
      <c r="J85" s="135"/>
      <c r="K85" s="452"/>
      <c r="L85" s="452"/>
      <c r="M85" s="135"/>
      <c r="N85" s="135"/>
      <c r="O85" s="135"/>
      <c r="P85" s="135"/>
      <c r="Q85" s="135"/>
      <c r="R85" s="135"/>
      <c r="S85" s="135"/>
      <c r="T85" s="135"/>
      <c r="U85" s="135"/>
      <c r="V85" s="135"/>
      <c r="W85" s="135"/>
    </row>
    <row r="86">
      <c r="A86" s="135"/>
      <c r="B86" s="135"/>
      <c r="C86" s="135"/>
      <c r="D86" s="135"/>
      <c r="E86" s="135"/>
      <c r="F86" s="135"/>
      <c r="G86" s="135"/>
      <c r="H86" s="135"/>
      <c r="I86" s="135"/>
      <c r="J86" s="135"/>
      <c r="K86" s="452"/>
      <c r="L86" s="452"/>
      <c r="M86" s="135"/>
      <c r="N86" s="135"/>
      <c r="O86" s="135"/>
      <c r="P86" s="135"/>
      <c r="Q86" s="135"/>
      <c r="R86" s="135"/>
      <c r="S86" s="135"/>
      <c r="T86" s="135"/>
      <c r="U86" s="135"/>
      <c r="V86" s="135"/>
      <c r="W86" s="135"/>
    </row>
    <row r="87">
      <c r="A87" s="135"/>
      <c r="B87" s="135"/>
      <c r="C87" s="135"/>
      <c r="D87" s="135"/>
      <c r="E87" s="135"/>
      <c r="F87" s="135"/>
      <c r="G87" s="135"/>
      <c r="H87" s="135"/>
      <c r="I87" s="135"/>
      <c r="J87" s="135"/>
      <c r="K87" s="452"/>
      <c r="L87" s="452"/>
      <c r="M87" s="135"/>
      <c r="N87" s="135"/>
      <c r="O87" s="135"/>
      <c r="P87" s="135"/>
      <c r="Q87" s="135"/>
      <c r="R87" s="135"/>
      <c r="S87" s="135"/>
      <c r="T87" s="135"/>
      <c r="U87" s="135"/>
      <c r="V87" s="135"/>
      <c r="W87" s="135"/>
    </row>
    <row r="88">
      <c r="A88" s="135"/>
      <c r="B88" s="135"/>
      <c r="C88" s="135"/>
      <c r="D88" s="135"/>
      <c r="E88" s="135"/>
      <c r="F88" s="135"/>
      <c r="G88" s="135"/>
      <c r="H88" s="135"/>
      <c r="I88" s="135"/>
      <c r="J88" s="135"/>
      <c r="K88" s="452"/>
      <c r="L88" s="452"/>
      <c r="M88" s="135"/>
      <c r="N88" s="135"/>
      <c r="O88" s="135"/>
      <c r="P88" s="135"/>
      <c r="Q88" s="135"/>
      <c r="R88" s="135"/>
      <c r="S88" s="135"/>
      <c r="T88" s="135"/>
      <c r="U88" s="135"/>
      <c r="V88" s="135"/>
      <c r="W88" s="135"/>
    </row>
    <row r="89">
      <c r="A89" s="135"/>
      <c r="B89" s="135"/>
      <c r="C89" s="135"/>
      <c r="D89" s="135"/>
      <c r="E89" s="135"/>
      <c r="F89" s="135"/>
      <c r="G89" s="135"/>
      <c r="H89" s="135"/>
      <c r="I89" s="135"/>
      <c r="J89" s="135"/>
      <c r="K89" s="452"/>
      <c r="L89" s="452"/>
      <c r="M89" s="135"/>
      <c r="N89" s="135"/>
      <c r="O89" s="135"/>
      <c r="P89" s="135"/>
      <c r="Q89" s="135"/>
      <c r="R89" s="135"/>
      <c r="S89" s="135"/>
      <c r="T89" s="135"/>
      <c r="U89" s="135"/>
      <c r="V89" s="135"/>
      <c r="W89" s="135"/>
    </row>
    <row r="90">
      <c r="A90" s="135"/>
      <c r="B90" s="135"/>
      <c r="C90" s="135"/>
      <c r="D90" s="135"/>
      <c r="E90" s="135"/>
      <c r="F90" s="135"/>
      <c r="G90" s="135"/>
      <c r="H90" s="135"/>
      <c r="I90" s="135"/>
      <c r="J90" s="135"/>
      <c r="K90" s="452"/>
      <c r="L90" s="452"/>
      <c r="M90" s="135"/>
      <c r="N90" s="135"/>
      <c r="O90" s="135"/>
      <c r="P90" s="135"/>
      <c r="Q90" s="135"/>
      <c r="R90" s="135"/>
      <c r="S90" s="135"/>
      <c r="T90" s="135"/>
      <c r="U90" s="135"/>
      <c r="V90" s="135"/>
      <c r="W90" s="135"/>
    </row>
    <row r="91">
      <c r="A91" s="135"/>
      <c r="B91" s="135"/>
      <c r="C91" s="135"/>
      <c r="D91" s="135"/>
      <c r="E91" s="135"/>
      <c r="F91" s="135"/>
      <c r="G91" s="135"/>
      <c r="H91" s="135"/>
      <c r="I91" s="135"/>
      <c r="J91" s="135"/>
      <c r="K91" s="452"/>
      <c r="L91" s="452"/>
      <c r="M91" s="135"/>
      <c r="N91" s="135"/>
      <c r="O91" s="135"/>
      <c r="P91" s="135"/>
      <c r="Q91" s="135"/>
      <c r="R91" s="135"/>
      <c r="S91" s="135"/>
      <c r="T91" s="135"/>
      <c r="U91" s="135"/>
      <c r="V91" s="135"/>
      <c r="W91" s="135"/>
    </row>
    <row r="92">
      <c r="A92" s="135"/>
      <c r="B92" s="135"/>
      <c r="C92" s="135"/>
      <c r="D92" s="135"/>
      <c r="E92" s="135"/>
      <c r="F92" s="135"/>
      <c r="G92" s="135"/>
      <c r="H92" s="135"/>
      <c r="I92" s="135"/>
      <c r="J92" s="135"/>
      <c r="K92" s="452"/>
      <c r="L92" s="452"/>
      <c r="M92" s="135"/>
      <c r="N92" s="135"/>
      <c r="O92" s="135"/>
      <c r="P92" s="135"/>
      <c r="Q92" s="135"/>
      <c r="R92" s="135"/>
      <c r="S92" s="135"/>
      <c r="T92" s="135"/>
      <c r="U92" s="135"/>
      <c r="V92" s="135"/>
      <c r="W92" s="135"/>
    </row>
    <row r="93">
      <c r="A93" s="135"/>
      <c r="B93" s="135"/>
      <c r="C93" s="135"/>
      <c r="D93" s="135"/>
      <c r="E93" s="135"/>
      <c r="F93" s="135"/>
      <c r="G93" s="135"/>
      <c r="H93" s="135"/>
      <c r="I93" s="135"/>
      <c r="J93" s="135"/>
      <c r="K93" s="452"/>
      <c r="L93" s="452"/>
      <c r="M93" s="135"/>
      <c r="N93" s="135"/>
      <c r="O93" s="135"/>
      <c r="P93" s="135"/>
      <c r="Q93" s="135"/>
      <c r="R93" s="135"/>
      <c r="S93" s="135"/>
      <c r="T93" s="135"/>
      <c r="U93" s="135"/>
      <c r="V93" s="135"/>
      <c r="W93" s="135"/>
    </row>
    <row r="94">
      <c r="A94" s="135"/>
      <c r="B94" s="135"/>
      <c r="C94" s="135"/>
      <c r="D94" s="135"/>
      <c r="E94" s="135"/>
      <c r="F94" s="135"/>
      <c r="G94" s="135"/>
      <c r="H94" s="135"/>
      <c r="I94" s="135"/>
      <c r="J94" s="135"/>
      <c r="K94" s="452"/>
      <c r="L94" s="452"/>
      <c r="M94" s="135"/>
      <c r="N94" s="135"/>
      <c r="O94" s="135"/>
      <c r="P94" s="135"/>
      <c r="Q94" s="135"/>
      <c r="R94" s="135"/>
      <c r="S94" s="135"/>
      <c r="T94" s="135"/>
      <c r="U94" s="135"/>
      <c r="V94" s="135"/>
      <c r="W94" s="135"/>
    </row>
    <row r="95">
      <c r="A95" s="135"/>
      <c r="B95" s="135"/>
      <c r="C95" s="135"/>
      <c r="D95" s="135"/>
      <c r="E95" s="135"/>
      <c r="F95" s="135"/>
      <c r="G95" s="135"/>
      <c r="H95" s="135"/>
      <c r="I95" s="135"/>
      <c r="J95" s="135"/>
      <c r="K95" s="452"/>
      <c r="L95" s="452"/>
      <c r="M95" s="135"/>
      <c r="N95" s="135"/>
      <c r="O95" s="135"/>
      <c r="P95" s="135"/>
      <c r="Q95" s="135"/>
      <c r="R95" s="135"/>
      <c r="S95" s="135"/>
      <c r="T95" s="135"/>
      <c r="U95" s="135"/>
      <c r="V95" s="135"/>
      <c r="W95" s="135"/>
    </row>
    <row r="96">
      <c r="A96" s="135"/>
      <c r="B96" s="135"/>
      <c r="C96" s="135"/>
      <c r="D96" s="135"/>
      <c r="E96" s="135"/>
      <c r="F96" s="135"/>
      <c r="G96" s="135"/>
      <c r="H96" s="135"/>
      <c r="I96" s="135"/>
      <c r="J96" s="135"/>
      <c r="K96" s="452"/>
      <c r="L96" s="452"/>
      <c r="M96" s="135"/>
      <c r="N96" s="135"/>
      <c r="O96" s="135"/>
      <c r="P96" s="135"/>
      <c r="Q96" s="135"/>
      <c r="R96" s="135"/>
      <c r="S96" s="135"/>
      <c r="T96" s="135"/>
      <c r="U96" s="135"/>
      <c r="V96" s="135"/>
      <c r="W96" s="135"/>
    </row>
    <row r="97">
      <c r="A97" s="135"/>
      <c r="B97" s="135"/>
      <c r="C97" s="135"/>
      <c r="D97" s="135"/>
      <c r="E97" s="135"/>
      <c r="F97" s="135"/>
      <c r="G97" s="135"/>
      <c r="H97" s="135"/>
      <c r="I97" s="135"/>
      <c r="J97" s="135"/>
      <c r="K97" s="452"/>
      <c r="L97" s="452"/>
      <c r="M97" s="135"/>
      <c r="N97" s="135"/>
      <c r="O97" s="135"/>
      <c r="P97" s="135"/>
      <c r="Q97" s="135"/>
      <c r="R97" s="135"/>
      <c r="S97" s="135"/>
      <c r="T97" s="135"/>
      <c r="U97" s="135"/>
      <c r="V97" s="135"/>
      <c r="W97" s="135"/>
    </row>
    <row r="98">
      <c r="A98" s="135"/>
      <c r="B98" s="135"/>
      <c r="C98" s="135"/>
      <c r="D98" s="135"/>
      <c r="E98" s="135"/>
      <c r="F98" s="135"/>
      <c r="G98" s="135"/>
      <c r="H98" s="135"/>
      <c r="I98" s="135"/>
      <c r="J98" s="135"/>
      <c r="K98" s="452"/>
      <c r="L98" s="452"/>
      <c r="M98" s="135"/>
      <c r="N98" s="135"/>
      <c r="O98" s="135"/>
      <c r="P98" s="135"/>
      <c r="Q98" s="135"/>
      <c r="R98" s="135"/>
      <c r="S98" s="135"/>
      <c r="T98" s="135"/>
      <c r="U98" s="135"/>
      <c r="V98" s="135"/>
      <c r="W98" s="135"/>
    </row>
    <row r="99">
      <c r="A99" s="135"/>
      <c r="B99" s="135"/>
      <c r="C99" s="135"/>
      <c r="D99" s="135"/>
      <c r="E99" s="135"/>
      <c r="F99" s="135"/>
      <c r="G99" s="135"/>
      <c r="H99" s="135"/>
      <c r="I99" s="135"/>
      <c r="J99" s="135"/>
      <c r="K99" s="452"/>
      <c r="L99" s="452"/>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2"/>
      <c r="L100" s="452"/>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2"/>
      <c r="L101" s="452"/>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2"/>
      <c r="L102" s="452"/>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2"/>
      <c r="L103" s="452"/>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2"/>
      <c r="L104" s="452"/>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2"/>
      <c r="L105" s="452"/>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2"/>
      <c r="L106" s="452"/>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2"/>
      <c r="L107" s="452"/>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2"/>
      <c r="L108" s="452"/>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2"/>
      <c r="L109" s="452"/>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2"/>
      <c r="L110" s="452"/>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2"/>
      <c r="L111" s="452"/>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2"/>
      <c r="L112" s="452"/>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2"/>
      <c r="L113" s="452"/>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2"/>
      <c r="L114" s="452"/>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2"/>
      <c r="L115" s="452"/>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2"/>
      <c r="L116" s="452"/>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2"/>
      <c r="L117" s="452"/>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2"/>
      <c r="L118" s="452"/>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2"/>
      <c r="L119" s="452"/>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2"/>
      <c r="L120" s="452"/>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2"/>
      <c r="L121" s="452"/>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2"/>
      <c r="L122" s="452"/>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2"/>
      <c r="L123" s="452"/>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2"/>
      <c r="L124" s="452"/>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2"/>
      <c r="L125" s="452"/>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2"/>
      <c r="L126" s="452"/>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2"/>
      <c r="L127" s="452"/>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2"/>
      <c r="L128" s="452"/>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2"/>
      <c r="L129" s="452"/>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2"/>
      <c r="L130" s="452"/>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2"/>
      <c r="L131" s="452"/>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2"/>
      <c r="L132" s="452"/>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2"/>
      <c r="L133" s="452"/>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2"/>
      <c r="L134" s="452"/>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2"/>
      <c r="L135" s="452"/>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2"/>
      <c r="L136" s="452"/>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2"/>
      <c r="L137" s="452"/>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2"/>
      <c r="L138" s="452"/>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2"/>
      <c r="L139" s="452"/>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2"/>
      <c r="L140" s="452"/>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2"/>
      <c r="L141" s="452"/>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2"/>
      <c r="L142" s="452"/>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2"/>
      <c r="L143" s="452"/>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2"/>
      <c r="L144" s="452"/>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2"/>
      <c r="L145" s="452"/>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2"/>
      <c r="L146" s="452"/>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2"/>
      <c r="L147" s="452"/>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2"/>
      <c r="L148" s="452"/>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2"/>
      <c r="L149" s="452"/>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2"/>
      <c r="L150" s="452"/>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2"/>
      <c r="L151" s="452"/>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2"/>
      <c r="L152" s="452"/>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2"/>
      <c r="L153" s="452"/>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2"/>
      <c r="L154" s="452"/>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2"/>
      <c r="L155" s="452"/>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2"/>
      <c r="L156" s="452"/>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2"/>
      <c r="L157" s="452"/>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2"/>
      <c r="L158" s="452"/>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2"/>
      <c r="L159" s="452"/>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2"/>
      <c r="L160" s="452"/>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2"/>
      <c r="L161" s="452"/>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2"/>
      <c r="L162" s="452"/>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2"/>
      <c r="L163" s="452"/>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2"/>
      <c r="L164" s="452"/>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2"/>
      <c r="L165" s="452"/>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2"/>
      <c r="L166" s="452"/>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2"/>
      <c r="L167" s="452"/>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2"/>
      <c r="L168" s="452"/>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2"/>
      <c r="L169" s="452"/>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2"/>
      <c r="L170" s="452"/>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2"/>
      <c r="L171" s="452"/>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2"/>
      <c r="L172" s="452"/>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2"/>
      <c r="L173" s="452"/>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2"/>
      <c r="L174" s="452"/>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2"/>
      <c r="L175" s="452"/>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2"/>
      <c r="L176" s="452"/>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2"/>
      <c r="L177" s="452"/>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2"/>
      <c r="L178" s="452"/>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2"/>
      <c r="L179" s="452"/>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2"/>
      <c r="L180" s="452"/>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2"/>
      <c r="L181" s="452"/>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2"/>
      <c r="L182" s="452"/>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2"/>
      <c r="L183" s="452"/>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2"/>
      <c r="L184" s="452"/>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2"/>
      <c r="L185" s="452"/>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2"/>
      <c r="L186" s="452"/>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2"/>
      <c r="L187" s="452"/>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2"/>
      <c r="L188" s="452"/>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2"/>
      <c r="L189" s="452"/>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2"/>
      <c r="L190" s="452"/>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2"/>
      <c r="L191" s="452"/>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2"/>
      <c r="L192" s="452"/>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2"/>
      <c r="L193" s="452"/>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2"/>
      <c r="L194" s="452"/>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2"/>
      <c r="L195" s="452"/>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2"/>
      <c r="L196" s="452"/>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2"/>
      <c r="L197" s="452"/>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2"/>
      <c r="L198" s="452"/>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2"/>
      <c r="L199" s="452"/>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2"/>
      <c r="L200" s="452"/>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2"/>
      <c r="L201" s="452"/>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2"/>
      <c r="L202" s="452"/>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2"/>
      <c r="L203" s="452"/>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2"/>
      <c r="L204" s="452"/>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2"/>
      <c r="L205" s="452"/>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2"/>
      <c r="L206" s="452"/>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2"/>
      <c r="L207" s="452"/>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2"/>
      <c r="L208" s="452"/>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2"/>
      <c r="L209" s="452"/>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2"/>
      <c r="L210" s="452"/>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2"/>
      <c r="L211" s="452"/>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2"/>
      <c r="L212" s="452"/>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2"/>
      <c r="L213" s="452"/>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2"/>
      <c r="L214" s="452"/>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2"/>
      <c r="L215" s="452"/>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2"/>
      <c r="L216" s="452"/>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2"/>
      <c r="L217" s="452"/>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2"/>
      <c r="L218" s="452"/>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2"/>
      <c r="L219" s="452"/>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2"/>
      <c r="L220" s="452"/>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2"/>
      <c r="L221" s="452"/>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2"/>
      <c r="L222" s="452"/>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2"/>
      <c r="L223" s="452"/>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2"/>
      <c r="L224" s="452"/>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2"/>
      <c r="L225" s="452"/>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2"/>
      <c r="L226" s="452"/>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2"/>
      <c r="L227" s="452"/>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2"/>
      <c r="L228" s="452"/>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2"/>
      <c r="L229" s="452"/>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2"/>
      <c r="L230" s="452"/>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2"/>
      <c r="L231" s="452"/>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2"/>
      <c r="L232" s="452"/>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2"/>
      <c r="L233" s="452"/>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2"/>
      <c r="L234" s="452"/>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2"/>
      <c r="L235" s="452"/>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2"/>
      <c r="L236" s="452"/>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2"/>
      <c r="L237" s="452"/>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2"/>
      <c r="L238" s="452"/>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2"/>
      <c r="L239" s="452"/>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2"/>
      <c r="L240" s="452"/>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2"/>
      <c r="L241" s="452"/>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2"/>
      <c r="L242" s="452"/>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2"/>
      <c r="L243" s="452"/>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2"/>
      <c r="L244" s="452"/>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2"/>
      <c r="L245" s="452"/>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2"/>
      <c r="L246" s="452"/>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2"/>
      <c r="L247" s="452"/>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2"/>
      <c r="L248" s="452"/>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2"/>
      <c r="L249" s="452"/>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2"/>
      <c r="L250" s="452"/>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2"/>
      <c r="L251" s="452"/>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2"/>
      <c r="L252" s="452"/>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2"/>
      <c r="L253" s="452"/>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2"/>
      <c r="L254" s="452"/>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2"/>
      <c r="L255" s="452"/>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2"/>
      <c r="L256" s="452"/>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2"/>
      <c r="L257" s="452"/>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2"/>
      <c r="L258" s="452"/>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2"/>
      <c r="L259" s="452"/>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2"/>
      <c r="L260" s="452"/>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2"/>
      <c r="L261" s="452"/>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2"/>
      <c r="L262" s="452"/>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2"/>
      <c r="L263" s="452"/>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2"/>
      <c r="L264" s="452"/>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2"/>
      <c r="L265" s="452"/>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2"/>
      <c r="L266" s="452"/>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2"/>
      <c r="L267" s="452"/>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2"/>
      <c r="L268" s="452"/>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2"/>
      <c r="L269" s="452"/>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2"/>
      <c r="L270" s="452"/>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2"/>
      <c r="L271" s="452"/>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2"/>
      <c r="L272" s="452"/>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2"/>
      <c r="L273" s="452"/>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2"/>
      <c r="L274" s="452"/>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2"/>
      <c r="L275" s="452"/>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2"/>
      <c r="L276" s="452"/>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2"/>
      <c r="L277" s="452"/>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2"/>
      <c r="L278" s="452"/>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2"/>
      <c r="L279" s="452"/>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2"/>
      <c r="L280" s="452"/>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2"/>
      <c r="L281" s="452"/>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2"/>
      <c r="L282" s="452"/>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2"/>
      <c r="L283" s="452"/>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2"/>
      <c r="L284" s="452"/>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2"/>
      <c r="L285" s="452"/>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2"/>
      <c r="L286" s="452"/>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2"/>
      <c r="L287" s="452"/>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2"/>
      <c r="L288" s="452"/>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2"/>
      <c r="L289" s="452"/>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2"/>
      <c r="L290" s="452"/>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2"/>
      <c r="L291" s="452"/>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2"/>
      <c r="L292" s="452"/>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2"/>
      <c r="L293" s="452"/>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2"/>
      <c r="L294" s="452"/>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2"/>
      <c r="L295" s="452"/>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2"/>
      <c r="L296" s="452"/>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2"/>
      <c r="L297" s="452"/>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2"/>
      <c r="L298" s="452"/>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2"/>
      <c r="L299" s="452"/>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2"/>
      <c r="L300" s="452"/>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2"/>
      <c r="L301" s="452"/>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2"/>
      <c r="L302" s="452"/>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2"/>
      <c r="L303" s="452"/>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2"/>
      <c r="L304" s="452"/>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2"/>
      <c r="L305" s="452"/>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2"/>
      <c r="L306" s="452"/>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2"/>
      <c r="L307" s="452"/>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2"/>
      <c r="L308" s="452"/>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2"/>
      <c r="L309" s="452"/>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2"/>
      <c r="L310" s="452"/>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2"/>
      <c r="L311" s="452"/>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2"/>
      <c r="L312" s="452"/>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2"/>
      <c r="L313" s="452"/>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2"/>
      <c r="L314" s="452"/>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2"/>
      <c r="L315" s="452"/>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2"/>
      <c r="L316" s="452"/>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2"/>
      <c r="L317" s="452"/>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2"/>
      <c r="L318" s="452"/>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2"/>
      <c r="L319" s="452"/>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2"/>
      <c r="L320" s="452"/>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2"/>
      <c r="L321" s="452"/>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2"/>
      <c r="L322" s="452"/>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2"/>
      <c r="L323" s="452"/>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2"/>
      <c r="L324" s="452"/>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2"/>
      <c r="L325" s="452"/>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2"/>
      <c r="L326" s="452"/>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2"/>
      <c r="L327" s="452"/>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2"/>
      <c r="L328" s="452"/>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2"/>
      <c r="L329" s="452"/>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2"/>
      <c r="L330" s="452"/>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2"/>
      <c r="L331" s="452"/>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2"/>
      <c r="L332" s="452"/>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2"/>
      <c r="L333" s="452"/>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2"/>
      <c r="L334" s="452"/>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2"/>
      <c r="L335" s="452"/>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2"/>
      <c r="L336" s="452"/>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2"/>
      <c r="L337" s="452"/>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2"/>
      <c r="L338" s="452"/>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2"/>
      <c r="L339" s="452"/>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2"/>
      <c r="L340" s="452"/>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2"/>
      <c r="L341" s="452"/>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2"/>
      <c r="L342" s="452"/>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2"/>
      <c r="L343" s="452"/>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2"/>
      <c r="L344" s="452"/>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2"/>
      <c r="L345" s="452"/>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2"/>
      <c r="L346" s="452"/>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2"/>
      <c r="L347" s="452"/>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2"/>
      <c r="L348" s="452"/>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2"/>
      <c r="L349" s="452"/>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2"/>
      <c r="L350" s="452"/>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2"/>
      <c r="L351" s="452"/>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2"/>
      <c r="L352" s="452"/>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2"/>
      <c r="L353" s="452"/>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2"/>
      <c r="L354" s="452"/>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2"/>
      <c r="L355" s="452"/>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2"/>
      <c r="L356" s="452"/>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2"/>
      <c r="L357" s="452"/>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2"/>
      <c r="L358" s="452"/>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2"/>
      <c r="L359" s="452"/>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2"/>
      <c r="L360" s="452"/>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2"/>
      <c r="L361" s="452"/>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2"/>
      <c r="L362" s="452"/>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2"/>
      <c r="L363" s="452"/>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2"/>
      <c r="L364" s="452"/>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2"/>
      <c r="L365" s="452"/>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2"/>
      <c r="L366" s="452"/>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2"/>
      <c r="L367" s="452"/>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2"/>
      <c r="L368" s="452"/>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2"/>
      <c r="L369" s="452"/>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2"/>
      <c r="L370" s="452"/>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2"/>
      <c r="L371" s="452"/>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2"/>
      <c r="L372" s="452"/>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2"/>
      <c r="L373" s="452"/>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2"/>
      <c r="L374" s="452"/>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2"/>
      <c r="L375" s="452"/>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2"/>
      <c r="L376" s="452"/>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2"/>
      <c r="L377" s="452"/>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2"/>
      <c r="L378" s="452"/>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2"/>
      <c r="L379" s="452"/>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2"/>
      <c r="L380" s="452"/>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2"/>
      <c r="L381" s="452"/>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2"/>
      <c r="L382" s="452"/>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2"/>
      <c r="L383" s="452"/>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2"/>
      <c r="L384" s="452"/>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2"/>
      <c r="L385" s="452"/>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2"/>
      <c r="L386" s="452"/>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2"/>
      <c r="L387" s="452"/>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2"/>
      <c r="L388" s="452"/>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2"/>
      <c r="L389" s="452"/>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2"/>
      <c r="L390" s="452"/>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2"/>
      <c r="L391" s="452"/>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2"/>
      <c r="L392" s="452"/>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2"/>
      <c r="L393" s="452"/>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2"/>
      <c r="L394" s="452"/>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2"/>
      <c r="L395" s="452"/>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2"/>
      <c r="L396" s="452"/>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2"/>
      <c r="L397" s="452"/>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2"/>
      <c r="L398" s="452"/>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2"/>
      <c r="L399" s="452"/>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2"/>
      <c r="L400" s="452"/>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2"/>
      <c r="L401" s="452"/>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2"/>
      <c r="L402" s="452"/>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2"/>
      <c r="L403" s="452"/>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2"/>
      <c r="L404" s="452"/>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2"/>
      <c r="L405" s="452"/>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2"/>
      <c r="L406" s="452"/>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2"/>
      <c r="L407" s="452"/>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2"/>
      <c r="L408" s="452"/>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2"/>
      <c r="L409" s="452"/>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2"/>
      <c r="L410" s="452"/>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2"/>
      <c r="L411" s="452"/>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2"/>
      <c r="L412" s="452"/>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2"/>
      <c r="L413" s="452"/>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2"/>
      <c r="L414" s="452"/>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2"/>
      <c r="L415" s="452"/>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2"/>
      <c r="L416" s="452"/>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2"/>
      <c r="L417" s="452"/>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2"/>
      <c r="L418" s="452"/>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2"/>
      <c r="L419" s="452"/>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2"/>
      <c r="L420" s="452"/>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2"/>
      <c r="L421" s="452"/>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2"/>
      <c r="L422" s="452"/>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2"/>
      <c r="L423" s="452"/>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2"/>
      <c r="L424" s="452"/>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2"/>
      <c r="L425" s="452"/>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2"/>
      <c r="L426" s="452"/>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2"/>
      <c r="L427" s="452"/>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2"/>
      <c r="L428" s="452"/>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2"/>
      <c r="L429" s="452"/>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2"/>
      <c r="L430" s="452"/>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2"/>
      <c r="L431" s="452"/>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2"/>
      <c r="L432" s="452"/>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2"/>
      <c r="L433" s="452"/>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2"/>
      <c r="L434" s="452"/>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2"/>
      <c r="L435" s="452"/>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2"/>
      <c r="L436" s="452"/>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2"/>
      <c r="L437" s="452"/>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2"/>
      <c r="L438" s="452"/>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2"/>
      <c r="L439" s="452"/>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2"/>
      <c r="L440" s="452"/>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2"/>
      <c r="L441" s="452"/>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2"/>
      <c r="L442" s="452"/>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2"/>
      <c r="L443" s="452"/>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2"/>
      <c r="L444" s="452"/>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2"/>
      <c r="L445" s="452"/>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2"/>
      <c r="L446" s="452"/>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2"/>
      <c r="L447" s="452"/>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2"/>
      <c r="L448" s="452"/>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2"/>
      <c r="L449" s="452"/>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2"/>
      <c r="L450" s="452"/>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2"/>
      <c r="L451" s="452"/>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2"/>
      <c r="L452" s="452"/>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2"/>
      <c r="L453" s="452"/>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2"/>
      <c r="L454" s="452"/>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2"/>
      <c r="L455" s="452"/>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2"/>
      <c r="L456" s="452"/>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2"/>
      <c r="L457" s="452"/>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2"/>
      <c r="L458" s="452"/>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2"/>
      <c r="L459" s="452"/>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2"/>
      <c r="L460" s="452"/>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2"/>
      <c r="L461" s="452"/>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2"/>
      <c r="L462" s="452"/>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2"/>
      <c r="L463" s="452"/>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2"/>
      <c r="L464" s="452"/>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2"/>
      <c r="L465" s="452"/>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2"/>
      <c r="L466" s="452"/>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2"/>
      <c r="L467" s="452"/>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2"/>
      <c r="L468" s="452"/>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2"/>
      <c r="L469" s="452"/>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2"/>
      <c r="L470" s="452"/>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2"/>
      <c r="L471" s="452"/>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2"/>
      <c r="L472" s="452"/>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2"/>
      <c r="L473" s="452"/>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2"/>
      <c r="L474" s="452"/>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2"/>
      <c r="L475" s="452"/>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2"/>
      <c r="L476" s="452"/>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2"/>
      <c r="L477" s="452"/>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2"/>
      <c r="L478" s="452"/>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2"/>
      <c r="L479" s="452"/>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2"/>
      <c r="L480" s="452"/>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2"/>
      <c r="L481" s="452"/>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2"/>
      <c r="L482" s="452"/>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2"/>
      <c r="L483" s="452"/>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2"/>
      <c r="L484" s="452"/>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2"/>
      <c r="L485" s="452"/>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2"/>
      <c r="L486" s="452"/>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2"/>
      <c r="L487" s="452"/>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2"/>
      <c r="L488" s="452"/>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2"/>
      <c r="L489" s="452"/>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2"/>
      <c r="L490" s="452"/>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2"/>
      <c r="L491" s="452"/>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2"/>
      <c r="L492" s="452"/>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2"/>
      <c r="L493" s="452"/>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2"/>
      <c r="L494" s="452"/>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2"/>
      <c r="L495" s="452"/>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2"/>
      <c r="L496" s="452"/>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2"/>
      <c r="L497" s="452"/>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2"/>
      <c r="L498" s="452"/>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2"/>
      <c r="L499" s="452"/>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2"/>
      <c r="L500" s="452"/>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2"/>
      <c r="L501" s="452"/>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2"/>
      <c r="L502" s="452"/>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2"/>
      <c r="L503" s="452"/>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2"/>
      <c r="L504" s="452"/>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2"/>
      <c r="L505" s="452"/>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2"/>
      <c r="L506" s="452"/>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2"/>
      <c r="L507" s="452"/>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2"/>
      <c r="L508" s="452"/>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2"/>
      <c r="L509" s="452"/>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2"/>
      <c r="L510" s="452"/>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2"/>
      <c r="L511" s="452"/>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2"/>
      <c r="L512" s="452"/>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2"/>
      <c r="L513" s="452"/>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2"/>
      <c r="L514" s="452"/>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2"/>
      <c r="L515" s="452"/>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2"/>
      <c r="L516" s="452"/>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2"/>
      <c r="L517" s="452"/>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2"/>
      <c r="L518" s="452"/>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2"/>
      <c r="L519" s="452"/>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2"/>
      <c r="L520" s="452"/>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2"/>
      <c r="L521" s="452"/>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2"/>
      <c r="L522" s="452"/>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2"/>
      <c r="L523" s="452"/>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2"/>
      <c r="L524" s="452"/>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2"/>
      <c r="L525" s="452"/>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2"/>
      <c r="L526" s="452"/>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2"/>
      <c r="L527" s="452"/>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2"/>
      <c r="L528" s="452"/>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2"/>
      <c r="L529" s="452"/>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2"/>
      <c r="L530" s="452"/>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2"/>
      <c r="L531" s="452"/>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2"/>
      <c r="L532" s="452"/>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2"/>
      <c r="L533" s="452"/>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2"/>
      <c r="L534" s="452"/>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2"/>
      <c r="L535" s="452"/>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2"/>
      <c r="L536" s="452"/>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2"/>
      <c r="L537" s="452"/>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2"/>
      <c r="L538" s="452"/>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2"/>
      <c r="L539" s="452"/>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2"/>
      <c r="L540" s="452"/>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2"/>
      <c r="L541" s="452"/>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2"/>
      <c r="L542" s="452"/>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2"/>
      <c r="L543" s="452"/>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2"/>
      <c r="L544" s="452"/>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2"/>
      <c r="L545" s="452"/>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2"/>
      <c r="L546" s="452"/>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2"/>
      <c r="L547" s="452"/>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2"/>
      <c r="L548" s="452"/>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2"/>
      <c r="L549" s="452"/>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2"/>
      <c r="L550" s="452"/>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2"/>
      <c r="L551" s="452"/>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2"/>
      <c r="L552" s="452"/>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2"/>
      <c r="L553" s="452"/>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2"/>
      <c r="L554" s="452"/>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2"/>
      <c r="L555" s="452"/>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2"/>
      <c r="L556" s="452"/>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2"/>
      <c r="L557" s="452"/>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2"/>
      <c r="L558" s="452"/>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2"/>
      <c r="L559" s="452"/>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2"/>
      <c r="L560" s="452"/>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2"/>
      <c r="L561" s="452"/>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2"/>
      <c r="L562" s="452"/>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2"/>
      <c r="L563" s="452"/>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2"/>
      <c r="L564" s="452"/>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2"/>
      <c r="L565" s="452"/>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2"/>
      <c r="L566" s="452"/>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2"/>
      <c r="L567" s="452"/>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2"/>
      <c r="L568" s="452"/>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2"/>
      <c r="L569" s="452"/>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2"/>
      <c r="L570" s="452"/>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2"/>
      <c r="L571" s="452"/>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2"/>
      <c r="L572" s="452"/>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2"/>
      <c r="L573" s="452"/>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2"/>
      <c r="L574" s="452"/>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2"/>
      <c r="L575" s="452"/>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2"/>
      <c r="L576" s="452"/>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2"/>
      <c r="L577" s="452"/>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2"/>
      <c r="L578" s="452"/>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2"/>
      <c r="L579" s="452"/>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2"/>
      <c r="L580" s="452"/>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2"/>
      <c r="L581" s="452"/>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2"/>
      <c r="L582" s="452"/>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2"/>
      <c r="L583" s="452"/>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2"/>
      <c r="L584" s="452"/>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2"/>
      <c r="L585" s="452"/>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2"/>
      <c r="L586" s="452"/>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2"/>
      <c r="L587" s="452"/>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2"/>
      <c r="L588" s="452"/>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2"/>
      <c r="L589" s="452"/>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2"/>
      <c r="L590" s="452"/>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2"/>
      <c r="L591" s="452"/>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2"/>
      <c r="L592" s="452"/>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2"/>
      <c r="L593" s="452"/>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2"/>
      <c r="L594" s="452"/>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2"/>
      <c r="L595" s="452"/>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2"/>
      <c r="L596" s="452"/>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2"/>
      <c r="L597" s="452"/>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2"/>
      <c r="L598" s="452"/>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2"/>
      <c r="L599" s="452"/>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2"/>
      <c r="L600" s="452"/>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2"/>
      <c r="L601" s="452"/>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2"/>
      <c r="L602" s="452"/>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2"/>
      <c r="L603" s="452"/>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2"/>
      <c r="L604" s="452"/>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2"/>
      <c r="L605" s="452"/>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2"/>
      <c r="L606" s="452"/>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2"/>
      <c r="L607" s="452"/>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2"/>
      <c r="L608" s="452"/>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2"/>
      <c r="L609" s="452"/>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2"/>
      <c r="L610" s="452"/>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2"/>
      <c r="L611" s="452"/>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2"/>
      <c r="L612" s="452"/>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2"/>
      <c r="L613" s="452"/>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2"/>
      <c r="L614" s="452"/>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2"/>
      <c r="L615" s="452"/>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2"/>
      <c r="L616" s="452"/>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2"/>
      <c r="L617" s="452"/>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2"/>
      <c r="L618" s="452"/>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2"/>
      <c r="L619" s="452"/>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2"/>
      <c r="L620" s="452"/>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2"/>
      <c r="L621" s="452"/>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2"/>
      <c r="L622" s="452"/>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2"/>
      <c r="L623" s="452"/>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2"/>
      <c r="L624" s="452"/>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2"/>
      <c r="L625" s="452"/>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2"/>
      <c r="L626" s="452"/>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2"/>
      <c r="L627" s="452"/>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2"/>
      <c r="L628" s="452"/>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2"/>
      <c r="L629" s="452"/>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2"/>
      <c r="L630" s="452"/>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2"/>
      <c r="L631" s="452"/>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2"/>
      <c r="L632" s="452"/>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2"/>
      <c r="L633" s="452"/>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2"/>
      <c r="L634" s="452"/>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2"/>
      <c r="L635" s="452"/>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2"/>
      <c r="L636" s="452"/>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2"/>
      <c r="L637" s="452"/>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2"/>
      <c r="L638" s="452"/>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2"/>
      <c r="L639" s="452"/>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2"/>
      <c r="L640" s="452"/>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2"/>
      <c r="L641" s="452"/>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2"/>
      <c r="L642" s="452"/>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2"/>
      <c r="L643" s="452"/>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2"/>
      <c r="L644" s="452"/>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2"/>
      <c r="L645" s="452"/>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2"/>
      <c r="L646" s="452"/>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2"/>
      <c r="L647" s="452"/>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2"/>
      <c r="L648" s="452"/>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2"/>
      <c r="L649" s="452"/>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2"/>
      <c r="L650" s="452"/>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2"/>
      <c r="L651" s="452"/>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2"/>
      <c r="L652" s="452"/>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2"/>
      <c r="L653" s="452"/>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2"/>
      <c r="L654" s="452"/>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2"/>
      <c r="L655" s="452"/>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2"/>
      <c r="L656" s="452"/>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2"/>
      <c r="L657" s="452"/>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2"/>
      <c r="L658" s="452"/>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2"/>
      <c r="L659" s="452"/>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2"/>
      <c r="L660" s="452"/>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2"/>
      <c r="L661" s="452"/>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2"/>
      <c r="L662" s="452"/>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2"/>
      <c r="L663" s="452"/>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2"/>
      <c r="L664" s="452"/>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2"/>
      <c r="L665" s="452"/>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2"/>
      <c r="L666" s="452"/>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2"/>
      <c r="L667" s="452"/>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2"/>
      <c r="L668" s="452"/>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2"/>
      <c r="L669" s="452"/>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2"/>
      <c r="L670" s="452"/>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2"/>
      <c r="L671" s="452"/>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2"/>
      <c r="L672" s="452"/>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2"/>
      <c r="L673" s="452"/>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2"/>
      <c r="L674" s="452"/>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2"/>
      <c r="L675" s="452"/>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2"/>
      <c r="L676" s="452"/>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2"/>
      <c r="L677" s="452"/>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2"/>
      <c r="L678" s="452"/>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2"/>
      <c r="L679" s="452"/>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2"/>
      <c r="L680" s="452"/>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2"/>
      <c r="L681" s="452"/>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2"/>
      <c r="L682" s="452"/>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2"/>
      <c r="L683" s="452"/>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2"/>
      <c r="L684" s="452"/>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2"/>
      <c r="L685" s="452"/>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2"/>
      <c r="L686" s="452"/>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2"/>
      <c r="L687" s="452"/>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2"/>
      <c r="L688" s="452"/>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2"/>
      <c r="L689" s="452"/>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2"/>
      <c r="L690" s="452"/>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2"/>
      <c r="L691" s="452"/>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2"/>
      <c r="L692" s="452"/>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2"/>
      <c r="L693" s="452"/>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2"/>
      <c r="L694" s="452"/>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2"/>
      <c r="L695" s="452"/>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2"/>
      <c r="L696" s="452"/>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2"/>
      <c r="L697" s="452"/>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2"/>
      <c r="L698" s="452"/>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2"/>
      <c r="L699" s="452"/>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2"/>
      <c r="L700" s="452"/>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2"/>
      <c r="L701" s="452"/>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2"/>
      <c r="L702" s="452"/>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2"/>
      <c r="L703" s="452"/>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2"/>
      <c r="L704" s="452"/>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2"/>
      <c r="L705" s="452"/>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2"/>
      <c r="L706" s="452"/>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2"/>
      <c r="L707" s="452"/>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2"/>
      <c r="L708" s="452"/>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2"/>
      <c r="L709" s="452"/>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2"/>
      <c r="L710" s="452"/>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2"/>
      <c r="L711" s="452"/>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2"/>
      <c r="L712" s="452"/>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2"/>
      <c r="L713" s="452"/>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2"/>
      <c r="L714" s="452"/>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2"/>
      <c r="L715" s="452"/>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2"/>
      <c r="L716" s="452"/>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2"/>
      <c r="L717" s="452"/>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2"/>
      <c r="L718" s="452"/>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2"/>
      <c r="L719" s="452"/>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2"/>
      <c r="L720" s="452"/>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2"/>
      <c r="L721" s="452"/>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2"/>
      <c r="L722" s="452"/>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2"/>
      <c r="L723" s="452"/>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2"/>
      <c r="L724" s="452"/>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2"/>
      <c r="L725" s="452"/>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2"/>
      <c r="L726" s="452"/>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2"/>
      <c r="L727" s="452"/>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2"/>
      <c r="L728" s="452"/>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2"/>
      <c r="L729" s="452"/>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2"/>
      <c r="L730" s="452"/>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2"/>
      <c r="L731" s="452"/>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2"/>
      <c r="L732" s="452"/>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2"/>
      <c r="L733" s="452"/>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2"/>
      <c r="L734" s="452"/>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2"/>
      <c r="L735" s="452"/>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2"/>
      <c r="L736" s="452"/>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2"/>
      <c r="L737" s="452"/>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2"/>
      <c r="L738" s="452"/>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2"/>
      <c r="L739" s="452"/>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2"/>
      <c r="L740" s="452"/>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2"/>
      <c r="L741" s="452"/>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2"/>
      <c r="L742" s="452"/>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2"/>
      <c r="L743" s="452"/>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2"/>
      <c r="L744" s="452"/>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2"/>
      <c r="L745" s="452"/>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2"/>
      <c r="L746" s="452"/>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2"/>
      <c r="L747" s="452"/>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2"/>
      <c r="L748" s="452"/>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2"/>
      <c r="L749" s="452"/>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2"/>
      <c r="L750" s="452"/>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2"/>
      <c r="L751" s="452"/>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2"/>
      <c r="L752" s="452"/>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2"/>
      <c r="L753" s="452"/>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2"/>
      <c r="L754" s="452"/>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2"/>
      <c r="L755" s="452"/>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2"/>
      <c r="L756" s="452"/>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2"/>
      <c r="L757" s="452"/>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2"/>
      <c r="L758" s="452"/>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2"/>
      <c r="L759" s="452"/>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2"/>
      <c r="L760" s="452"/>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2"/>
      <c r="L761" s="452"/>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2"/>
      <c r="L762" s="452"/>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2"/>
      <c r="L763" s="452"/>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2"/>
      <c r="L764" s="452"/>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2"/>
      <c r="L765" s="452"/>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2"/>
      <c r="L766" s="452"/>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2"/>
      <c r="L767" s="452"/>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2"/>
      <c r="L768" s="452"/>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2"/>
      <c r="L769" s="452"/>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2"/>
      <c r="L770" s="452"/>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2"/>
      <c r="L771" s="452"/>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2"/>
      <c r="L772" s="452"/>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2"/>
      <c r="L773" s="452"/>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2"/>
      <c r="L774" s="452"/>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2"/>
      <c r="L775" s="452"/>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2"/>
      <c r="L776" s="452"/>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2"/>
      <c r="L777" s="452"/>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2"/>
      <c r="L778" s="452"/>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2"/>
      <c r="L779" s="452"/>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2"/>
      <c r="L780" s="452"/>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2"/>
      <c r="L781" s="452"/>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2"/>
      <c r="L782" s="452"/>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2"/>
      <c r="L783" s="452"/>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2"/>
      <c r="L784" s="452"/>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2"/>
      <c r="L785" s="452"/>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2"/>
      <c r="L786" s="452"/>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2"/>
      <c r="L787" s="452"/>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2"/>
      <c r="L788" s="452"/>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2"/>
      <c r="L789" s="452"/>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2"/>
      <c r="L790" s="452"/>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2"/>
      <c r="L791" s="452"/>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2"/>
      <c r="L792" s="452"/>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2"/>
      <c r="L793" s="452"/>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2"/>
      <c r="L794" s="452"/>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2"/>
      <c r="L795" s="452"/>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2"/>
      <c r="L796" s="452"/>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2"/>
      <c r="L797" s="452"/>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2"/>
      <c r="L798" s="452"/>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2"/>
      <c r="L799" s="452"/>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2"/>
      <c r="L800" s="452"/>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2"/>
      <c r="L801" s="452"/>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2"/>
      <c r="L802" s="452"/>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2"/>
      <c r="L803" s="452"/>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2"/>
      <c r="L804" s="452"/>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2"/>
      <c r="L805" s="452"/>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2"/>
      <c r="L806" s="452"/>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2"/>
      <c r="L807" s="452"/>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2"/>
      <c r="L808" s="452"/>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2"/>
      <c r="L809" s="452"/>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2"/>
      <c r="L810" s="452"/>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2"/>
      <c r="L811" s="452"/>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2"/>
      <c r="L812" s="452"/>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2"/>
      <c r="L813" s="452"/>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2"/>
      <c r="L814" s="452"/>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2"/>
      <c r="L815" s="452"/>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2"/>
      <c r="L816" s="452"/>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2"/>
      <c r="L817" s="452"/>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2"/>
      <c r="L818" s="452"/>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2"/>
      <c r="L819" s="452"/>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2"/>
      <c r="L820" s="452"/>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2"/>
      <c r="L821" s="452"/>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2"/>
      <c r="L822" s="452"/>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2"/>
      <c r="L823" s="452"/>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2"/>
      <c r="L824" s="452"/>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2"/>
      <c r="L825" s="452"/>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2"/>
      <c r="L826" s="452"/>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2"/>
      <c r="L827" s="452"/>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2"/>
      <c r="L828" s="452"/>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2"/>
      <c r="L829" s="452"/>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2"/>
      <c r="L830" s="452"/>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2"/>
      <c r="L831" s="452"/>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2"/>
      <c r="L832" s="452"/>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2"/>
      <c r="L833" s="452"/>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2"/>
      <c r="L834" s="452"/>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2"/>
      <c r="L835" s="452"/>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2"/>
      <c r="L836" s="452"/>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2"/>
      <c r="L837" s="452"/>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2"/>
      <c r="L838" s="452"/>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2"/>
      <c r="L839" s="452"/>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2"/>
      <c r="L840" s="452"/>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2"/>
      <c r="L841" s="452"/>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2"/>
      <c r="L842" s="452"/>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2"/>
      <c r="L843" s="452"/>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2"/>
      <c r="L844" s="452"/>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2"/>
      <c r="L845" s="452"/>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2"/>
      <c r="L846" s="452"/>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2"/>
      <c r="L847" s="452"/>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2"/>
      <c r="L848" s="452"/>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2"/>
      <c r="L849" s="452"/>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2"/>
      <c r="L850" s="452"/>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2"/>
      <c r="L851" s="452"/>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2"/>
      <c r="L852" s="452"/>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2"/>
      <c r="L853" s="452"/>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2"/>
      <c r="L854" s="452"/>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2"/>
      <c r="L855" s="452"/>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2"/>
      <c r="L856" s="452"/>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2"/>
      <c r="L857" s="452"/>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2"/>
      <c r="L858" s="452"/>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2"/>
      <c r="L859" s="452"/>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2"/>
      <c r="L860" s="452"/>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2"/>
      <c r="L861" s="452"/>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2"/>
      <c r="L862" s="452"/>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2"/>
      <c r="L863" s="452"/>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2"/>
      <c r="L864" s="452"/>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2"/>
      <c r="L865" s="452"/>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2"/>
      <c r="L866" s="452"/>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2"/>
      <c r="L867" s="452"/>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2"/>
      <c r="L868" s="452"/>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2"/>
      <c r="L869" s="452"/>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2"/>
      <c r="L870" s="452"/>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2"/>
      <c r="L871" s="452"/>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2"/>
      <c r="L872" s="452"/>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2"/>
      <c r="L873" s="452"/>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2"/>
      <c r="L874" s="452"/>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2"/>
      <c r="L875" s="452"/>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2"/>
      <c r="L876" s="452"/>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2"/>
      <c r="L877" s="452"/>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2"/>
      <c r="L878" s="452"/>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2"/>
      <c r="L879" s="452"/>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2"/>
      <c r="L880" s="452"/>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2"/>
      <c r="L881" s="452"/>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2"/>
      <c r="L882" s="452"/>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2"/>
      <c r="L883" s="452"/>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2"/>
      <c r="L884" s="452"/>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2"/>
      <c r="L885" s="452"/>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2"/>
      <c r="L886" s="452"/>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2"/>
      <c r="L887" s="452"/>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2"/>
      <c r="L888" s="452"/>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2"/>
      <c r="L889" s="452"/>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2"/>
      <c r="L890" s="452"/>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2"/>
      <c r="L891" s="452"/>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2"/>
      <c r="L892" s="452"/>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2"/>
      <c r="L893" s="452"/>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2"/>
      <c r="L894" s="452"/>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2"/>
      <c r="L895" s="452"/>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2"/>
      <c r="L896" s="452"/>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2"/>
      <c r="L897" s="452"/>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2"/>
      <c r="L898" s="452"/>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2"/>
      <c r="L899" s="452"/>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2"/>
      <c r="L900" s="452"/>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2"/>
      <c r="L901" s="452"/>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2"/>
      <c r="L902" s="452"/>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2"/>
      <c r="L903" s="452"/>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2"/>
      <c r="L904" s="452"/>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2"/>
      <c r="L905" s="452"/>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2"/>
      <c r="L906" s="452"/>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2"/>
      <c r="L907" s="452"/>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2"/>
      <c r="L908" s="452"/>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2"/>
      <c r="L909" s="452"/>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2"/>
      <c r="L910" s="452"/>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2"/>
      <c r="L911" s="452"/>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2"/>
      <c r="L912" s="452"/>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2"/>
      <c r="L913" s="452"/>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2"/>
      <c r="L914" s="452"/>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2"/>
      <c r="L915" s="452"/>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2"/>
      <c r="L916" s="452"/>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2"/>
      <c r="L917" s="452"/>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2"/>
      <c r="L918" s="452"/>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2"/>
      <c r="L919" s="452"/>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2"/>
      <c r="L920" s="452"/>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2"/>
      <c r="L921" s="452"/>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2"/>
      <c r="L922" s="452"/>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2"/>
      <c r="L923" s="452"/>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2"/>
      <c r="L924" s="452"/>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2"/>
      <c r="L925" s="452"/>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2"/>
      <c r="L926" s="452"/>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2"/>
      <c r="L927" s="452"/>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2"/>
      <c r="L928" s="452"/>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2"/>
      <c r="L929" s="452"/>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2"/>
      <c r="L930" s="452"/>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2"/>
      <c r="L931" s="452"/>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2"/>
      <c r="L932" s="452"/>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2"/>
      <c r="L933" s="452"/>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2"/>
      <c r="L934" s="452"/>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2"/>
      <c r="L935" s="452"/>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2"/>
      <c r="L936" s="452"/>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2"/>
      <c r="L937" s="452"/>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2"/>
      <c r="L938" s="452"/>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2"/>
      <c r="L939" s="452"/>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2"/>
      <c r="L940" s="452"/>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2"/>
      <c r="L941" s="452"/>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2"/>
      <c r="L942" s="452"/>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2"/>
      <c r="L943" s="452"/>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2"/>
      <c r="L944" s="452"/>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2"/>
      <c r="L945" s="452"/>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2"/>
      <c r="L946" s="452"/>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2"/>
      <c r="L947" s="452"/>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2"/>
      <c r="L948" s="452"/>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2"/>
      <c r="L949" s="452"/>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2"/>
      <c r="L950" s="452"/>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2"/>
      <c r="L951" s="452"/>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2"/>
      <c r="L952" s="452"/>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2"/>
      <c r="L953" s="452"/>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2"/>
      <c r="L954" s="452"/>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2"/>
      <c r="L955" s="452"/>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2"/>
      <c r="L956" s="452"/>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2"/>
      <c r="L957" s="452"/>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2"/>
      <c r="L958" s="452"/>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2"/>
      <c r="L959" s="452"/>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2"/>
      <c r="L960" s="452"/>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2"/>
      <c r="L961" s="452"/>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2"/>
      <c r="L962" s="452"/>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2"/>
      <c r="L963" s="452"/>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2"/>
      <c r="L964" s="452"/>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2"/>
      <c r="L965" s="452"/>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2"/>
      <c r="L966" s="452"/>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2"/>
      <c r="L967" s="452"/>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2"/>
      <c r="L968" s="452"/>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2"/>
      <c r="L969" s="452"/>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2"/>
      <c r="L970" s="452"/>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2"/>
      <c r="L971" s="452"/>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2"/>
      <c r="L972" s="452"/>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2"/>
      <c r="L973" s="452"/>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2"/>
      <c r="L974" s="452"/>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2"/>
      <c r="L975" s="452"/>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2"/>
      <c r="L976" s="452"/>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2"/>
      <c r="L977" s="452"/>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2"/>
      <c r="L978" s="452"/>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2"/>
      <c r="L979" s="452"/>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2"/>
      <c r="L980" s="452"/>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2"/>
      <c r="L981" s="452"/>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2"/>
      <c r="L982" s="452"/>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2"/>
      <c r="L983" s="452"/>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2"/>
      <c r="L984" s="452"/>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2"/>
      <c r="L985" s="452"/>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2"/>
      <c r="L986" s="452"/>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2"/>
      <c r="L987" s="452"/>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2"/>
      <c r="L988" s="452"/>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2"/>
      <c r="L989" s="452"/>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2"/>
      <c r="L990" s="452"/>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2"/>
      <c r="L991" s="452"/>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2"/>
      <c r="L992" s="452"/>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2"/>
      <c r="L993" s="452"/>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2"/>
      <c r="L994" s="452"/>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2"/>
      <c r="L995" s="452"/>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2"/>
      <c r="L996" s="452"/>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2"/>
      <c r="L997" s="452"/>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2"/>
      <c r="L998" s="452"/>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2"/>
      <c r="L999" s="452"/>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2"/>
      <c r="L1000" s="452"/>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