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<sst xmlns="http://schemas.openxmlformats.org/spreadsheetml/2006/main" count="8506" uniqueCount="7107">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</sst>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khác"&amp;" nhau.
(Ở một số khu vực, vẫn có thể cần VPN để truy cập chính xác).")</f>
        <v>Về mục chiến lược trong trò chơi "Mẹo Phiêu lưu", vì mục này không thể mở các liên kết ngoài như liên kết trang web/bản đồ, người chơi cần mục này nên sử dụng trang web thông thường để truy cập hướng dẫn này nhằm sử dụng đúng các chức năng liên kết khác nhau.
(Ở một số khu vực, vẫn có thể cần VPN để truy cập chính xác).</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IFERROR(__xludf.DUMMYFUNCTION("GOOGLETRANSLATE(C60,""zh-tw"",""KO"")"),"위와 같이 보라색 하트가 1개 이상, 빨간색 하트가 2개 이상 있으면 이벤트가 발생합니다.")</f>
        <v>위와 같이 보라색 하트가 1개 이상, 빨간색 하트가 2개 이상 있으면 이벤트가 발생합니다.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IFERROR(__xludf.DUMMYFUNCTION("GOOGLETRANSLATE(D78,""zh-tw"",""es-MX"")"),"El segundo segmento de la actuación de la escena de las medias")</f>
        <v>El segundo segmento de la actuación de la escena de las medias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IFERROR(__xludf.DUMMYFUNCTION("GOOGLETRANSLATE(D78,""zh-tw"",""KO"")"),"스타킹 신 퍼포먼스의 두 번째 부분")</f>
        <v>스타킹 신 퍼포먼스의 두 번째 부분</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""Panecillo al vapor súper suave y masticable"".")</f>
        <v>Compra este producto y recibe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воскрешающее перо), чтобы добраться до новой карты.")</f>
        <v>В Забытой Гробнице-2 спуститесь к входу (принесите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podrían incluso generar aversión.")</f>
        <v>No hubo reacción alguna, y las repeticiones podrían incluso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mantener pulsado el marco del avatar mostrará un cuadro de entrada de código de trucos.")</f>
        <v>En la versión para Android, en el modo RPG, mantener pulsado el marco del avatar mostrará un cuadro de entrada de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botín)
(Actualmente no hay criaturas enemigas ni jefe)")</f>
        <v>Usa bombas para hacer estallar la superficie del agua.
(Máximo un conjunto de botín)
(Actualmente no hay criaturas enemigas ni jefe)</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IFERROR(__xludf.DUMMYFUNCTION("GOOGLETRANSLATE(B13,""zh-tw"",""ja"")"),"物理攻撃力：32
魔法攻撃力：16
火属性")</f>
        <v>物理攻撃力：32
魔法攻撃力：16
火属性</v>
      </c>
      <c r="E13" s="334" t="s">
        <v>4514</v>
      </c>
      <c r="F13" s="317" t="s">
        <v>4515</v>
      </c>
      <c r="G13" s="334" t="str">
        <f>IFERROR(__xludf.DUMMYFUNCTION("GOOGLETRANSLATE(A13,""zh-tw"",""zh"")"),"阳炎")</f>
        <v>阳炎</v>
      </c>
      <c r="H13" s="317" t="str">
        <f>IFERROR(__xludf.DUMMYFUNCTION("GOOGLETRANSLATE(B13,""zh-tw"",""zh"")"),"物攻：32
魔攻：16
炎属性")</f>
        <v>物攻：32
魔攻：16
炎属性</v>
      </c>
      <c r="I13" s="335" t="str">
        <f>IFERROR(__xludf.DUMMYFUNCTION("GOOGLETRANSLATE(A13,""zh-tw"",""es-MX"")"),"kagerou")</f>
        <v>kagerou</v>
      </c>
      <c r="J13" s="162" t="str">
        <f>IFERROR(__xludf.DUMMYFUNCTION("GOOGLETRANSLATE(B13,""zh-tw"",""es-MX"")"),"Ataque físico: 32
Ataque mágico: 16
Atributo de fuego")</f>
        <v>Ataque físico: 32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32
Магическая атака: 16
Атрибут огня")</f>
        <v>Физическая атака: 32
Магическая атака: 16
Атрибут огня</v>
      </c>
      <c r="O13" s="334" t="s">
        <v>4518</v>
      </c>
      <c r="P13" s="317" t="s">
        <v>4519</v>
      </c>
      <c r="Q13" s="337" t="s">
        <v>4520</v>
      </c>
      <c r="R13" s="338"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IFERROR(__xludf.DUMMYFUNCTION("GOOGLETRANSLATE(B15,""zh-tw"",""ja"")"),"物理攻撃力：32
魔法攻撃力：12
電撃属性")</f>
        <v>物理攻撃力：32
魔法攻撃力：12
電撃属性</v>
      </c>
      <c r="E15" s="334" t="s">
        <v>4534</v>
      </c>
      <c r="F15" s="317" t="s">
        <v>4535</v>
      </c>
      <c r="G15" s="334" t="str">
        <f>IFERROR(__xludf.DUMMYFUNCTION("GOOGLETRANSLATE(A15,""zh-tw"",""zh"")"),"会漏电的不良品")</f>
        <v>会漏电的不良品</v>
      </c>
      <c r="H15" s="317" t="str">
        <f>IFERROR(__xludf.DUMMYFUNCTION("GOOGLETRANSLATE(B15,""zh-tw"",""zh"")"),"物攻：32
魔攻：12
电属性")</f>
        <v>物攻：32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3" t="s">
        <v>4536</v>
      </c>
      <c r="L15" s="162" t="str">
        <f>IFERROR(__xludf.DUMMYFUNCTION("GOOGLETRANSLATE(B15,""zh-tw"",""KO"")"),"물리 공격력: 32
마법 공격력: 12
전기 속성")</f>
        <v>물리 공격력: 32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4" t="s">
        <v>4537</v>
      </c>
      <c r="P15" s="317" t="s">
        <v>4538</v>
      </c>
      <c r="Q15" s="337" t="s">
        <v>4539</v>
      </c>
      <c r="R15" s="338"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IFERROR(__xludf.DUMMYFUNCTION("GOOGLETRANSLATE(B17,""zh-tw"",""ja"")"),"物理攻撃：42 分割攻撃")</f>
        <v>物理攻撃：42 分割攻撃</v>
      </c>
      <c r="E17" s="333" t="s">
        <v>4554</v>
      </c>
      <c r="F17" s="161" t="s">
        <v>4555</v>
      </c>
      <c r="G17" s="334" t="str">
        <f>IFERROR(__xludf.DUMMYFUNCTION("GOOGLETRANSLATE(A17,""zh-tw"",""zh"")"),"柳叶刀")</f>
        <v>柳叶刀</v>
      </c>
      <c r="H17" s="317" t="str">
        <f>IFERROR(__xludf.DUMMYFUNCTION("GOOGLETRANSLATE(B17,""zh-tw"",""zh"")"),"物攻：42
分裂攻击")</f>
        <v>物攻：42
分裂攻击</v>
      </c>
      <c r="I17" s="335" t="str">
        <f>IFERROR(__xludf.DUMMYFUNCTION("GOOGLETRANSLATE(A17,""zh-tw"",""es-MX"")"),"Lanceta")</f>
        <v>Lanceta</v>
      </c>
      <c r="J17" s="162" t="str">
        <f>IFERROR(__xludf.DUMMYFUNCTION("GOOGLETRANSLATE(B17,""zh-tw"",""es-MX"")"),"Ataque físico: 42 Ataque dividido")</f>
        <v>Ataque físico: 42 Ataque dividido</v>
      </c>
      <c r="K17" s="335" t="str">
        <f>IFERROR(__xludf.DUMMYFUNCTION("GOOGLETRANSLATE(A17,""zh-tw"",""KO"")"),"랜싯")</f>
        <v>랜싯</v>
      </c>
      <c r="L17" s="162" t="str">
        <f>IFERROR(__xludf.DUMMYFUNCTION("GOOGLETRANSLATE(B17,""zh-tw"",""KO"")"),"물리 공격: 42 분할 공격")</f>
        <v>물리 공격: 42 분할 공격</v>
      </c>
      <c r="M17" s="336" t="str">
        <f>IFERROR(__xludf.DUMMYFUNCTION("GOOGLETRANSLATE(A17,""zh-tw"",""ru"")"),"Ланцет")</f>
        <v>Ланцет</v>
      </c>
      <c r="N17" s="315" t="str">
        <f>IFERROR(__xludf.DUMMYFUNCTION("GOOGLETRANSLATE(B17,""zh-tw"",""ru"")"),"Физическая атака: 42-я раздельная атака")</f>
        <v>Физическая атака: 42-я раздельная атака</v>
      </c>
      <c r="O17" s="334" t="s">
        <v>4556</v>
      </c>
      <c r="P17" s="317" t="s">
        <v>4557</v>
      </c>
      <c r="Q17" s="337" t="s">
        <v>4558</v>
      </c>
      <c r="R17" s="338"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322" t="s">
        <v>4630</v>
      </c>
      <c r="C25" s="339" t="s">
        <v>4631</v>
      </c>
      <c r="D25" s="322" t="s">
        <v>4632</v>
      </c>
      <c r="E25" s="339" t="s">
        <v>4633</v>
      </c>
      <c r="F25" s="322" t="s">
        <v>4634</v>
      </c>
      <c r="G25" s="334" t="str">
        <f>IFERROR(__xludf.DUMMYFUNCTION("GOOGLETRANSLATE(A25,""zh-tw"",""zh"")"),"血狩")</f>
        <v>血狩</v>
      </c>
      <c r="H25" s="317"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322" t="s">
        <v>4636</v>
      </c>
      <c r="Q25" s="337" t="s">
        <v>4637</v>
      </c>
      <c r="R25" s="338"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IFERROR(__xludf.DUMMYFUNCTION("GOOGLETRANSLATE(B28,""zh-tw"",""ja"")"),"物理攻撃力: 20")</f>
        <v>物理攻撃力: 20</v>
      </c>
      <c r="E28" s="334" t="s">
        <v>4661</v>
      </c>
      <c r="F28" s="317" t="s">
        <v>4662</v>
      </c>
      <c r="G28" s="334" t="str">
        <f>IFERROR(__xludf.DUMMYFUNCTION("GOOGLETRANSLATE(A28,""zh-tw"",""zh"")"),"木弓")</f>
        <v>木弓</v>
      </c>
      <c r="H28" s="317" t="str">
        <f>IFERROR(__xludf.DUMMYFUNCTION("GOOGLETRANSLATE(B28,""zh-tw"",""zh"")"),"物攻：20")</f>
        <v>物攻：20</v>
      </c>
      <c r="I28" s="335" t="str">
        <f>IFERROR(__xludf.DUMMYFUNCTION("GOOGLETRANSLATE(A28,""zh-tw"",""es-MX"")"),"arco de madera")</f>
        <v>arco de madera</v>
      </c>
      <c r="J28" s="162" t="str">
        <f>IFERROR(__xludf.DUMMYFUNCTION("GOOGLETRANSLATE(B28,""zh-tw"",""es-MX"")"),"Ataque físico: 20")</f>
        <v>Ataque físico: 20</v>
      </c>
      <c r="K28" s="335" t="str">
        <f>IFERROR(__xludf.DUMMYFUNCTION("GOOGLETRANSLATE(A28,""zh-tw"",""KO"")"),"나무 활")</f>
        <v>나무 활</v>
      </c>
      <c r="L28" s="162" t="str">
        <f>IFERROR(__xludf.DUMMYFUNCTION("GOOGLETRANSLATE(B28,""zh-tw"",""KO"")"),"물리 공격력: 20")</f>
        <v>물리 공격력: 20</v>
      </c>
      <c r="M28" s="336" t="str">
        <f>IFERROR(__xludf.DUMMYFUNCTION("GOOGLETRANSLATE(A28,""zh-tw"",""ru"")"),"деревянный лук")</f>
        <v>деревянный лук</v>
      </c>
      <c r="N28" s="315" t="str">
        <f>IFERROR(__xludf.DUMMYFUNCTION("GOOGLETRANSLATE(B28,""zh-tw"",""ru"")"),"Физическая атака: 20")</f>
        <v>Физическая атака: 20</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魔法攻撃力：86
火属性")</f>
        <v>物理攻撃力：1
魔法攻撃力：86
火属性</v>
      </c>
      <c r="E34" s="334" t="s">
        <v>4295</v>
      </c>
      <c r="F34" s="317" t="s">
        <v>4711</v>
      </c>
      <c r="G34" s="334" t="str">
        <f>IFERROR(__xludf.DUMMYFUNCTION("GOOGLETRANSLATE(A34,""zh-tw"",""zh"")"),"熔岩杖")</f>
        <v>熔岩杖</v>
      </c>
      <c r="H34" s="317" t="str">
        <f>IFERROR(__xludf.DUMMYFUNCTION("GOOGLETRANSLATE(B34,""zh-tw"",""zh"")"),"物攻：1
魔攻：86
炎属性")</f>
        <v>物攻：1
魔攻：86
炎属性</v>
      </c>
      <c r="I34" s="335"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5" t="str">
        <f>IFERROR(__xludf.DUMMYFUNCTION("GOOGLETRANSLATE(A34,""zh-tw"",""KO"")"),"라바 스태프")</f>
        <v>라바 스태프</v>
      </c>
      <c r="L34" s="162" t="str">
        <f>IFERROR(__xludf.DUMMYFUNCTION("GOOGLETRANSLATE(B34,""zh-tw"",""KO"")"),"물리 공격력: 1
마법 공격력: 86
화속성")</f>
        <v>물리 공격력: 1
마법 공격력: 86
화속성</v>
      </c>
      <c r="M34" s="336" t="str">
        <f>IFERROR(__xludf.DUMMYFUNCTION("GOOGLETRANSLATE(A34,""zh-tw"",""ru"")"),"Лавовый посох")</f>
        <v>Лавовый посох</v>
      </c>
      <c r="N34" s="315" t="str">
        <f>IFERROR(__xludf.DUMMYFUNCTION("GOOGLETRANSLATE(B34,""zh-tw"",""ru"")"),"Физическая атака: 1
Магическая атака: 86
Атрибут огня")</f>
        <v>Физическая атака: 1
Магическая атака: 86
Атрибут огня</v>
      </c>
      <c r="O34" s="334" t="s">
        <v>4298</v>
      </c>
      <c r="P34" s="317" t="s">
        <v>4712</v>
      </c>
      <c r="Q34" s="337" t="s">
        <v>4713</v>
      </c>
      <c r="R34" s="338"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2"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8"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8"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8"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IFERROR(__xludf.DUMMYFUNCTION("GOOGLETRANSLATE(B7,""zh-tw"",""ja"")"),"物理防御：出血防御1")</f>
        <v>物理防御：出血防御1</v>
      </c>
      <c r="E7" s="333" t="s">
        <v>4878</v>
      </c>
      <c r="F7" s="161" t="s">
        <v>4879</v>
      </c>
      <c r="G7" s="335" t="str">
        <f>IFERROR(__xludf.DUMMYFUNCTION("GOOGLETRANSLATE(A7,""zh-tw"",""zh"")"),"厕纸")</f>
        <v>厕纸</v>
      </c>
      <c r="H7" s="162" t="str">
        <f>IFERROR(__xludf.DUMMYFUNCTION("GOOGLETRANSLATE(B7,""zh-tw"",""zh"")"),"物防：1
出血防御")</f>
        <v>物防：1
出血防御</v>
      </c>
      <c r="I7" s="335" t="str">
        <f>IFERROR(__xludf.DUMMYFUNCTION("GOOGLETRANSLATE(A7,""zh-tw"",""es-MX"")"),"papel higiénico")</f>
        <v>papel higiénico</v>
      </c>
      <c r="J7" s="162" t="str">
        <f>IFERROR(__xludf.DUMMYFUNCTION("GOOGLETRANSLATE(B7,""zh-tw"",""es-MX"")"),"Defensa física: 1 Defensa contra sangrado")</f>
        <v>Defensa física: 1 Defensa contra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Защита от кровотечения")</f>
        <v>Физическая защита: 1 Защита от кровотечения</v>
      </c>
      <c r="O7" s="334" t="s">
        <v>4881</v>
      </c>
      <c r="P7" s="317" t="s">
        <v>4882</v>
      </c>
      <c r="Q7" s="337" t="s">
        <v>4883</v>
      </c>
      <c r="R7" s="338"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IFERROR(__xludf.DUMMYFUNCTION("GOOGLETRANSLATE(B9,""zh-tw"",""ja"")"),"物理攻撃：5。攻撃速度と移動速度が向上します。")</f>
        <v>物理攻撃：5。攻撃速度と移動速度が向上します。</v>
      </c>
      <c r="E9" s="333" t="s">
        <v>4901</v>
      </c>
      <c r="F9" s="161" t="s">
        <v>4902</v>
      </c>
      <c r="G9" s="335" t="str">
        <f>IFERROR(__xludf.DUMMYFUNCTION("GOOGLETRANSLATE(A9,""zh-tw"",""zh"")"),"借来的猫爪")</f>
        <v>借来的猫爪</v>
      </c>
      <c r="H9" s="162" t="str">
        <f>IFERROR(__xludf.DUMMYFUNCTION("GOOGLETRANSLATE(B9,""zh-tw"",""zh"")"),"物攻：5
攻速、移速上升")</f>
        <v>物攻：5
攻速、移速上升</v>
      </c>
      <c r="I9" s="333" t="s">
        <v>4903</v>
      </c>
      <c r="J9" s="162" t="str">
        <f>IFERROR(__xludf.DUMMYFUNCTION("GOOGLETRANSLATE(B9,""zh-tw"",""es-MX"")"),"Ataque físico: 5. Aumenta la velocidad de ataque y la velocidad de movimiento.")</f>
        <v>Ataque físico: 5. Aumenta la velocidad de ataque y la velocidad de movimiento.</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IFERROR(__xludf.DUMMYFUNCTION("GOOGLETRANSLATE(B14,""zh-tw"",""ja"")"),"自動旋回攻撃")</f>
        <v>自動旋回攻撃</v>
      </c>
      <c r="E14" s="333" t="s">
        <v>4952</v>
      </c>
      <c r="F14" s="161" t="s">
        <v>4953</v>
      </c>
      <c r="G14" s="335" t="str">
        <f>IFERROR(__xludf.DUMMYFUNCTION("GOOGLETRANSLATE(A14,""zh-tw"",""zh"")"),"愤怒的拳头")</f>
        <v>愤怒的拳头</v>
      </c>
      <c r="H14" s="162" t="str">
        <f>IFERROR(__xludf.DUMMYFUNCTION("GOOGLETRANSLATE(B14,""zh-tw"",""zh"")"),"自动环绕攻击")</f>
        <v>自动环绕攻击</v>
      </c>
      <c r="I14" s="335" t="str">
        <f>IFERROR(__xludf.DUMMYFUNCTION("GOOGLETRANSLATE(A14,""zh-tw"",""es-MX"")"),"Puño furioso")</f>
        <v>Puño furioso</v>
      </c>
      <c r="J14" s="162" t="str">
        <f>IFERROR(__xludf.DUMMYFUNCTION("GOOGLETRANSLATE(B14,""zh-tw"",""es-MX"")"),"ataque automático en círculo")</f>
        <v>ataque automático en círculo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IFERROR(__xludf.DUMMYFUNCTION("GOOGLETRANSLATE(B14,""zh-tw"",""ru"")"),"Автоматическая круговая атака")</f>
        <v>Автоматическая круговая атака</v>
      </c>
      <c r="O14" s="334" t="s">
        <v>4955</v>
      </c>
      <c r="P14" s="317" t="s">
        <v>4956</v>
      </c>
      <c r="Q14" s="337" t="s">
        <v>4957</v>
      </c>
      <c r="R14" s="338" t="s">
        <v>4958</v>
      </c>
      <c r="S14" s="17"/>
      <c r="T14" s="17"/>
      <c r="U14" s="17"/>
      <c r="V14" s="17"/>
      <c r="W14" s="17"/>
      <c r="X14" s="17"/>
      <c r="Y14" s="17"/>
      <c r="Z14" s="17"/>
    </row>
    <row r="15">
      <c r="A15" s="334" t="s">
        <v>4959</v>
      </c>
      <c r="B15" s="317" t="s">
        <v>4960</v>
      </c>
      <c r="C15" s="346" t="s">
        <v>4961</v>
      </c>
      <c r="D15" s="185" t="s">
        <v>4962</v>
      </c>
      <c r="E15" s="333" t="s">
        <v>4963</v>
      </c>
      <c r="F15" s="161" t="s">
        <v>4964</v>
      </c>
      <c r="G15" s="335" t="str">
        <f>IFERROR(__xludf.DUMMYFUNCTION("GOOGLETRANSLATE(A15,""zh-tw"",""zh"")"),"毒蛇之拥")</f>
        <v>毒蛇之拥</v>
      </c>
      <c r="H15" s="162" t="str">
        <f>IFERROR(__xludf.DUMMYFUNCTION("GOOGLETRANSLATE(B15,""zh-tw"",""zh"")"),"物攻：1
魔攻：1
自动环绕攻击")</f>
        <v>物攻：1
魔攻：1
自动环绕攻击</v>
      </c>
      <c r="I15" s="335"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3" t="s">
        <v>4965</v>
      </c>
      <c r="L15" s="161" t="s">
        <v>4966</v>
      </c>
      <c r="M15" s="336" t="str">
        <f>IFERROR(__xludf.DUMMYFUNCTION("GOOGLETRANSLATE(A15,""zh-tw"",""ru"")"),"Объятия Змеи")</f>
        <v>Объятия Змеи</v>
      </c>
      <c r="N15" s="315" t="str">
        <f>IFERROR(__xludf.DUMMYFUNCTION("GOOGLETRANSLATE(B15,""zh-tw"",""ru"")"),"Физическая атака: 1
Магическая атака: 1
Атака с автокругом")</f>
        <v>Физическая атака: 1
Магическая атака: 1
Атака с автокругом</v>
      </c>
      <c r="O15" s="334" t="s">
        <v>4967</v>
      </c>
      <c r="P15" s="317" t="s">
        <v>4968</v>
      </c>
      <c r="Q15" s="337" t="s">
        <v>4969</v>
      </c>
      <c r="R15" s="338" t="s">
        <v>4970</v>
      </c>
      <c r="S15" s="17"/>
      <c r="T15" s="17"/>
      <c r="U15" s="17"/>
      <c r="V15" s="17"/>
      <c r="W15" s="17"/>
      <c r="X15" s="17"/>
      <c r="Y15" s="17"/>
      <c r="Z15" s="17"/>
    </row>
    <row r="16">
      <c r="A16" s="334" t="s">
        <v>4065</v>
      </c>
      <c r="B16" s="317" t="s">
        <v>4971</v>
      </c>
      <c r="C16" s="348" t="str">
        <f>IFERROR(__xludf.DUMMYFUNCTION("GOOGLETRANSLATE(A16,""zh-tw"",""ja"")"),"火の鳥の羽")</f>
        <v>火の鳥の羽</v>
      </c>
      <c r="D16" s="347" t="str">
        <f>IFERROR(__xludf.DUMMYFUNCTION("GOOGLETRANSLATE(B16,""zh-tw"",""ja"")"),"一度復活する")</f>
        <v>一度復活する</v>
      </c>
      <c r="E16" s="333" t="s">
        <v>4070</v>
      </c>
      <c r="F16" s="161" t="s">
        <v>4972</v>
      </c>
      <c r="G16" s="335" t="str">
        <f>IFERROR(__xludf.DUMMYFUNCTION("GOOGLETRANSLATE(A16,""zh-tw"",""zh"")"),"火鸟的羽毛")</f>
        <v>火鸟的羽毛</v>
      </c>
      <c r="H16" s="162" t="str">
        <f>IFERROR(__xludf.DUMMYFUNCTION("GOOGLETRANSLATE(B16,""zh-tw"",""zh"")"),"复活一次")</f>
        <v>复活一次</v>
      </c>
      <c r="I16" s="335" t="str">
        <f>IFERROR(__xludf.DUMMYFUNCTION("GOOGLETRANSLATE(A16,""zh-tw"",""es-MX"")"),"plumas de ave fénix")</f>
        <v>plumas de ave fénix</v>
      </c>
      <c r="J16" s="162" t="str">
        <f>IFERROR(__xludf.DUMMYFUNCTION("GOOGLETRANSLATE(B16,""zh-tw"",""es-MX"")"),"Resucita una vez")</f>
        <v>Resucita una vez</v>
      </c>
      <c r="K16" s="334" t="s">
        <v>4073</v>
      </c>
      <c r="L16" s="161" t="s">
        <v>4973</v>
      </c>
      <c r="M16" s="336" t="str">
        <f>IFERROR(__xludf.DUMMYFUNCTION("GOOGLETRANSLATE(A16,""zh-tw"",""ru"")"),"Перья жар-птицы")</f>
        <v>Перья жар-птицы</v>
      </c>
      <c r="N16" s="315" t="str">
        <f>IFERROR(__xludf.DUMMYFUNCTION("GOOGLETRANSLATE(B16,""zh-tw"",""ru"")"),"Воскресить однажды")</f>
        <v>Воскресить однажды</v>
      </c>
      <c r="O16" s="334" t="s">
        <v>4076</v>
      </c>
      <c r="P16" s="317" t="s">
        <v>4974</v>
      </c>
      <c r="Q16" s="337" t="s">
        <v>4079</v>
      </c>
      <c r="R16" s="338" t="s">
        <v>4975</v>
      </c>
      <c r="S16" s="17"/>
      <c r="T16" s="17"/>
      <c r="U16" s="17"/>
      <c r="V16" s="17"/>
      <c r="W16" s="17"/>
      <c r="X16" s="17"/>
      <c r="Y16" s="17"/>
      <c r="Z16" s="17"/>
    </row>
    <row r="17">
      <c r="A17" s="334" t="s">
        <v>4976</v>
      </c>
      <c r="B17" s="317" t="s">
        <v>4977</v>
      </c>
      <c r="C17" s="346" t="s">
        <v>4978</v>
      </c>
      <c r="D17" s="347" t="str">
        <f>IFERROR(__xludf.DUMMYFUNCTION("GOOGLETRANSLATE(B17,""zh-tw"",""ja"")"),"物理防御力: 2
魔法耐性: 15
落下ダメージ軽減")</f>
        <v>物理防御力: 2
魔法耐性: 15
落下ダメージ軽減</v>
      </c>
      <c r="E17" s="333" t="s">
        <v>4979</v>
      </c>
      <c r="F17" s="161" t="s">
        <v>4980</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4981</v>
      </c>
      <c r="L17" s="161" t="s">
        <v>4982</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4983</v>
      </c>
      <c r="P17" s="317" t="s">
        <v>4984</v>
      </c>
      <c r="Q17" s="337" t="s">
        <v>4985</v>
      </c>
      <c r="R17" s="338" t="s">
        <v>4986</v>
      </c>
      <c r="S17" s="17"/>
      <c r="T17" s="17"/>
      <c r="U17" s="17"/>
      <c r="V17" s="17"/>
      <c r="W17" s="17"/>
      <c r="X17" s="17"/>
      <c r="Y17" s="17"/>
      <c r="Z17" s="17"/>
    </row>
    <row r="18">
      <c r="A18" s="333" t="s">
        <v>4987</v>
      </c>
      <c r="B18" s="161" t="s">
        <v>4988</v>
      </c>
      <c r="C18" s="346" t="s">
        <v>4989</v>
      </c>
      <c r="D18" s="347"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5"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5"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4" t="s">
        <v>4990</v>
      </c>
      <c r="P18" s="317" t="s">
        <v>4991</v>
      </c>
      <c r="Q18" s="337" t="s">
        <v>4992</v>
      </c>
      <c r="R18" s="338" t="s">
        <v>4993</v>
      </c>
      <c r="S18" s="17"/>
      <c r="T18" s="17"/>
      <c r="U18" s="17"/>
      <c r="V18" s="17"/>
      <c r="W18" s="17"/>
      <c r="X18" s="17"/>
      <c r="Y18" s="17"/>
      <c r="Z18" s="17"/>
    </row>
    <row r="19">
      <c r="A19" s="334" t="s">
        <v>4994</v>
      </c>
      <c r="B19" s="317" t="s">
        <v>4995</v>
      </c>
      <c r="C19" s="346" t="s">
        <v>4996</v>
      </c>
      <c r="D19" s="347" t="str">
        <f>IFERROR(__xludf.DUMMYFUNCTION("GOOGLETRANSLATE(B19,""zh-tw"",""ja"")"),"移動速度：5 フラッシュステップ効果強化")</f>
        <v>移動速度：5 フラッシュステップ効果強化</v>
      </c>
      <c r="E19" s="333" t="s">
        <v>4997</v>
      </c>
      <c r="F19" s="161" t="s">
        <v>4998</v>
      </c>
      <c r="G19" s="335" t="str">
        <f>IFERROR(__xludf.DUMMYFUNCTION("GOOGLETRANSLATE(A19,""zh-tw"",""zh"")"),"武术家之鞋")</f>
        <v>武术家之鞋</v>
      </c>
      <c r="H19" s="162" t="str">
        <f>IFERROR(__xludf.DUMMYFUNCTION("GOOGLETRANSLATE(B19,""zh-tw"",""zh"")"),"移速:5
闪步效果强化")</f>
        <v>移速:5
闪步效果强化</v>
      </c>
      <c r="I19" s="335"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5"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IFERROR(__xludf.DUMMYFUNCTION("GOOGLETRANSLATE(B19,""zh-tw"",""ru"")"),"Скорость передвижения: 5 шагов, улучшен эффект вспышки")</f>
        <v>Скорость передвижения: 5 шагов, улучшен эффект вспышки</v>
      </c>
      <c r="O19" s="334" t="s">
        <v>4999</v>
      </c>
      <c r="P19" s="317" t="s">
        <v>5000</v>
      </c>
      <c r="Q19" s="337" t="s">
        <v>5001</v>
      </c>
      <c r="R19" s="338" t="s">
        <v>5002</v>
      </c>
      <c r="S19" s="17"/>
      <c r="T19" s="17"/>
      <c r="U19" s="17"/>
      <c r="V19" s="17"/>
      <c r="W19" s="17"/>
      <c r="X19" s="17"/>
      <c r="Y19" s="17"/>
      <c r="Z19" s="17"/>
    </row>
    <row r="20">
      <c r="A20" s="334" t="s">
        <v>5003</v>
      </c>
      <c r="B20" s="317" t="s">
        <v>5004</v>
      </c>
      <c r="C20" s="346" t="s">
        <v>5005</v>
      </c>
      <c r="D20" s="347" t="str">
        <f>IFERROR(__xludf.DUMMYFUNCTION("GOOGLETRANSLATE(B20,""zh-tw"",""ja"")"),"物理防御：1 運：60")</f>
        <v>物理防御：1 運：60</v>
      </c>
      <c r="E20" s="333" t="s">
        <v>5006</v>
      </c>
      <c r="F20" s="161" t="s">
        <v>5007</v>
      </c>
      <c r="G20" s="335" t="str">
        <f>IFERROR(__xludf.DUMMYFUNCTION("GOOGLETRANSLATE(A20,""zh-tw"",""zh"")"),"萌萌兔耳")</f>
        <v>萌萌兔耳</v>
      </c>
      <c r="H20" s="162" t="str">
        <f>IFERROR(__xludf.DUMMYFUNCTION("GOOGLETRANSLATE(B20,""zh-tw"",""zh"")"),"物防：1
幸运：60")</f>
        <v>物防：1
幸运：60</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f>
        <v>물리 방어력: 1 행운: 60</v>
      </c>
      <c r="M20" s="336" t="str">
        <f>IFERROR(__xludf.DUMMYFUNCTION("GOOGLETRANSLATE(A20,""zh-tw"",""ru"")"),"Милые ушки зайчика")</f>
        <v>Милые ушки зайчика</v>
      </c>
      <c r="N20" s="315" t="str">
        <f>IFERROR(__xludf.DUMMYFUNCTION("GOOGLETRANSLATE(B20,""zh-tw"",""ru"")"),"Физическая защита: 1 Удача: 60")</f>
        <v>Физическая защита: 1 Удача: 60</v>
      </c>
      <c r="O20" s="334" t="s">
        <v>5008</v>
      </c>
      <c r="P20" s="317" t="s">
        <v>5009</v>
      </c>
      <c r="Q20" s="337" t="s">
        <v>5010</v>
      </c>
      <c r="R20" s="338" t="s">
        <v>5011</v>
      </c>
      <c r="S20" s="17"/>
      <c r="T20" s="17"/>
      <c r="U20" s="17"/>
      <c r="V20" s="17"/>
      <c r="W20" s="17"/>
      <c r="X20" s="17"/>
      <c r="Y20" s="17"/>
      <c r="Z20" s="17"/>
    </row>
    <row r="21">
      <c r="A21" s="334" t="s">
        <v>5012</v>
      </c>
      <c r="B21" s="317" t="s">
        <v>5013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5014</v>
      </c>
      <c r="F21" s="161" t="s">
        <v>5015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5016</v>
      </c>
      <c r="L21" s="161" t="s">
        <v>5017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5018</v>
      </c>
      <c r="P21" s="317" t="s">
        <v>5019</v>
      </c>
      <c r="Q21" s="337" t="s">
        <v>5020</v>
      </c>
      <c r="R21" s="338" t="s">
        <v>5021</v>
      </c>
      <c r="S21" s="17"/>
      <c r="T21" s="17"/>
      <c r="U21" s="17"/>
      <c r="V21" s="17"/>
      <c r="W21" s="17"/>
      <c r="X21" s="17"/>
      <c r="Y21" s="17"/>
      <c r="Z21" s="17"/>
    </row>
    <row r="22">
      <c r="A22" s="334" t="s">
        <v>5022</v>
      </c>
      <c r="B22" s="317" t="s">
        <v>5023</v>
      </c>
      <c r="C22" s="346" t="s">
        <v>5024</v>
      </c>
      <c r="D22" s="347" t="str">
        <f>IFERROR(__xludf.DUMMYFUNCTION("GOOGLETRANSLATE(B22,""zh-tw"",""ja"")"),"魔法攻撃力：20
魔法耐性：10
スピードキャスト、魔法貫通")</f>
        <v>魔法攻撃力：20
魔法耐性：10
スピードキャスト、魔法貫通</v>
      </c>
      <c r="E22" s="333" t="s">
        <v>5025</v>
      </c>
      <c r="F22" s="161" t="s">
        <v>5026</v>
      </c>
      <c r="G22" s="335" t="str">
        <f>IFERROR(__xludf.DUMMYFUNCTION("GOOGLETRANSLATE(A22,""zh-tw"",""zh"")"),"魔力晶簇")</f>
        <v>魔力晶簇</v>
      </c>
      <c r="H22" s="162" t="str">
        <f>IFERROR(__xludf.DUMMYFUNCTION("GOOGLETRANSLATE(B22,""zh-tw"",""zh"")"),"魔攻：20
魔抗：10
加快吟唱、魔法穿透")</f>
        <v>魔攻：20
魔抗：10
加快吟唱、魔法穿透</v>
      </c>
      <c r="I22" s="335"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3" t="s">
        <v>5027</v>
      </c>
      <c r="L22" s="161" t="s">
        <v>5028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4" t="s">
        <v>5029</v>
      </c>
      <c r="P22" s="317" t="s">
        <v>5030</v>
      </c>
      <c r="Q22" s="337" t="s">
        <v>5031</v>
      </c>
      <c r="R22" s="338" t="s">
        <v>5032</v>
      </c>
      <c r="S22" s="17"/>
      <c r="T22" s="17"/>
      <c r="U22" s="17"/>
      <c r="V22" s="17"/>
      <c r="W22" s="17"/>
      <c r="X22" s="17"/>
      <c r="Y22" s="17"/>
      <c r="Z22" s="17"/>
    </row>
    <row r="23">
      <c r="A23" s="334" t="s">
        <v>5033</v>
      </c>
      <c r="B23" s="317" t="s">
        <v>5034</v>
      </c>
      <c r="C23" s="346" t="s">
        <v>5035</v>
      </c>
      <c r="D23" s="347" t="str">
        <f>IFERROR(__xludf.DUMMYFUNCTION("GOOGLETRANSLATE(B23,""zh-tw"",""ja"")"),"魔法攻撃力: 35
魔法耐性: 20
スピードキャスト、魔法貫通")</f>
        <v>魔法攻撃力: 35
魔法耐性: 20
スピードキャスト、魔法貫通</v>
      </c>
      <c r="E23" s="333" t="s">
        <v>5036</v>
      </c>
      <c r="F23" s="161" t="s">
        <v>5037</v>
      </c>
      <c r="G23" s="335" t="str">
        <f>IFERROR(__xludf.DUMMYFUNCTION("GOOGLETRANSLATE(A23,""zh-tw"",""zh"")"),"深邃魔力晶簇")</f>
        <v>深邃魔力晶簇</v>
      </c>
      <c r="H23" s="162" t="str">
        <f>IFERROR(__xludf.DUMMYFUNCTION("GOOGLETRANSLATE(B23,""zh-tw"",""zh"")"),"魔攻：35
魔抗：20
加快吟唱、魔法穿透")</f>
        <v>魔攻：35
魔抗：20
加快吟唱、魔法穿透</v>
      </c>
      <c r="I23" s="335"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4" t="s">
        <v>5038</v>
      </c>
      <c r="L23" s="161" t="s">
        <v>5039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4" t="s">
        <v>5040</v>
      </c>
      <c r="P23" s="317" t="s">
        <v>5041</v>
      </c>
      <c r="Q23" s="337" t="s">
        <v>5042</v>
      </c>
      <c r="R23" s="338" t="s">
        <v>5043</v>
      </c>
      <c r="S23" s="17"/>
      <c r="T23" s="17"/>
      <c r="U23" s="17"/>
      <c r="V23" s="17"/>
      <c r="W23" s="17"/>
      <c r="X23" s="17"/>
      <c r="Y23" s="17"/>
      <c r="Z23" s="17"/>
    </row>
    <row r="24">
      <c r="A24" s="334" t="s">
        <v>5044</v>
      </c>
      <c r="B24" s="317" t="s">
        <v>5045</v>
      </c>
      <c r="C24" s="346" t="s">
        <v>5046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5047</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5057</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5058</v>
      </c>
      <c r="P25" s="317" t="s">
        <v>5059</v>
      </c>
      <c r="Q25" s="337" t="s">
        <v>5060</v>
      </c>
      <c r="R25" s="338" t="s">
        <v>5061</v>
      </c>
      <c r="S25" s="17"/>
      <c r="T25" s="17"/>
      <c r="U25" s="17"/>
      <c r="V25" s="17"/>
      <c r="W25" s="17"/>
      <c r="X25" s="17"/>
      <c r="Y25" s="17"/>
      <c r="Z25" s="17"/>
    </row>
    <row r="26">
      <c r="A26" s="333" t="s">
        <v>5062</v>
      </c>
      <c r="B26" s="161" t="s">
        <v>5063</v>
      </c>
      <c r="C26" s="346" t="s">
        <v>5064</v>
      </c>
      <c r="D26" s="185" t="s">
        <v>5065</v>
      </c>
      <c r="E26" s="333" t="s">
        <v>5066</v>
      </c>
      <c r="F26" s="161" t="s">
        <v>5067</v>
      </c>
      <c r="G26" s="335" t="str">
        <f>IFERROR(__xludf.DUMMYFUNCTION("GOOGLETRANSLATE(A26,""zh-tw"",""zh"")"),"调皮的杰克")</f>
        <v>调皮的杰克</v>
      </c>
      <c r="H26" s="162" t="str">
        <f>IFERROR(__xludf.DUMMYFUNCTION("GOOGLETRANSLATE(B26,""zh-tw"",""zh"")"),"魔攻：8
魔防：8
增强残血伤害")</f>
        <v>魔攻：8
魔防：8
增强残血伤害</v>
      </c>
      <c r="I26" s="335"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5" t="str">
        <f>IFERROR(__xludf.DUMMYFUNCTION("GOOGLETRANSLATE(A26,""zh-tw"",""KO"")"),"장난꾸러기 잭")</f>
        <v>장난꾸러기 잭</v>
      </c>
      <c r="L26" s="161" t="s">
        <v>5068</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4" t="s">
        <v>5069</v>
      </c>
      <c r="P26" s="317" t="s">
        <v>5070</v>
      </c>
      <c r="Q26" s="337" t="s">
        <v>5071</v>
      </c>
      <c r="R26" s="164" t="s">
        <v>5072</v>
      </c>
      <c r="S26" s="17"/>
      <c r="T26" s="17"/>
      <c r="U26" s="17"/>
      <c r="V26" s="17"/>
      <c r="W26" s="17"/>
      <c r="X26" s="17"/>
      <c r="Y26" s="17"/>
      <c r="Z26" s="17"/>
    </row>
    <row r="27">
      <c r="A27" s="333" t="s">
        <v>5073</v>
      </c>
      <c r="B27" s="161" t="s">
        <v>5074</v>
      </c>
      <c r="C27" s="346" t="s">
        <v>5075</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5076</v>
      </c>
      <c r="F27" s="161" t="s">
        <v>5077</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5078</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5079</v>
      </c>
      <c r="L27" s="161" t="s">
        <v>5080</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5081</v>
      </c>
      <c r="P27" s="317" t="s">
        <v>5082</v>
      </c>
      <c r="Q27" s="337" t="s">
        <v>5083</v>
      </c>
      <c r="R27" s="338" t="s">
        <v>5084</v>
      </c>
      <c r="S27" s="17"/>
      <c r="T27" s="17"/>
      <c r="U27" s="17"/>
      <c r="V27" s="17"/>
      <c r="W27" s="17"/>
      <c r="X27" s="17"/>
      <c r="Y27" s="17"/>
      <c r="Z27" s="17"/>
    </row>
    <row r="28">
      <c r="A28" s="333" t="s">
        <v>5085</v>
      </c>
      <c r="B28" s="161" t="s">
        <v>5086</v>
      </c>
      <c r="C28" s="346" t="s">
        <v>5087</v>
      </c>
      <c r="D28" s="347" t="str">
        <f>IFERROR(__xludf.DUMMYFUNCTION("GOOGLETRANSLATE(B28,""zh-tw"",""ja"")"),"追加爆発効果、爆発軽減")</f>
        <v>追加爆発効果、爆発軽減</v>
      </c>
      <c r="E28" s="333" t="s">
        <v>5088</v>
      </c>
      <c r="F28" s="161" t="s">
        <v>5089</v>
      </c>
      <c r="G28" s="335" t="str">
        <f>IFERROR(__xludf.DUMMYFUNCTION("GOOGLETRANSLATE(A28,""zh-tw"",""zh"")"),"炸弹魔之魂")</f>
        <v>炸弹魔之魂</v>
      </c>
      <c r="H28" s="162" t="str">
        <f>IFERROR(__xludf.DUMMYFUNCTION("GOOGLETRANSLATE(B28,""zh-tw"",""zh"")"),"附带爆炸效果、爆炸减免")</f>
        <v>附带爆炸效果、爆炸减免</v>
      </c>
      <c r="I28" s="335"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4" t="s">
        <v>5090</v>
      </c>
      <c r="L28" s="161" t="s">
        <v>5091</v>
      </c>
      <c r="M28" s="336" t="str">
        <f>IFERROR(__xludf.DUMMYFUNCTION("GOOGLETRANSLATE(A28,""zh-tw"",""ru"")"),"Душа бомбардировщика")</f>
        <v>Душа бомбардировщика</v>
      </c>
      <c r="N28" s="315" t="str">
        <f>IFERROR(__xludf.DUMMYFUNCTION("GOOGLETRANSLATE(B28,""zh-tw"",""ru"")"),"Дополнительный эффект взрыва, снижение взрыва")</f>
        <v>Дополнительный эффект взрыва, снижение взрыва</v>
      </c>
      <c r="O28" s="334" t="s">
        <v>5092</v>
      </c>
      <c r="P28" s="317" t="s">
        <v>5093</v>
      </c>
      <c r="Q28" s="337" t="s">
        <v>5094</v>
      </c>
      <c r="R28" s="338" t="s">
        <v>5095</v>
      </c>
      <c r="S28" s="17"/>
      <c r="T28" s="17"/>
      <c r="U28" s="17"/>
      <c r="V28" s="17"/>
      <c r="W28" s="17"/>
      <c r="X28" s="17"/>
      <c r="Y28" s="17"/>
      <c r="Z28" s="17"/>
    </row>
    <row r="29">
      <c r="A29" s="333" t="s">
        <v>5096</v>
      </c>
      <c r="B29" s="161" t="s">
        <v>5097</v>
      </c>
      <c r="C29" s="346" t="s">
        <v>5098</v>
      </c>
      <c r="D29" s="347" t="str">
        <f>IFERROR(__xludf.DUMMYFUNCTION("GOOGLETRANSLATE(B29,""zh-tw"",""ja"")"),"物理攻撃力：4 爆弾効果を強化")</f>
        <v>物理攻撃力：4 爆弾効果を強化</v>
      </c>
      <c r="E29" s="333" t="s">
        <v>5099</v>
      </c>
      <c r="F29" s="161" t="s">
        <v>5100</v>
      </c>
      <c r="G29" s="335" t="str">
        <f>IFERROR(__xludf.DUMMYFUNCTION("GOOGLETRANSLATE(A29,""zh-tw"",""zh"")"),"纵火狂的防烫手套")</f>
        <v>纵火狂的防烫手套</v>
      </c>
      <c r="H29" s="162" t="str">
        <f>IFERROR(__xludf.DUMMYFUNCTION("GOOGLETRANSLATE(B29,""zh-tw"",""zh"")"),"物攻:4
增强炸弹效果")</f>
        <v>物攻:4
增强炸弹效果</v>
      </c>
      <c r="I29" s="335"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3" t="s">
        <v>5101</v>
      </c>
      <c r="L29" s="161" t="s">
        <v>5102</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Увеличивает эффект бомбы")</f>
        <v>Физическая атака: 4 Увеличивает эффект бомбы</v>
      </c>
      <c r="O29" s="334" t="s">
        <v>5103</v>
      </c>
      <c r="P29" s="317" t="s">
        <v>5104</v>
      </c>
      <c r="Q29" s="337" t="s">
        <v>5105</v>
      </c>
      <c r="R29" s="338" t="s">
        <v>5106</v>
      </c>
      <c r="S29" s="17"/>
      <c r="T29" s="17"/>
      <c r="U29" s="17"/>
      <c r="V29" s="17"/>
      <c r="W29" s="17"/>
      <c r="X29" s="17"/>
      <c r="Y29" s="17"/>
      <c r="Z29" s="17"/>
    </row>
    <row r="30">
      <c r="A30" s="334" t="s">
        <v>5107</v>
      </c>
      <c r="B30" s="317" t="s">
        <v>5108</v>
      </c>
      <c r="C30" s="346" t="s">
        <v>5109</v>
      </c>
      <c r="D30" s="347" t="str">
        <f>IFERROR(__xludf.DUMMYFUNCTION("GOOGLETRANSLATE(B30,""zh-tw"",""ja"")"),"魔法攻撃: 10 物理防御: 1 魔法抵抗: 20 武器は追加の魔法ダメージを与えます。")</f>
        <v>魔法攻撃: 10 物理防御: 1 魔法抵抗: 20 武器は追加の魔法ダメージを与えます。</v>
      </c>
      <c r="E30" s="333" t="s">
        <v>5110</v>
      </c>
      <c r="F30" s="161" t="s">
        <v>5111</v>
      </c>
      <c r="G30" s="335"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5"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4" t="s">
        <v>5112</v>
      </c>
      <c r="L30" s="161" t="s">
        <v>5113</v>
      </c>
      <c r="M30" s="336" t="str">
        <f>IFERROR(__xludf.DUMMYFUNCTION("GOOGLETRANSLATE(A30,""zh-tw"",""ru"")"),"Перчатки магического поглощения")</f>
        <v>Перчатки магического поглощения</v>
      </c>
      <c r="N30" s="315"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4" t="s">
        <v>5114</v>
      </c>
      <c r="P30" s="317" t="s">
        <v>5115</v>
      </c>
      <c r="Q30" s="337" t="s">
        <v>5116</v>
      </c>
      <c r="R30" s="338" t="s">
        <v>5117</v>
      </c>
      <c r="S30" s="17"/>
      <c r="T30" s="17"/>
      <c r="U30" s="17"/>
      <c r="V30" s="17"/>
      <c r="W30" s="17"/>
      <c r="X30" s="17"/>
      <c r="Y30" s="17"/>
      <c r="Z30" s="17"/>
    </row>
    <row r="31">
      <c r="A31" s="334" t="s">
        <v>5118</v>
      </c>
      <c r="B31" s="317" t="s">
        <v>5119</v>
      </c>
      <c r="C31" s="346" t="s">
        <v>5120</v>
      </c>
      <c r="D31" s="347" t="str">
        <f>IFERROR(__xludf.DUMMYFUNCTION("GOOGLETRANSLATE(B31,""zh-tw"",""ja"")"),"物理攻撃: 2 物理防御: 6 ダメージを与えるアーマー")</f>
        <v>物理攻撃: 2 物理防御: 6 ダメージを与えるアーマー</v>
      </c>
      <c r="E31" s="333" t="s">
        <v>5121</v>
      </c>
      <c r="F31" s="161" t="s">
        <v>5122</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5123</v>
      </c>
      <c r="L31" s="161" t="s">
        <v>5124</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5125</v>
      </c>
      <c r="P31" s="317" t="s">
        <v>5126</v>
      </c>
      <c r="Q31" s="337" t="s">
        <v>5127</v>
      </c>
      <c r="R31" s="338" t="s">
        <v>5128</v>
      </c>
      <c r="S31" s="17"/>
      <c r="T31" s="17"/>
      <c r="U31" s="17"/>
      <c r="V31" s="17"/>
      <c r="W31" s="17"/>
      <c r="X31" s="17"/>
      <c r="Y31" s="17"/>
      <c r="Z31" s="17"/>
    </row>
    <row r="32">
      <c r="A32" s="334" t="s">
        <v>5129</v>
      </c>
      <c r="B32" s="317" t="s">
        <v>5130</v>
      </c>
      <c r="C32" s="346" t="s">
        <v>5131</v>
      </c>
      <c r="D32" s="347" t="str">
        <f>IFERROR(__xludf.DUMMYFUNCTION("GOOGLETRANSLATE(B32,""zh-tw"",""ja"")"),"物理攻撃力：4
物理防御力：2
ダメージを与えるアーマー")</f>
        <v>物理攻撃力：4
物理防御力：2
ダメージを与えるアーマー</v>
      </c>
      <c r="E32" s="333" t="s">
        <v>5132</v>
      </c>
      <c r="F32" s="161" t="s">
        <v>5133</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5134</v>
      </c>
      <c r="L32" s="161" t="s">
        <v>5135</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5136</v>
      </c>
      <c r="P32" s="317" t="s">
        <v>5137</v>
      </c>
      <c r="Q32" s="337" t="s">
        <v>5138</v>
      </c>
      <c r="R32" s="338" t="s">
        <v>5139</v>
      </c>
      <c r="S32" s="17"/>
      <c r="T32" s="17"/>
      <c r="U32" s="17"/>
      <c r="V32" s="17"/>
      <c r="W32" s="17"/>
      <c r="X32" s="17"/>
      <c r="Y32" s="17"/>
      <c r="Z32" s="17"/>
    </row>
    <row r="33">
      <c r="A33" s="334" t="s">
        <v>5140</v>
      </c>
      <c r="B33" s="317" t="s">
        <v>5141</v>
      </c>
      <c r="C33" s="346" t="s">
        <v>5142</v>
      </c>
      <c r="D33" s="347" t="str">
        <f>IFERROR(__xludf.DUMMYFUNCTION("GOOGLETRANSLATE(B33,""zh-tw"",""ja"")"),"物理攻撃: 2 物理防御: 2 ダメージを与えるアーマー")</f>
        <v>物理攻撃: 2 物理防御: 2 ダメージを与えるアーマー</v>
      </c>
      <c r="E33" s="333" t="s">
        <v>5143</v>
      </c>
      <c r="F33" s="161" t="s">
        <v>5144</v>
      </c>
      <c r="G33" s="335" t="str">
        <f>IFERROR(__xludf.DUMMYFUNCTION("GOOGLETRANSLATE(A33,""zh-tw"",""zh"")"),"穿刺钉鞋")</f>
        <v>穿刺钉鞋</v>
      </c>
      <c r="H33" s="162" t="str">
        <f>IFERROR(__xludf.DUMMYFUNCTION("GOOGLETRANSLATE(B33,""zh-tw"",""zh"")"),"物攻：2
物防：2
伤害型防具")</f>
        <v>物攻：2
物防：2
伤害型防具</v>
      </c>
      <c r="I33" s="333" t="s">
        <v>5145</v>
      </c>
      <c r="J33" s="162" t="str">
        <f>IFERROR(__xludf.DUMMYFUNCTION("GOOGLETRANSLATE(B33,""zh-tw"",""es-MX"")"),"Ataque físico: 2 Defensa física: 2 Armadura que inflige daño")</f>
        <v>Ataque físico: 2 Defensa física: 2 Armadura que inflige daño</v>
      </c>
      <c r="K33" s="333" t="s">
        <v>5146</v>
      </c>
      <c r="L33" s="161" t="s">
        <v>5147</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5148</v>
      </c>
      <c r="P33" s="317" t="s">
        <v>5149</v>
      </c>
      <c r="Q33" s="337" t="s">
        <v>5150</v>
      </c>
      <c r="R33" s="338" t="s">
        <v>5151</v>
      </c>
      <c r="S33" s="17"/>
      <c r="T33" s="17"/>
      <c r="U33" s="17"/>
      <c r="V33" s="17"/>
      <c r="W33" s="17"/>
      <c r="X33" s="17"/>
      <c r="Y33" s="17"/>
      <c r="Z33" s="17"/>
    </row>
    <row r="34">
      <c r="A34" s="334" t="s">
        <v>5152</v>
      </c>
      <c r="B34" s="317" t="s">
        <v>5153</v>
      </c>
      <c r="C34" s="346" t="s">
        <v>5154</v>
      </c>
      <c r="D34" s="347" t="str">
        <f>IFERROR(__xludf.DUMMYFUNCTION("GOOGLETRANSLATE(B34,""zh-tw"",""ja"")"),"物理攻撃力：5
物理防御力：1
ダメージを与えるアーマー")</f>
        <v>物理攻撃力：5
物理防御力：1
ダメージを与えるアーマー</v>
      </c>
      <c r="E34" s="333" t="s">
        <v>5155</v>
      </c>
      <c r="F34" s="161" t="s">
        <v>5156</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5157</v>
      </c>
      <c r="L34" s="161" t="s">
        <v>5158</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5159</v>
      </c>
      <c r="P34" s="317" t="s">
        <v>5160</v>
      </c>
      <c r="Q34" s="337" t="s">
        <v>5161</v>
      </c>
      <c r="R34" s="338" t="s">
        <v>5162</v>
      </c>
      <c r="S34" s="17"/>
      <c r="T34" s="17"/>
      <c r="U34" s="17"/>
      <c r="V34" s="17"/>
      <c r="W34" s="17"/>
      <c r="X34" s="17"/>
      <c r="Y34" s="17"/>
      <c r="Z34" s="17"/>
    </row>
    <row r="35">
      <c r="A35" s="334" t="s">
        <v>5163</v>
      </c>
      <c r="B35" s="317" t="s">
        <v>5164</v>
      </c>
      <c r="C35" s="348" t="str">
        <f>IFERROR(__xludf.DUMMYFUNCTION("GOOGLETRANSLATE(A35,""zh-tw"",""ja"")"),"騎士のヘルメット")</f>
        <v>騎士のヘルメット</v>
      </c>
      <c r="D35" s="347" t="str">
        <f>IFERROR(__xludf.DUMMYFUNCTION("GOOGLETRANSLATE(B35,""zh-tw"",""ja"")"),"物理防御力: 5
魔法耐性: 2
スタミナが低いと能力が上昇する")</f>
        <v>物理防御力: 5
魔法耐性: 2
スタミナが低いと能力が上昇する</v>
      </c>
      <c r="E35" s="333" t="s">
        <v>5165</v>
      </c>
      <c r="F35" s="161" t="s">
        <v>5166</v>
      </c>
      <c r="G35" s="335" t="str">
        <f>IFERROR(__xludf.DUMMYFUNCTION("GOOGLETRANSLATE(A35,""zh-tw"",""zh"")"),"骑士头盔")</f>
        <v>骑士头盔</v>
      </c>
      <c r="H35" s="162" t="str">
        <f>IFERROR(__xludf.DUMMYFUNCTION("GOOGLETRANSLATE(B35,""zh-tw"",""zh"")"),"物防：5
魔抗：2
低体力增属性")</f>
        <v>物防：5
魔抗：2
低体力增属性</v>
      </c>
      <c r="I35" s="335"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3" t="s">
        <v>5167</v>
      </c>
      <c r="L35" s="161" t="s">
        <v>5168</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4" t="s">
        <v>5169</v>
      </c>
      <c r="P35" s="317" t="s">
        <v>5170</v>
      </c>
      <c r="Q35" s="337" t="s">
        <v>5171</v>
      </c>
      <c r="R35" s="338" t="s">
        <v>5172</v>
      </c>
      <c r="S35" s="17"/>
      <c r="T35" s="17"/>
      <c r="U35" s="17"/>
      <c r="V35" s="17"/>
      <c r="W35" s="17"/>
      <c r="X35" s="17"/>
      <c r="Y35" s="17"/>
      <c r="Z35" s="17"/>
    </row>
    <row r="36">
      <c r="A36" s="334" t="s">
        <v>5173</v>
      </c>
      <c r="B36" s="317" t="s">
        <v>5174</v>
      </c>
      <c r="C36" s="346" t="s">
        <v>5175</v>
      </c>
      <c r="D36" s="347" t="str">
        <f>IFERROR(__xludf.DUMMYFUNCTION("GOOGLETRANSLATE(B36,""zh-tw"",""ja"")"),"物理攻撃: 2 物理防御: 3 HPが低いときにステータスが上昇")</f>
        <v>物理攻撃: 2 物理防御: 3 HPが低いときにステータスが上昇</v>
      </c>
      <c r="E36" s="333" t="s">
        <v>5176</v>
      </c>
      <c r="F36" s="161" t="s">
        <v>5177</v>
      </c>
      <c r="G36" s="335" t="str">
        <f>IFERROR(__xludf.DUMMYFUNCTION("GOOGLETRANSLATE(A36,""zh-tw"",""zh"")"),"骑士护臂")</f>
        <v>骑士护臂</v>
      </c>
      <c r="H36" s="162" t="str">
        <f>IFERROR(__xludf.DUMMYFUNCTION("GOOGLETRANSLATE(B36,""zh-tw"",""zh"")"),"物攻：2
物防：3
低体力增属性")</f>
        <v>物攻：2
物防：3
低体力增属性</v>
      </c>
      <c r="I36" s="333" t="s">
        <v>5178</v>
      </c>
      <c r="J36" s="162" t="str">
        <f>IFERROR(__xludf.DUMMYFUNCTION("GOOGLETRANSLATE(B36,""zh-tw"",""es-MX"")"),"Ataque físico: 2 Defensa física: 3 Aumenta las estadísticas cuando la salud está baja")</f>
        <v>Ataque físico: 2 Defensa física: 3 Aumenta las estadísticas cuando la salud está baja</v>
      </c>
      <c r="K36" s="334" t="s">
        <v>5179</v>
      </c>
      <c r="L36" s="161" t="s">
        <v>5180</v>
      </c>
      <c r="M36" s="336" t="str">
        <f>IFERROR(__xludf.DUMMYFUNCTION("GOOGLETRANSLATE(A36,""zh-tw"",""ru"")"),"Наручи рыцаря")</f>
        <v>Наручи рыцаря</v>
      </c>
      <c r="N36" s="315"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4" t="s">
        <v>5181</v>
      </c>
      <c r="P36" s="317" t="s">
        <v>5182</v>
      </c>
      <c r="Q36" s="337" t="s">
        <v>5183</v>
      </c>
      <c r="R36" s="338" t="s">
        <v>5184</v>
      </c>
      <c r="S36" s="17"/>
      <c r="T36" s="17"/>
      <c r="U36" s="17"/>
      <c r="V36" s="17"/>
      <c r="W36" s="17"/>
      <c r="X36" s="17"/>
      <c r="Y36" s="17"/>
      <c r="Z36" s="17"/>
    </row>
    <row r="37">
      <c r="A37" s="334" t="s">
        <v>5185</v>
      </c>
      <c r="B37" s="317" t="s">
        <v>5186</v>
      </c>
      <c r="C37" s="346" t="s">
        <v>5187</v>
      </c>
      <c r="D37" s="347" t="str">
        <f>IFERROR(__xludf.DUMMYFUNCTION("GOOGLETRANSLATE(B37,""zh-tw"",""ja"")"),"物理防御力: 2
魔法耐性: 2
HPが低いとステータスが上昇")</f>
        <v>物理防御力: 2
魔法耐性: 2
HPが低いとステータスが上昇</v>
      </c>
      <c r="E37" s="333" t="s">
        <v>5188</v>
      </c>
      <c r="F37" s="161" t="s">
        <v>5189</v>
      </c>
      <c r="G37" s="335" t="str">
        <f>IFERROR(__xludf.DUMMYFUNCTION("GOOGLETRANSLATE(A37,""zh-tw"",""zh"")"),"骑士胫甲")</f>
        <v>骑士胫甲</v>
      </c>
      <c r="H37" s="162" t="str">
        <f>IFERROR(__xludf.DUMMYFUNCTION("GOOGLETRANSLATE(B37,""zh-tw"",""zh"")"),"物防：2
魔抗：2
低体力增属性")</f>
        <v>物防：2
魔抗：2
低体力增属性</v>
      </c>
      <c r="I37" s="335"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3" t="s">
        <v>5190</v>
      </c>
      <c r="L37" s="161" t="s">
        <v>5191</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4" t="s">
        <v>5192</v>
      </c>
      <c r="P37" s="317" t="s">
        <v>5193</v>
      </c>
      <c r="Q37" s="337" t="s">
        <v>5194</v>
      </c>
      <c r="R37" s="338" t="s">
        <v>5195</v>
      </c>
      <c r="S37" s="17"/>
      <c r="T37" s="17"/>
      <c r="U37" s="17"/>
      <c r="V37" s="17"/>
      <c r="W37" s="17"/>
      <c r="X37" s="17"/>
      <c r="Y37" s="17"/>
      <c r="Z37" s="17"/>
    </row>
    <row r="38">
      <c r="A38" s="334" t="s">
        <v>5196</v>
      </c>
      <c r="B38" s="317" t="s">
        <v>5197</v>
      </c>
      <c r="C38" s="348" t="str">
        <f>IFERROR(__xludf.DUMMYFUNCTION("GOOGLETRANSLATE(A38,""zh-tw"",""ja"")"),"騎士の鎧")</f>
        <v>騎士の鎧</v>
      </c>
      <c r="D38" s="347" t="str">
        <f>IFERROR(__xludf.DUMMYFUNCTION("GOOGLETRANSLATE(B38,""zh-tw"",""ja"")"),"物理防御力: 10
魔法耐性: 4
スタミナ低下時に能力値が上昇")</f>
        <v>物理防御力: 10
魔法耐性: 4
スタミナ低下時に能力値が上昇</v>
      </c>
      <c r="E38" s="333" t="s">
        <v>5198</v>
      </c>
      <c r="F38" s="161" t="s">
        <v>5199</v>
      </c>
      <c r="G38" s="335" t="str">
        <f>IFERROR(__xludf.DUMMYFUNCTION("GOOGLETRANSLATE(A38,""zh-tw"",""zh"")"),"骑士铠甲")</f>
        <v>骑士铠甲</v>
      </c>
      <c r="H38" s="162" t="str">
        <f>IFERROR(__xludf.DUMMYFUNCTION("GOOGLETRANSLATE(B38,""zh-tw"",""zh"")"),"物防：10
魔抗：4
低体力增属性")</f>
        <v>物防：10
魔抗：4
低体力增属性</v>
      </c>
      <c r="I38" s="335"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3" t="s">
        <v>5200</v>
      </c>
      <c r="L38" s="161" t="s">
        <v>5201</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4" t="s">
        <v>5202</v>
      </c>
      <c r="P38" s="317" t="s">
        <v>5203</v>
      </c>
      <c r="Q38" s="337" t="s">
        <v>5204</v>
      </c>
      <c r="R38" s="338" t="s">
        <v>5205</v>
      </c>
      <c r="S38" s="17"/>
      <c r="T38" s="17"/>
      <c r="U38" s="17"/>
      <c r="V38" s="17"/>
      <c r="W38" s="17"/>
      <c r="X38" s="17"/>
      <c r="Y38" s="17"/>
      <c r="Z38" s="17"/>
    </row>
    <row r="39">
      <c r="A39" s="339" t="s">
        <v>5206</v>
      </c>
      <c r="B39" s="162" t="s">
        <v>5207</v>
      </c>
      <c r="C39" s="346" t="s">
        <v>5208</v>
      </c>
      <c r="D39" s="347" t="str">
        <f>IFERROR(__xludf.DUMMYFUNCTION("GOOGLETRANSLATE(B39,""zh-tw"",""ja"")"),"魔法攻撃: 10 自動照準")</f>
        <v>魔法攻撃: 10 自動照準</v>
      </c>
      <c r="E39" s="333" t="s">
        <v>5209</v>
      </c>
      <c r="F39" s="161" t="s">
        <v>5210</v>
      </c>
      <c r="G39" s="335" t="str">
        <f>IFERROR(__xludf.DUMMYFUNCTION("GOOGLETRANSLATE(A39,""zh-tw"",""zh"")"),"堕落法师的手套")</f>
        <v>堕落法师的手套</v>
      </c>
      <c r="H39" s="162" t="str">
        <f>IFERROR(__xludf.DUMMYFUNCTION("GOOGLETRANSLATE(B39,""zh-tw"",""zh"")"),"魔攻：10
自动瞄准")</f>
        <v>魔攻：10
自动瞄准</v>
      </c>
      <c r="I39" s="335"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5" t="str">
        <f>IFERROR(__xludf.DUMMYFUNCTION("GOOGLETRANSLATE(A39,""zh-tw"",""KO"")"),"타락한 마법사의 장갑")</f>
        <v>타락한 마법사의 장갑</v>
      </c>
      <c r="L39" s="161" t="s">
        <v>5211</v>
      </c>
      <c r="M39" s="336" t="str">
        <f>IFERROR(__xludf.DUMMYFUNCTION("GOOGLETRANSLATE(A39,""zh-tw"",""ru"")"),"Перчатки падшего мага")</f>
        <v>Перчатки падшего мага</v>
      </c>
      <c r="N39" s="315" t="str">
        <f>IFERROR(__xludf.DUMMYFUNCTION("GOOGLETRANSLATE(B39,""zh-tw"",""ru"")"),"Магическая атака: 10 Автоприцеливание")</f>
        <v>Магическая атака: 10 Автоприцеливание</v>
      </c>
      <c r="O39" s="334" t="s">
        <v>5212</v>
      </c>
      <c r="P39" s="317" t="s">
        <v>5213</v>
      </c>
      <c r="Q39" s="337" t="s">
        <v>5214</v>
      </c>
      <c r="R39" s="325" t="s">
        <v>5215</v>
      </c>
      <c r="S39" s="17"/>
      <c r="T39" s="17"/>
      <c r="U39" s="17"/>
      <c r="V39" s="17"/>
      <c r="W39" s="17"/>
      <c r="X39" s="17"/>
      <c r="Y39" s="17"/>
      <c r="Z39" s="17"/>
    </row>
    <row r="40">
      <c r="A40" s="333" t="s">
        <v>5216</v>
      </c>
      <c r="B40" s="161" t="s">
        <v>5217</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5218</v>
      </c>
      <c r="F40" s="161" t="s">
        <v>5219</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5220</v>
      </c>
      <c r="L40" s="161" t="s">
        <v>5221</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5222</v>
      </c>
      <c r="P40" s="317" t="s">
        <v>5223</v>
      </c>
      <c r="Q40" s="337" t="s">
        <v>5224</v>
      </c>
      <c r="R40" s="338" t="s">
        <v>5225</v>
      </c>
      <c r="S40" s="17"/>
      <c r="T40" s="17"/>
      <c r="U40" s="17"/>
      <c r="V40" s="17"/>
      <c r="W40" s="17"/>
      <c r="X40" s="17"/>
      <c r="Y40" s="17"/>
      <c r="Z40" s="17"/>
    </row>
    <row r="41">
      <c r="A41" s="333" t="s">
        <v>5226</v>
      </c>
      <c r="B41" s="161" t="s">
        <v>5227</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5228</v>
      </c>
      <c r="F41" s="161" t="s">
        <v>5229</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5230</v>
      </c>
      <c r="L41" s="161" t="s">
        <v>5231</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5232</v>
      </c>
      <c r="P41" s="317" t="s">
        <v>5233</v>
      </c>
      <c r="Q41" s="337" t="s">
        <v>5234</v>
      </c>
      <c r="R41" s="338" t="s">
        <v>5235</v>
      </c>
      <c r="S41" s="17"/>
      <c r="T41" s="17"/>
      <c r="U41" s="17"/>
      <c r="V41" s="17"/>
      <c r="W41" s="17"/>
      <c r="X41" s="17"/>
      <c r="Y41" s="17"/>
      <c r="Z41" s="17"/>
    </row>
    <row r="42">
      <c r="A42" s="339" t="s">
        <v>5236</v>
      </c>
      <c r="B42" s="161" t="s">
        <v>5237</v>
      </c>
      <c r="C42" s="348" t="str">
        <f>IFERROR(__xludf.DUMMYFUNCTION("GOOGLETRANSLATE(A42,""zh-tw"",""ja"")"),"堕落した魔術師の軽い足音")</f>
        <v>堕落した魔術師の軽い足音</v>
      </c>
      <c r="D42" s="347" t="str">
        <f>IFERROR(__xludf.DUMMYFUNCTION("GOOGLETRANSLATE(B42,""zh-tw"",""ja"")"),"魔法攻撃力：10
魔法耐性：20
ボイド：敵弾を含むあらゆる障害物を無視")</f>
        <v>魔法攻撃力：10
魔法耐性：20
ボイド：敵弾を含むあらゆる障害物を無視</v>
      </c>
      <c r="E42" s="333" t="s">
        <v>5238</v>
      </c>
      <c r="F42" s="161" t="s">
        <v>5239</v>
      </c>
      <c r="G42" s="335"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3" t="s">
        <v>5240</v>
      </c>
      <c r="L42" s="161" t="s">
        <v>5241</v>
      </c>
      <c r="M42" s="336" t="str">
        <f>IFERROR(__xludf.DUMMYFUNCTION("GOOGLETRANSLATE(A42,""zh-tw"",""ru"")"),"Легкие шаги падшего мага")</f>
        <v>Легкие шаги падшего мага</v>
      </c>
      <c r="N42" s="315"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4" t="s">
        <v>5242</v>
      </c>
      <c r="P42" s="317" t="s">
        <v>5243</v>
      </c>
      <c r="Q42" s="337" t="s">
        <v>5244</v>
      </c>
      <c r="R42" s="338" t="s">
        <v>5245</v>
      </c>
      <c r="S42" s="17"/>
      <c r="T42" s="17"/>
      <c r="U42" s="17"/>
      <c r="V42" s="17"/>
      <c r="W42" s="17"/>
      <c r="X42" s="17"/>
      <c r="Y42" s="17"/>
      <c r="Z42" s="17"/>
    </row>
    <row r="43">
      <c r="A43" s="333" t="s">
        <v>5246</v>
      </c>
      <c r="B43" s="161" t="s">
        <v>5247</v>
      </c>
      <c r="C43" s="346" t="s">
        <v>5248</v>
      </c>
      <c r="D43" s="347" t="str">
        <f>IFERROR(__xludf.DUMMYFUNCTION("GOOGLETRANSLATE(B43,""zh-tw"",""ja"")"),"魔法攻撃: 1. スタン耐性、魔法貫通力および魔法範囲の拡大。")</f>
        <v>魔法攻撃: 1. スタン耐性、魔法貫通力および魔法範囲の拡大。</v>
      </c>
      <c r="E43" s="333" t="s">
        <v>5249</v>
      </c>
      <c r="F43" s="161" t="s">
        <v>5250</v>
      </c>
      <c r="G43" s="335"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5"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3" t="s">
        <v>5251</v>
      </c>
      <c r="L43" s="161" t="s">
        <v>5252</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4" t="s">
        <v>5253</v>
      </c>
      <c r="P43" s="317" t="s">
        <v>5254</v>
      </c>
      <c r="Q43" s="337" t="s">
        <v>5255</v>
      </c>
      <c r="R43" s="338" t="s">
        <v>5256</v>
      </c>
      <c r="S43" s="17"/>
      <c r="T43" s="17"/>
      <c r="U43" s="17"/>
      <c r="V43" s="17"/>
      <c r="W43" s="17"/>
      <c r="X43" s="17"/>
      <c r="Y43" s="17"/>
      <c r="Z43" s="17"/>
    </row>
    <row r="44">
      <c r="A44" s="333" t="s">
        <v>5257</v>
      </c>
      <c r="B44" s="161" t="s">
        <v>5258</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5259</v>
      </c>
      <c r="F44" s="161" t="s">
        <v>5260</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5261</v>
      </c>
      <c r="L44" s="161" t="s">
        <v>5262</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5263</v>
      </c>
      <c r="P44" s="317" t="s">
        <v>5264</v>
      </c>
      <c r="Q44" s="337" t="s">
        <v>5265</v>
      </c>
      <c r="R44" s="338" t="s">
        <v>5266</v>
      </c>
      <c r="S44" s="17"/>
      <c r="T44" s="17"/>
      <c r="U44" s="17"/>
      <c r="V44" s="17"/>
      <c r="W44" s="17"/>
      <c r="X44" s="17"/>
      <c r="Y44" s="17"/>
      <c r="Z44" s="17"/>
    </row>
    <row r="45">
      <c r="A45" s="333" t="s">
        <v>5267</v>
      </c>
      <c r="B45" s="161" t="s">
        <v>5268</v>
      </c>
      <c r="C45" s="346" t="s">
        <v>5269</v>
      </c>
      <c r="D45" s="185" t="s">
        <v>5270</v>
      </c>
      <c r="E45" s="333" t="s">
        <v>5271</v>
      </c>
      <c r="F45" s="161" t="s">
        <v>5272</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5273</v>
      </c>
      <c r="L45" s="161" t="s">
        <v>5274</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5275</v>
      </c>
      <c r="P45" s="317" t="s">
        <v>5276</v>
      </c>
      <c r="Q45" s="337" t="s">
        <v>5277</v>
      </c>
      <c r="R45" s="338" t="s">
        <v>5278</v>
      </c>
      <c r="S45" s="17"/>
      <c r="T45" s="17"/>
      <c r="U45" s="17"/>
      <c r="V45" s="17"/>
      <c r="W45" s="17"/>
      <c r="X45" s="17"/>
      <c r="Y45" s="17"/>
      <c r="Z45" s="17"/>
    </row>
    <row r="46">
      <c r="A46" s="334" t="s">
        <v>5279</v>
      </c>
      <c r="B46" s="317" t="s">
        <v>5280</v>
      </c>
      <c r="C46" s="346" t="s">
        <v>5281</v>
      </c>
      <c r="D46" s="347" t="str">
        <f>IFERROR(__xludf.DUMMYFUNCTION("GOOGLETRANSLATE(B46,""zh-tw"",""ja"")"),"魔法耐性: 10
幸運: 10
翌日は晴れ")</f>
        <v>魔法耐性: 10
幸運: 10
翌日は晴れ</v>
      </c>
      <c r="E46" s="333" t="s">
        <v>5282</v>
      </c>
      <c r="F46" s="161" t="s">
        <v>5283</v>
      </c>
      <c r="G46" s="335" t="str">
        <f>IFERROR(__xludf.DUMMYFUNCTION("GOOGLETRANSLATE(A46,""zh-tw"",""zh"")"),"晴天娃娃")</f>
        <v>晴天娃娃</v>
      </c>
      <c r="H46" s="162" t="str">
        <f>IFERROR(__xludf.DUMMYFUNCTION("GOOGLETRANSLATE(B46,""zh-tw"",""zh"")"),"魔抗：10
幸运：10
第二天晴天")</f>
        <v>魔抗：10
幸运：10
第二天晴天</v>
      </c>
      <c r="I46" s="333" t="s">
        <v>5282</v>
      </c>
      <c r="J46" s="162" t="str">
        <f>IFERROR(__xludf.DUMMYFUNCTION("GOOGLETRANSLATE(B46,""zh-tw"",""es-MX"")"),"Resistencia mágica: 10
Suerte: 10
Día soleado al día siguiente")</f>
        <v>Resistencia mágica: 10
Suerte: 10
Día soleado al día siguiente</v>
      </c>
      <c r="K46" s="333" t="s">
        <v>5284</v>
      </c>
      <c r="L46" s="161" t="s">
        <v>5285</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5286</v>
      </c>
      <c r="P46" s="317" t="s">
        <v>5287</v>
      </c>
      <c r="Q46" s="349" t="s">
        <v>5288</v>
      </c>
      <c r="R46" s="338" t="s">
        <v>5289</v>
      </c>
      <c r="S46" s="17"/>
      <c r="T46" s="17"/>
      <c r="U46" s="17"/>
      <c r="V46" s="17"/>
      <c r="W46" s="17"/>
      <c r="X46" s="17"/>
      <c r="Y46" s="17"/>
      <c r="Z46" s="17"/>
    </row>
    <row r="47">
      <c r="A47" s="334" t="s">
        <v>5290</v>
      </c>
      <c r="B47" s="317" t="s">
        <v>5291</v>
      </c>
      <c r="C47" s="346" t="s">
        <v>5292</v>
      </c>
      <c r="D47" s="347" t="str">
        <f>IFERROR(__xludf.DUMMYFUNCTION("GOOGLETRANSLATE(B47,""zh-tw"",""ja"")"),"魔法耐性：10
幸運：10
2日目は曇りでした。")</f>
        <v>魔法耐性：10
幸運：10
2日目は曇りでした。</v>
      </c>
      <c r="E47" s="333" t="s">
        <v>5293</v>
      </c>
      <c r="F47" s="161" t="s">
        <v>5294</v>
      </c>
      <c r="G47" s="335" t="str">
        <f>IFERROR(__xludf.DUMMYFUNCTION("GOOGLETRANSLATE(A47,""zh-tw"",""zh"")"),"阴天娃娃")</f>
        <v>阴天娃娃</v>
      </c>
      <c r="H47" s="162" t="str">
        <f>IFERROR(__xludf.DUMMYFUNCTION("GOOGLETRANSLATE(B47,""zh-tw"",""zh"")"),"魔抗：10
幸运：10
第二天阴天")</f>
        <v>魔抗：10
幸运：10
第二天阴天</v>
      </c>
      <c r="I47" s="333" t="s">
        <v>5293</v>
      </c>
      <c r="J47" s="162" t="str">
        <f>IFERROR(__xludf.DUMMYFUNCTION("GOOGLETRANSLATE(B47,""zh-tw"",""es-MX"")"),"Resistencia mágica: 10
Suerte: 10
El segundo día estuvo nublado.")</f>
        <v>Resistencia mágica: 10
Suerte: 10
El segundo día estuvo nublado.</v>
      </c>
      <c r="K47" s="334" t="s">
        <v>5295</v>
      </c>
      <c r="L47" s="161" t="s">
        <v>5296</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5297</v>
      </c>
      <c r="P47" s="317" t="s">
        <v>5298</v>
      </c>
      <c r="Q47" s="349" t="s">
        <v>5299</v>
      </c>
      <c r="R47" s="338" t="s">
        <v>5300</v>
      </c>
      <c r="S47" s="17"/>
      <c r="T47" s="17"/>
      <c r="U47" s="17"/>
      <c r="V47" s="17"/>
      <c r="W47" s="17"/>
      <c r="X47" s="17"/>
      <c r="Y47" s="17"/>
      <c r="Z47" s="17"/>
    </row>
    <row r="48">
      <c r="A48" s="334" t="s">
        <v>5301</v>
      </c>
      <c r="B48" s="317" t="s">
        <v>5302</v>
      </c>
      <c r="C48" s="346" t="s">
        <v>5303</v>
      </c>
      <c r="D48" s="347" t="str">
        <f>IFERROR(__xludf.DUMMYFUNCTION("GOOGLETRANSLATE(B48,""zh-tw"",""ja"")"),"魔法耐性：10
幸運：10
翌日は雨だった。")</f>
        <v>魔法耐性：10
幸運：10
翌日は雨だった。</v>
      </c>
      <c r="E48" s="333" t="s">
        <v>5304</v>
      </c>
      <c r="F48" s="161" t="s">
        <v>5305</v>
      </c>
      <c r="G48" s="335" t="str">
        <f>IFERROR(__xludf.DUMMYFUNCTION("GOOGLETRANSLATE(A48,""zh-tw"",""zh"")"),"雨天娃娃")</f>
        <v>雨天娃娃</v>
      </c>
      <c r="H48" s="162" t="str">
        <f>IFERROR(__xludf.DUMMYFUNCTION("GOOGLETRANSLATE(B48,""zh-tw"",""zh"")"),"魔抗：10
幸运：10
第二天雨天")</f>
        <v>魔抗：10
幸运：10
第二天雨天</v>
      </c>
      <c r="I48" s="333" t="s">
        <v>5304</v>
      </c>
      <c r="J48" s="162" t="str">
        <f>IFERROR(__xludf.DUMMYFUNCTION("GOOGLETRANSLATE(B48,""zh-tw"",""es-MX"")"),"Resistencia mágica: 10
Suerte: 10
Al día siguiente llovió.")</f>
        <v>Resistencia mágica: 10
Suerte: 10
Al día siguiente llovió.</v>
      </c>
      <c r="K48" s="333" t="s">
        <v>5306</v>
      </c>
      <c r="L48" s="161" t="s">
        <v>5307</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5308</v>
      </c>
      <c r="P48" s="317" t="s">
        <v>5309</v>
      </c>
      <c r="Q48" s="349" t="s">
        <v>5310</v>
      </c>
      <c r="R48" s="338" t="s">
        <v>5311</v>
      </c>
      <c r="S48" s="17"/>
      <c r="T48" s="17"/>
      <c r="U48" s="17"/>
      <c r="V48" s="17"/>
      <c r="W48" s="17"/>
      <c r="X48" s="17"/>
      <c r="Y48" s="17"/>
      <c r="Z48" s="17"/>
    </row>
    <row r="49">
      <c r="A49" s="333" t="s">
        <v>5312</v>
      </c>
      <c r="B49" s="161" t="s">
        <v>5313</v>
      </c>
      <c r="C49" s="346" t="s">
        <v>5312</v>
      </c>
      <c r="D49" s="347" t="str">
        <f>IFERROR(__xludf.DUMMYFUNCTION("GOOGLETRANSLATE(B49,""zh-tw"",""ja"")"),"物理防御力：1
魔法耐性：10
幸運：5
最大HPを増加")</f>
        <v>物理防御力：1
魔法耐性：10
幸運：5
最大HPを増加</v>
      </c>
      <c r="E49" s="333" t="s">
        <v>5314</v>
      </c>
      <c r="F49" s="161" t="s">
        <v>5315</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5316</v>
      </c>
      <c r="L49" s="161" t="s">
        <v>5317</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5318</v>
      </c>
      <c r="P49" s="317" t="s">
        <v>5319</v>
      </c>
      <c r="Q49" s="337" t="s">
        <v>5320</v>
      </c>
      <c r="R49" s="338" t="s">
        <v>5321</v>
      </c>
      <c r="S49" s="17"/>
      <c r="T49" s="17"/>
      <c r="U49" s="17"/>
      <c r="V49" s="17"/>
      <c r="W49" s="17"/>
      <c r="X49" s="17"/>
      <c r="Y49" s="17"/>
      <c r="Z49" s="17"/>
    </row>
    <row r="50">
      <c r="A50" s="333" t="s">
        <v>4264</v>
      </c>
      <c r="B50" s="161" t="s">
        <v>5322</v>
      </c>
      <c r="C50" s="346" t="s">
        <v>4266</v>
      </c>
      <c r="D50" s="347" t="str">
        <f>IFERROR(__xludf.DUMMYFUNCTION("GOOGLETRANSLATE(B50,""zh-tw"",""ja"")"),"魔法耐性: 30 回復不能、7秒間無敵")</f>
        <v>魔法耐性: 30 回復不能、7秒間無敵</v>
      </c>
      <c r="E50" s="333" t="s">
        <v>4268</v>
      </c>
      <c r="F50" s="161" t="s">
        <v>5323</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5324</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5325</v>
      </c>
      <c r="Q50" s="337" t="s">
        <v>4274</v>
      </c>
      <c r="R50" s="338" t="s">
        <v>5326</v>
      </c>
      <c r="S50" s="17"/>
      <c r="T50" s="17"/>
      <c r="U50" s="17"/>
      <c r="V50" s="17"/>
      <c r="W50" s="17"/>
      <c r="X50" s="17"/>
      <c r="Y50" s="17"/>
      <c r="Z50" s="17"/>
    </row>
    <row r="51">
      <c r="A51" s="333" t="s">
        <v>5327</v>
      </c>
      <c r="B51" s="161" t="s">
        <v>5328</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5329</v>
      </c>
      <c r="F51" s="161" t="s">
        <v>5330</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5331</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5332</v>
      </c>
      <c r="P51" s="317" t="s">
        <v>5333</v>
      </c>
      <c r="Q51" s="337" t="s">
        <v>5334</v>
      </c>
      <c r="R51" s="338" t="s">
        <v>5335</v>
      </c>
      <c r="S51" s="17"/>
      <c r="T51" s="17"/>
      <c r="U51" s="17"/>
      <c r="V51" s="17"/>
      <c r="W51" s="17"/>
      <c r="X51" s="17"/>
      <c r="Y51" s="17"/>
      <c r="Z51" s="17"/>
    </row>
    <row r="52">
      <c r="A52" s="333" t="s">
        <v>5336</v>
      </c>
      <c r="B52" s="161" t="s">
        <v>5337</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5338</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5339</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5340</v>
      </c>
      <c r="P52" s="317" t="s">
        <v>5341</v>
      </c>
      <c r="Q52" s="337" t="s">
        <v>5342</v>
      </c>
      <c r="R52" s="338" t="s">
        <v>5343</v>
      </c>
      <c r="S52" s="17"/>
      <c r="T52" s="17"/>
      <c r="U52" s="17"/>
      <c r="V52" s="17"/>
      <c r="W52" s="17"/>
      <c r="X52" s="17"/>
      <c r="Y52" s="17"/>
      <c r="Z52" s="17"/>
    </row>
    <row r="53">
      <c r="A53" s="333" t="s">
        <v>5344</v>
      </c>
      <c r="B53" s="161" t="s">
        <v>5345</v>
      </c>
      <c r="C53" s="346" t="s">
        <v>5346</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5347</v>
      </c>
      <c r="F53" s="161" t="s">
        <v>5348</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5349</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5350</v>
      </c>
      <c r="P53" s="317" t="s">
        <v>5351</v>
      </c>
      <c r="Q53" s="337" t="s">
        <v>5352</v>
      </c>
      <c r="R53" s="164" t="s">
        <v>5353</v>
      </c>
      <c r="S53" s="17"/>
      <c r="T53" s="17"/>
      <c r="U53" s="17"/>
      <c r="V53" s="17"/>
      <c r="W53" s="17"/>
      <c r="X53" s="17"/>
      <c r="Y53" s="17"/>
      <c r="Z53" s="17"/>
    </row>
    <row r="54">
      <c r="A54" s="333" t="s">
        <v>5354</v>
      </c>
      <c r="B54" s="161" t="s">
        <v>5355</v>
      </c>
      <c r="C54" s="346" t="s">
        <v>5356</v>
      </c>
      <c r="D54" s="161" t="s">
        <v>5357</v>
      </c>
      <c r="E54" s="333" t="s">
        <v>5358</v>
      </c>
      <c r="F54" s="161" t="s">
        <v>5359</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5360</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5361</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5362</v>
      </c>
      <c r="P54" s="317" t="s">
        <v>5363</v>
      </c>
      <c r="Q54" s="337" t="s">
        <v>5364</v>
      </c>
      <c r="R54" s="338" t="s">
        <v>5365</v>
      </c>
      <c r="S54" s="17"/>
      <c r="T54" s="17"/>
      <c r="U54" s="17"/>
      <c r="V54" s="17"/>
      <c r="W54" s="17"/>
      <c r="X54" s="17"/>
      <c r="Y54" s="17"/>
      <c r="Z54" s="17"/>
    </row>
    <row r="55">
      <c r="A55" s="333" t="s">
        <v>4302</v>
      </c>
      <c r="B55" s="161" t="s">
        <v>5366</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5367</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5368</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5369</v>
      </c>
      <c r="Q55" s="337" t="s">
        <v>5370</v>
      </c>
      <c r="R55" s="338" t="s">
        <v>5371</v>
      </c>
      <c r="S55" s="17"/>
      <c r="T55" s="17"/>
      <c r="U55" s="17"/>
      <c r="V55" s="17"/>
      <c r="W55" s="17"/>
      <c r="X55" s="17"/>
      <c r="Y55" s="17"/>
      <c r="Z55" s="17"/>
    </row>
    <row r="56">
      <c r="A56" s="333" t="s">
        <v>5372</v>
      </c>
      <c r="B56" s="317" t="s">
        <v>5373</v>
      </c>
      <c r="C56" s="346" t="s">
        <v>5374</v>
      </c>
      <c r="D56" s="185" t="s">
        <v>5375</v>
      </c>
      <c r="E56" s="333" t="s">
        <v>5376</v>
      </c>
      <c r="F56" s="161" t="s">
        <v>5377</v>
      </c>
      <c r="G56" s="335" t="str">
        <f>IFERROR(__xludf.DUMMYFUNCTION("GOOGLETRANSLATE(A56,""zh-tw"",""zh"")"),"炎天娃娃")</f>
        <v>炎天娃娃</v>
      </c>
      <c r="H56" s="162" t="str">
        <f>IFERROR(__xludf.DUMMYFUNCTION("GOOGLETRANSLATE(B56,""zh-tw"",""zh"")"),"魔抗：10
幸运：10
第二天炎热")</f>
        <v>魔抗：10
幸运：10
第二天炎热</v>
      </c>
      <c r="I56" s="333" t="s">
        <v>5376</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5378</v>
      </c>
      <c r="P56" s="317" t="s">
        <v>5379</v>
      </c>
      <c r="Q56" s="349" t="s">
        <v>5380</v>
      </c>
      <c r="R56" s="338" t="s">
        <v>5381</v>
      </c>
      <c r="S56" s="17"/>
      <c r="T56" s="17"/>
      <c r="U56" s="17"/>
      <c r="V56" s="17"/>
      <c r="W56" s="17"/>
      <c r="X56" s="17"/>
      <c r="Y56" s="17"/>
      <c r="Z56" s="17"/>
    </row>
    <row r="57">
      <c r="A57" s="333" t="s">
        <v>5382</v>
      </c>
      <c r="B57" s="161" t="s">
        <v>5383</v>
      </c>
      <c r="C57" s="346" t="s">
        <v>5384</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5385</v>
      </c>
      <c r="F57" s="161" t="s">
        <v>5386</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5387</v>
      </c>
      <c r="J57" s="351" t="s">
        <v>5388</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5389</v>
      </c>
      <c r="P57" s="317" t="s">
        <v>5390</v>
      </c>
      <c r="Q57" s="337" t="s">
        <v>5391</v>
      </c>
      <c r="R57" s="338" t="s">
        <v>5392</v>
      </c>
      <c r="S57" s="17"/>
      <c r="T57" s="17"/>
      <c r="U57" s="17"/>
      <c r="V57" s="17"/>
      <c r="W57" s="17"/>
      <c r="X57" s="17"/>
      <c r="Y57" s="17"/>
      <c r="Z57" s="17"/>
    </row>
    <row r="58">
      <c r="A58" s="335" t="s">
        <v>5393</v>
      </c>
      <c r="B58" s="162" t="s">
        <v>5394</v>
      </c>
      <c r="C58" s="333" t="s">
        <v>5395</v>
      </c>
      <c r="D58" s="162" t="s">
        <v>5396</v>
      </c>
      <c r="E58" s="335" t="s">
        <v>5397</v>
      </c>
      <c r="F58" s="162" t="s">
        <v>5398</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5397</v>
      </c>
      <c r="P58" s="161" t="s">
        <v>5399</v>
      </c>
      <c r="Q58" s="352" t="s">
        <v>5400</v>
      </c>
      <c r="R58" s="353" t="s">
        <v>5401</v>
      </c>
      <c r="S58" s="17"/>
      <c r="T58" s="17"/>
      <c r="U58" s="17"/>
      <c r="V58" s="17"/>
      <c r="W58" s="17"/>
      <c r="X58" s="17"/>
      <c r="Y58" s="17"/>
      <c r="Z58" s="17"/>
    </row>
    <row r="59">
      <c r="A59" s="335" t="s">
        <v>5402</v>
      </c>
      <c r="B59" s="162" t="s">
        <v>5403</v>
      </c>
      <c r="C59" s="333" t="s">
        <v>4323</v>
      </c>
      <c r="D59" s="162" t="s">
        <v>5404</v>
      </c>
      <c r="E59" s="335" t="s">
        <v>5405</v>
      </c>
      <c r="F59" s="162" t="s">
        <v>5406</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5407</v>
      </c>
      <c r="P59" s="161" t="s">
        <v>5408</v>
      </c>
      <c r="Q59" s="354" t="s">
        <v>5409</v>
      </c>
      <c r="R59" s="325" t="s">
        <v>5410</v>
      </c>
      <c r="S59" s="17"/>
      <c r="T59" s="17"/>
      <c r="U59" s="17"/>
      <c r="V59" s="17"/>
      <c r="W59" s="17"/>
      <c r="X59" s="17"/>
      <c r="Y59" s="17"/>
      <c r="Z59" s="17"/>
    </row>
    <row r="60">
      <c r="A60" s="335" t="s">
        <v>5411</v>
      </c>
      <c r="B60" s="162" t="s">
        <v>5412</v>
      </c>
      <c r="C60" s="354" t="s">
        <v>5413</v>
      </c>
      <c r="D60" s="186" t="s">
        <v>5414</v>
      </c>
      <c r="E60" s="333" t="s">
        <v>5415</v>
      </c>
      <c r="F60" s="161" t="s">
        <v>5416</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5417</v>
      </c>
      <c r="P60" s="161" t="s">
        <v>5418</v>
      </c>
      <c r="Q60" s="352" t="s">
        <v>5419</v>
      </c>
      <c r="R60" s="325" t="s">
        <v>5420</v>
      </c>
      <c r="S60" s="355"/>
      <c r="T60" s="355"/>
      <c r="U60" s="355"/>
      <c r="V60" s="355"/>
      <c r="W60" s="355"/>
      <c r="X60" s="355"/>
      <c r="Y60" s="355"/>
      <c r="Z60" s="355"/>
    </row>
    <row r="61">
      <c r="A61" s="333" t="s">
        <v>5421</v>
      </c>
      <c r="B61" s="161" t="s">
        <v>5422</v>
      </c>
      <c r="C61" s="346" t="s">
        <v>5423</v>
      </c>
      <c r="D61" s="185" t="s">
        <v>5424</v>
      </c>
      <c r="E61" s="333" t="s">
        <v>5425</v>
      </c>
      <c r="F61" s="161" t="s">
        <v>5426</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5427</v>
      </c>
      <c r="P61" s="161" t="s">
        <v>5428</v>
      </c>
      <c r="Q61" s="337" t="s">
        <v>5429</v>
      </c>
      <c r="R61" s="338" t="s">
        <v>5430</v>
      </c>
      <c r="S61" s="17"/>
      <c r="T61" s="17"/>
      <c r="U61" s="17"/>
      <c r="V61" s="17"/>
      <c r="W61" s="17"/>
      <c r="X61" s="17"/>
      <c r="Y61" s="17"/>
      <c r="Z61" s="17"/>
    </row>
    <row r="62">
      <c r="A62" s="339" t="s">
        <v>5431</v>
      </c>
      <c r="B62" s="322" t="s">
        <v>5432</v>
      </c>
      <c r="C62" s="339" t="s">
        <v>5433</v>
      </c>
      <c r="D62" s="322" t="s">
        <v>5434</v>
      </c>
      <c r="E62" s="339" t="s">
        <v>5435</v>
      </c>
      <c r="F62" s="322" t="s">
        <v>5436</v>
      </c>
      <c r="G62" s="335" t="str">
        <f>IFERROR(__xludf.DUMMYFUNCTION("GOOGLETRANSLATE(A62,""zh-tw"",""zh"")"),"火蝾螈之卷")</f>
        <v>火蝾螈之卷</v>
      </c>
      <c r="H62" s="162" t="str">
        <f>IFERROR(__xludf.DUMMYFUNCTION("GOOGLETRANSLATE(B62,""zh-tw"",""zh"")"),"魔攻：50
魔防：15
强化火焰元素")</f>
        <v>魔攻：50
魔防：15
强化火焰元素</v>
      </c>
      <c r="I62" s="335"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5"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5" t="s">
        <v>5437</v>
      </c>
      <c r="P62" s="162" t="s">
        <v>5438</v>
      </c>
      <c r="Q62" s="337" t="s">
        <v>5439</v>
      </c>
      <c r="R62" s="338" t="s">
        <v>5440</v>
      </c>
      <c r="S62" s="17"/>
      <c r="T62" s="17"/>
      <c r="U62" s="17"/>
      <c r="V62" s="17"/>
      <c r="W62" s="17"/>
      <c r="X62" s="17"/>
      <c r="Y62" s="17"/>
      <c r="Z62" s="17"/>
    </row>
    <row r="63">
      <c r="A63" s="339" t="s">
        <v>5441</v>
      </c>
      <c r="B63" s="322" t="s">
        <v>5442</v>
      </c>
      <c r="C63" s="346" t="s">
        <v>5443</v>
      </c>
      <c r="D63" s="185" t="s">
        <v>5444</v>
      </c>
      <c r="E63" s="339" t="s">
        <v>5445</v>
      </c>
      <c r="F63" s="322" t="s">
        <v>5446</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5447</v>
      </c>
      <c r="P63" s="162" t="s">
        <v>5448</v>
      </c>
      <c r="Q63" s="337" t="s">
        <v>5449</v>
      </c>
      <c r="R63" s="338" t="s">
        <v>5450</v>
      </c>
      <c r="S63" s="17"/>
      <c r="T63" s="17"/>
      <c r="U63" s="17"/>
      <c r="V63" s="17"/>
      <c r="W63" s="17"/>
      <c r="X63" s="17"/>
      <c r="Y63" s="17"/>
      <c r="Z63" s="17"/>
    </row>
    <row r="64">
      <c r="A64" s="333" t="s">
        <v>5451</v>
      </c>
      <c r="B64" s="161" t="s">
        <v>5452</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5453</v>
      </c>
      <c r="F64" s="161" t="s">
        <v>5454</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5455</v>
      </c>
      <c r="R64" s="338" t="s">
        <v>5456</v>
      </c>
      <c r="S64" s="17"/>
      <c r="T64" s="17"/>
      <c r="U64" s="17"/>
      <c r="V64" s="17"/>
      <c r="W64" s="17"/>
      <c r="X64" s="17"/>
      <c r="Y64" s="17"/>
      <c r="Z64" s="17"/>
    </row>
    <row r="65">
      <c r="A65" s="333" t="s">
        <v>5457</v>
      </c>
      <c r="B65" s="161" t="s">
        <v>5458</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5459</v>
      </c>
      <c r="F65" s="161" t="s">
        <v>5460</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5461</v>
      </c>
      <c r="R65" s="338" t="s">
        <v>5462</v>
      </c>
      <c r="S65" s="17"/>
      <c r="T65" s="17"/>
      <c r="U65" s="17"/>
      <c r="V65" s="17"/>
      <c r="W65" s="17"/>
      <c r="X65" s="17"/>
      <c r="Y65" s="17"/>
      <c r="Z65" s="17"/>
    </row>
    <row r="66">
      <c r="A66" s="333" t="s">
        <v>5463</v>
      </c>
      <c r="B66" s="161" t="s">
        <v>5464</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5465</v>
      </c>
      <c r="F66" s="161" t="s">
        <v>5466</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5467</v>
      </c>
      <c r="R66" s="338" t="s">
        <v>5468</v>
      </c>
      <c r="S66" s="17"/>
      <c r="T66" s="17"/>
      <c r="U66" s="17"/>
      <c r="V66" s="17"/>
      <c r="W66" s="17"/>
      <c r="X66" s="17"/>
      <c r="Y66" s="17"/>
      <c r="Z66" s="17"/>
    </row>
    <row r="67">
      <c r="A67" s="333" t="s">
        <v>5469</v>
      </c>
      <c r="B67" s="161" t="s">
        <v>5470</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5471</v>
      </c>
      <c r="F67" s="161" t="s">
        <v>5472</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5473</v>
      </c>
      <c r="R67" s="338" t="s">
        <v>5474</v>
      </c>
      <c r="S67" s="17"/>
      <c r="T67" s="17"/>
      <c r="U67" s="17"/>
      <c r="V67" s="17"/>
      <c r="W67" s="17"/>
      <c r="X67" s="17"/>
      <c r="Y67" s="17"/>
      <c r="Z67" s="17"/>
    </row>
    <row r="68">
      <c r="A68" s="333" t="s">
        <v>5475</v>
      </c>
      <c r="B68" s="161" t="s">
        <v>5476</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5477</v>
      </c>
      <c r="F68" s="161" t="s">
        <v>5478</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5479</v>
      </c>
      <c r="R68" s="338" t="s">
        <v>5480</v>
      </c>
      <c r="S68" s="17"/>
      <c r="T68" s="17"/>
      <c r="U68" s="17"/>
      <c r="V68" s="17"/>
      <c r="W68" s="17"/>
      <c r="X68" s="17"/>
      <c r="Y68" s="17"/>
      <c r="Z68" s="17"/>
    </row>
    <row r="69">
      <c r="A69" s="333" t="s">
        <v>5481</v>
      </c>
      <c r="B69" s="161" t="s">
        <v>5482</v>
      </c>
      <c r="C69" s="335" t="str">
        <f>IFERROR(__xludf.DUMMYFUNCTION("GOOGLETRANSLATE(A69,""zh-tw"",""ja"")"),"安全手袋")</f>
        <v>安全手袋</v>
      </c>
      <c r="D69" s="162" t="str">
        <f>IFERROR(__xludf.DUMMYFUNCTION("GOOGLETRANSLATE(B69,""zh-tw"",""ja"")"),"物理防御力: 2 魔法耐性: 45 雷防御")</f>
        <v>物理防御力: 2 魔法耐性: 45 雷防御</v>
      </c>
      <c r="E69" s="333" t="s">
        <v>5483</v>
      </c>
      <c r="F69" s="161" t="s">
        <v>5484</v>
      </c>
      <c r="G69" s="335" t="str">
        <f>IFERROR(__xludf.DUMMYFUNCTION("GOOGLETRANSLATE(A69,""zh-tw"",""zh"")"),"安全手套")</f>
        <v>安全手套</v>
      </c>
      <c r="H69" s="162" t="str">
        <f>IFERROR(__xludf.DUMMYFUNCTION("GOOGLETRANSLATE(B69,""zh-tw"",""zh"")"),"物防：2
魔抗：45
防御雷电")</f>
        <v>物防：2
魔抗：45
防御雷电</v>
      </c>
      <c r="I69" s="335"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5"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 Verteidigung: 2 Magieresistenz: 45 Blitzverteidigung")</f>
        <v>Physische Verteidigung: 2 Magieresistenz: 45 Blitzverteidigung</v>
      </c>
      <c r="Q69" s="337" t="s">
        <v>5485</v>
      </c>
      <c r="R69" s="338" t="s">
        <v>5486</v>
      </c>
      <c r="S69" s="17"/>
      <c r="T69" s="17"/>
      <c r="U69" s="17"/>
      <c r="V69" s="17"/>
      <c r="W69" s="17"/>
      <c r="X69" s="17"/>
      <c r="Y69" s="17"/>
      <c r="Z69" s="17"/>
    </row>
    <row r="70">
      <c r="A70" s="333" t="s">
        <v>5487</v>
      </c>
      <c r="B70" s="161" t="s">
        <v>5488</v>
      </c>
      <c r="C70" s="335" t="str">
        <f>IFERROR(__xludf.DUMMYFUNCTION("GOOGLETRANSLATE(A70,""zh-tw"",""ja"")"),"シャープブレードリング")</f>
        <v>シャープブレードリング</v>
      </c>
      <c r="D70" s="162" t="str">
        <f>IFERROR(__xludf.DUMMYFUNCTION("GOOGLETRANSLATE(B70,""zh-tw"",""ja"")"),"物理攻撃力+15%")</f>
        <v>物理攻撃力+15%</v>
      </c>
      <c r="E70" s="333" t="s">
        <v>5489</v>
      </c>
      <c r="F70" s="161" t="s">
        <v>5490</v>
      </c>
      <c r="G70" s="335" t="str">
        <f>IFERROR(__xludf.DUMMYFUNCTION("GOOGLETRANSLATE(A70,""zh-tw"",""zh"")"),"锐刃指环")</f>
        <v>锐刃指环</v>
      </c>
      <c r="H70" s="162" t="str">
        <f>IFERROR(__xludf.DUMMYFUNCTION("GOOGLETRANSLATE(B70,""zh-tw"",""zh"")"),"物攻+15%")</f>
        <v>物攻+15%</v>
      </c>
      <c r="I70" s="335" t="str">
        <f>IFERROR(__xludf.DUMMYFUNCTION("GOOGLETRANSLATE(A70,""zh-tw"",""es-MX"")"),"Anillo de hoja afilada")</f>
        <v>Anillo de hoja afilada</v>
      </c>
      <c r="J70" s="162" t="str">
        <f>IFERROR(__xludf.DUMMYFUNCTION("GOOGLETRANSLATE(B70,""zh-tw"",""es-MX"")"),"Ataque físico +15%")</f>
        <v>Ataque físico +15%</v>
      </c>
      <c r="K70" s="335" t="str">
        <f>IFERROR(__xludf.DUMMYFUNCTION("GOOGLETRANSLATE(A70,""zh-tw"",""KO"")"),"날카로운 칼날 반지")</f>
        <v>날카로운 칼날 반지</v>
      </c>
      <c r="L70" s="162" t="str">
        <f>IFERROR(__xludf.DUMMYFUNCTION("GOOGLETRANSLATE(B70,""zh-tw"",""KO"")"),"물리 공격력 +15%")</f>
        <v>물리 공격력 +15%</v>
      </c>
      <c r="M70" s="336" t="str">
        <f>IFERROR(__xludf.DUMMYFUNCTION("GOOGLETRANSLATE(A70,""zh-tw"",""ru"")"),"Кольцо с острым лезвием")</f>
        <v>Кольцо с острым лезвием</v>
      </c>
      <c r="N70" s="315" t="str">
        <f>IFERROR(__xludf.DUMMYFUNCTION("GOOGLETRANSLATE(B70,""zh-tw"",""ru"")"),"Физическая атака +15%")</f>
        <v>Физическая атака +15%</v>
      </c>
      <c r="O70" s="336" t="str">
        <f>IFERROR(__xludf.DUMMYFUNCTION("GOOGLETRANSLATE(A70,""zh-tw"",""de"")"),"Scharfer Klingenring")</f>
        <v>Scharfer Klingenring</v>
      </c>
      <c r="P70" s="315" t="str">
        <f>IFERROR(__xludf.DUMMYFUNCTION("GOOGLETRANSLATE(B70,""zh-tw"",""de"")"),"Physischer Angriff +15 %")</f>
        <v>Physischer Angriff +15 %</v>
      </c>
      <c r="Q70" s="337" t="s">
        <v>5491</v>
      </c>
      <c r="R70" s="338" t="s">
        <v>5492</v>
      </c>
      <c r="S70" s="17"/>
      <c r="T70" s="17"/>
      <c r="U70" s="17"/>
      <c r="V70" s="17"/>
      <c r="W70" s="17"/>
      <c r="X70" s="17"/>
      <c r="Y70" s="17"/>
      <c r="Z70" s="17"/>
    </row>
    <row r="71">
      <c r="A71" s="333" t="s">
        <v>5493</v>
      </c>
      <c r="B71" s="161" t="s">
        <v>5494</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5495</v>
      </c>
      <c r="F71" s="161" t="s">
        <v>5496</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5495</v>
      </c>
      <c r="R71" s="338" t="s">
        <v>5497</v>
      </c>
      <c r="S71" s="17"/>
      <c r="T71" s="17"/>
      <c r="U71" s="17"/>
      <c r="V71" s="17"/>
      <c r="W71" s="17"/>
      <c r="X71" s="17"/>
      <c r="Y71" s="17"/>
      <c r="Z71" s="17"/>
    </row>
    <row r="72">
      <c r="A72" s="333" t="s">
        <v>5498</v>
      </c>
      <c r="B72" s="161" t="s">
        <v>5499</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5500</v>
      </c>
      <c r="F72" s="161" t="s">
        <v>5501</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5502</v>
      </c>
      <c r="R72" s="338" t="s">
        <v>5503</v>
      </c>
      <c r="S72" s="17"/>
      <c r="T72" s="17"/>
      <c r="U72" s="17"/>
      <c r="V72" s="17"/>
      <c r="W72" s="17"/>
      <c r="X72" s="17"/>
      <c r="Y72" s="17"/>
      <c r="Z72" s="17"/>
    </row>
    <row r="73">
      <c r="A73" s="333" t="s">
        <v>5504</v>
      </c>
      <c r="B73" s="161" t="s">
        <v>5505</v>
      </c>
      <c r="C73" s="335"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3" t="s">
        <v>5506</v>
      </c>
      <c r="F73" s="161" t="s">
        <v>5507</v>
      </c>
      <c r="G73" s="335"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5"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5"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6" t="str">
        <f>IFERROR(__xludf.DUMMYFUNCTION("GOOGLETRANSLATE(A73,""zh-tw"",""ru"")"),"Значки Гокен-куна")</f>
        <v>Значки Гокен-куна</v>
      </c>
      <c r="N73" s="315"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6" t="str">
        <f>IFERROR(__xludf.DUMMYFUNCTION("GOOGLETRANSLATE(A73,""zh-tw"",""de"")"),"Abzeichen des Goken-kun")</f>
        <v>Abzeichen des Goken-kun</v>
      </c>
      <c r="P73" s="315" t="str">
        <f>IFERROR(__xludf.DUMMYFUNCTION("GOOGLETRANSLATE(B73,""zh-tw"",""de"")"),"Verringert Angriffskraft und Angriffslimitboni; verringert den Waffenhaltbarkeitsverbrauch.")</f>
        <v>Verringert Angriffskraft und Angriffslimitboni; verringert den Waffenhaltbarkeitsverbrauch.</v>
      </c>
      <c r="Q73" s="337" t="s">
        <v>5508</v>
      </c>
      <c r="R73" s="338" t="s">
        <v>5509</v>
      </c>
      <c r="S73" s="17"/>
      <c r="T73" s="17"/>
      <c r="U73" s="17"/>
      <c r="V73" s="17"/>
      <c r="W73" s="17"/>
      <c r="X73" s="17"/>
      <c r="Y73" s="17"/>
      <c r="Z73" s="17"/>
    </row>
    <row r="74">
      <c r="A74" s="333" t="s">
        <v>5510</v>
      </c>
      <c r="B74" s="161" t="s">
        <v>5511</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5512</v>
      </c>
      <c r="F74" s="161" t="s">
        <v>5513</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5514</v>
      </c>
      <c r="R74" s="338" t="s">
        <v>5515</v>
      </c>
      <c r="S74" s="17"/>
      <c r="T74" s="17"/>
      <c r="U74" s="17"/>
      <c r="V74" s="17"/>
      <c r="W74" s="17"/>
      <c r="X74" s="17"/>
      <c r="Y74" s="17"/>
      <c r="Z74" s="17"/>
    </row>
    <row r="75">
      <c r="A75" s="339" t="s">
        <v>4375</v>
      </c>
      <c r="B75" s="161" t="s">
        <v>5516</v>
      </c>
      <c r="C75" s="346" t="s">
        <v>5517</v>
      </c>
      <c r="D75" s="185" t="s">
        <v>5518</v>
      </c>
      <c r="E75" s="333" t="s">
        <v>4381</v>
      </c>
      <c r="F75" s="161" t="s">
        <v>5519</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5520</v>
      </c>
      <c r="Q75" s="337" t="s">
        <v>4387</v>
      </c>
      <c r="R75" s="338" t="s">
        <v>5521</v>
      </c>
      <c r="S75" s="17"/>
      <c r="T75" s="17"/>
      <c r="U75" s="17"/>
      <c r="V75" s="17"/>
      <c r="W75" s="17"/>
      <c r="X75" s="17"/>
      <c r="Y75" s="17"/>
      <c r="Z75" s="17"/>
    </row>
    <row r="76">
      <c r="A76" s="335" t="s">
        <v>4390</v>
      </c>
      <c r="B76" s="161" t="s">
        <v>5522</v>
      </c>
      <c r="C76" s="335" t="s">
        <v>4390</v>
      </c>
      <c r="D76" s="185" t="s">
        <v>5523</v>
      </c>
      <c r="E76" s="333" t="s">
        <v>4394</v>
      </c>
      <c r="F76" s="161" t="s">
        <v>5524</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5525</v>
      </c>
      <c r="Q76" s="352" t="s">
        <v>4398</v>
      </c>
      <c r="R76" s="338" t="s">
        <v>5526</v>
      </c>
      <c r="S76" s="17"/>
      <c r="T76" s="17"/>
      <c r="U76" s="17"/>
      <c r="V76" s="17"/>
      <c r="W76" s="17"/>
      <c r="X76" s="17"/>
      <c r="Y76" s="17"/>
      <c r="Z76" s="17"/>
    </row>
    <row r="77">
      <c r="A77" s="335" t="s">
        <v>5527</v>
      </c>
      <c r="B77" s="161" t="s">
        <v>5528</v>
      </c>
      <c r="C77" s="346" t="s">
        <v>5529</v>
      </c>
      <c r="D77" s="185" t="s">
        <v>5530</v>
      </c>
      <c r="E77" s="333" t="s">
        <v>5531</v>
      </c>
      <c r="F77" s="161" t="s">
        <v>5532</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y puede ser eliminado. Suerte: 40")</f>
        <v>Ataque arrojadizo. Desaparece al contacto con el agua y puede ser eliminado. Suerte: 40</v>
      </c>
      <c r="K77" s="335" t="str">
        <f>IFERROR(__xludf.DUMMYFUNCTION("GOOGLETRANSLATE(A77,""zh-tw"",""KO"")"),"◉▽◉(분홍색)")</f>
        <v>◉▽◉(분홍색)</v>
      </c>
      <c r="L77" s="162" t="str">
        <f>IFERROR(__xludf.DUMMYFUNCTION("GOOGLETRANSLATE(B77,""zh-tw"",""KO"")"),"던지기 공격. 물에 닿으면 사라지며, 죽을 수도 있습니다. 행운: 40")</f>
        <v>던지기 공격. 물에 닿으면 사라지며, 죽을 수도 있습니다. 행운: 40</v>
      </c>
      <c r="M77" s="336" t="str">
        <f>IFERROR(__xludf.DUMMYFUNCTION("GOOGLETRANSLATE(A77,""zh-tw"",""ru"")"),"◉▽◉(Розовый)")</f>
        <v>◉▽◉(Розовый)</v>
      </c>
      <c r="N77" s="315"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33" t="s">
        <v>5533</v>
      </c>
      <c r="P77" s="161" t="s">
        <v>5534</v>
      </c>
      <c r="Q77" s="352" t="s">
        <v>5535</v>
      </c>
      <c r="R77" s="338" t="s">
        <v>5536</v>
      </c>
      <c r="S77" s="17"/>
      <c r="T77" s="17"/>
      <c r="U77" s="17"/>
      <c r="V77" s="17"/>
      <c r="W77" s="17"/>
      <c r="X77" s="17"/>
      <c r="Y77" s="17"/>
      <c r="Z77" s="17"/>
    </row>
    <row r="78">
      <c r="A78" s="333" t="s">
        <v>5537</v>
      </c>
      <c r="B78" s="161" t="s">
        <v>5538</v>
      </c>
      <c r="C78" s="346" t="s">
        <v>5539</v>
      </c>
      <c r="D78" s="185" t="s">
        <v>5540</v>
      </c>
      <c r="E78" s="333" t="s">
        <v>5541</v>
      </c>
      <c r="F78" s="161" t="s">
        <v>5542</v>
      </c>
      <c r="G78" s="335"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5"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5"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6" t="str">
        <f>IFERROR(__xludf.DUMMYFUNCTION("GOOGLETRANSLATE(A78,""zh-tw"",""ru"")"),"Начальное ядро ​​I~VII")</f>
        <v>Начальное ядро ​​I~VII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3" t="s">
        <v>5543</v>
      </c>
      <c r="P78" s="161" t="s">
        <v>5544</v>
      </c>
      <c r="Q78" s="337" t="s">
        <v>5541</v>
      </c>
      <c r="R78" s="338" t="s">
        <v>5545</v>
      </c>
      <c r="S78" s="17"/>
      <c r="T78" s="17"/>
      <c r="U78" s="17"/>
      <c r="V78" s="17"/>
      <c r="W78" s="17"/>
      <c r="X78" s="17"/>
      <c r="Y78" s="17"/>
      <c r="Z78" s="17"/>
    </row>
    <row r="79">
      <c r="A79" s="333" t="s">
        <v>5546</v>
      </c>
      <c r="B79" s="161" t="s">
        <v>5547</v>
      </c>
      <c r="C79" s="346" t="s">
        <v>5548</v>
      </c>
      <c r="D79" s="185" t="s">
        <v>5549</v>
      </c>
      <c r="E79" s="333" t="s">
        <v>5550</v>
      </c>
      <c r="F79" s="161" t="s">
        <v>5551</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5552</v>
      </c>
      <c r="R79" s="323" t="s">
        <v>5553</v>
      </c>
      <c r="S79" s="17"/>
      <c r="T79" s="17"/>
      <c r="U79" s="17"/>
      <c r="V79" s="17"/>
      <c r="W79" s="17"/>
      <c r="X79" s="17"/>
      <c r="Y79" s="17"/>
      <c r="Z79" s="17"/>
    </row>
    <row r="80">
      <c r="A80" s="333" t="s">
        <v>5554</v>
      </c>
      <c r="B80" s="161" t="s">
        <v>5555</v>
      </c>
      <c r="C80" s="346" t="s">
        <v>5556</v>
      </c>
      <c r="D80" s="185" t="s">
        <v>5557</v>
      </c>
      <c r="E80" s="333" t="s">
        <v>5558</v>
      </c>
      <c r="F80" s="161" t="s">
        <v>5559</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5560</v>
      </c>
      <c r="R80" s="323" t="s">
        <v>5561</v>
      </c>
      <c r="S80" s="17"/>
      <c r="T80" s="17"/>
      <c r="U80" s="17"/>
      <c r="V80" s="17"/>
      <c r="W80" s="17"/>
      <c r="X80" s="17"/>
      <c r="Y80" s="17"/>
      <c r="Z80" s="17"/>
    </row>
    <row r="81">
      <c r="A81" s="333" t="s">
        <v>5562</v>
      </c>
      <c r="B81" s="161" t="s">
        <v>5563</v>
      </c>
      <c r="C81" s="346" t="s">
        <v>5564</v>
      </c>
      <c r="D81" s="185" t="s">
        <v>5565</v>
      </c>
      <c r="E81" s="333" t="s">
        <v>5566</v>
      </c>
      <c r="F81" s="161" t="s">
        <v>5567</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5568</v>
      </c>
      <c r="R81" s="323" t="s">
        <v>5569</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5570</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5571</v>
      </c>
      <c r="S1" s="300"/>
      <c r="T1" s="300"/>
      <c r="U1" s="300"/>
      <c r="V1" s="300"/>
    </row>
    <row r="2">
      <c r="A2" s="328" t="s">
        <v>5572</v>
      </c>
      <c r="B2" s="72" t="s">
        <v>5573</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5574</v>
      </c>
      <c r="P2" s="72" t="s">
        <v>5575</v>
      </c>
      <c r="Q2" s="359" t="s">
        <v>5576</v>
      </c>
      <c r="R2" s="360" t="s">
        <v>5577</v>
      </c>
      <c r="S2" s="361"/>
      <c r="T2" s="361"/>
      <c r="U2" s="361"/>
      <c r="V2" s="361"/>
    </row>
    <row r="3">
      <c r="A3" s="333" t="s">
        <v>5578</v>
      </c>
      <c r="B3" s="161" t="s">
        <v>5579</v>
      </c>
      <c r="C3" s="333" t="s">
        <v>5580</v>
      </c>
      <c r="D3" s="161" t="s">
        <v>5581</v>
      </c>
      <c r="E3" s="333" t="s">
        <v>5582</v>
      </c>
      <c r="F3" s="161" t="s">
        <v>5583</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5584</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5585</v>
      </c>
      <c r="P3" s="161" t="s">
        <v>5586</v>
      </c>
      <c r="Q3" s="340" t="s">
        <v>5587</v>
      </c>
      <c r="R3" s="164" t="s">
        <v>5588</v>
      </c>
      <c r="S3" s="17"/>
      <c r="T3" s="17"/>
      <c r="U3" s="17"/>
      <c r="V3" s="17"/>
    </row>
    <row r="4">
      <c r="A4" s="333" t="s">
        <v>5589</v>
      </c>
      <c r="B4" s="161" t="s">
        <v>5590</v>
      </c>
      <c r="C4" s="333" t="s">
        <v>5591</v>
      </c>
      <c r="D4" s="161" t="s">
        <v>5592</v>
      </c>
      <c r="E4" s="333" t="s">
        <v>5593</v>
      </c>
      <c r="F4" s="161" t="s">
        <v>5594</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5595</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5596</v>
      </c>
      <c r="P4" s="161" t="s">
        <v>5597</v>
      </c>
      <c r="Q4" s="340" t="s">
        <v>5598</v>
      </c>
      <c r="R4" s="164" t="s">
        <v>5599</v>
      </c>
      <c r="S4" s="17"/>
      <c r="T4" s="17"/>
      <c r="U4" s="17"/>
      <c r="V4" s="17"/>
    </row>
    <row r="5">
      <c r="A5" s="333" t="s">
        <v>5600</v>
      </c>
      <c r="B5" s="161" t="s">
        <v>5601</v>
      </c>
      <c r="C5" s="333" t="s">
        <v>5602</v>
      </c>
      <c r="D5" s="161" t="s">
        <v>5603</v>
      </c>
      <c r="E5" s="333" t="s">
        <v>5604</v>
      </c>
      <c r="F5" s="161" t="s">
        <v>5605</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5606</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5607</v>
      </c>
      <c r="P5" s="161" t="s">
        <v>5608</v>
      </c>
      <c r="Q5" s="340" t="s">
        <v>5609</v>
      </c>
      <c r="R5" s="164" t="s">
        <v>5610</v>
      </c>
      <c r="S5" s="17"/>
      <c r="T5" s="17"/>
      <c r="U5" s="17"/>
      <c r="V5" s="17"/>
    </row>
    <row r="6">
      <c r="A6" s="333" t="s">
        <v>5611</v>
      </c>
      <c r="B6" s="161" t="s">
        <v>5612</v>
      </c>
      <c r="C6" s="333" t="s">
        <v>5613</v>
      </c>
      <c r="D6" s="161" t="s">
        <v>5614</v>
      </c>
      <c r="E6" s="333" t="s">
        <v>5615</v>
      </c>
      <c r="F6" s="161" t="s">
        <v>5616</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5617</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5618</v>
      </c>
      <c r="P6" s="161" t="s">
        <v>5619</v>
      </c>
      <c r="Q6" s="340" t="s">
        <v>5620</v>
      </c>
      <c r="R6" s="164" t="s">
        <v>5621</v>
      </c>
      <c r="S6" s="17"/>
      <c r="T6" s="17"/>
      <c r="U6" s="17"/>
      <c r="V6" s="17"/>
    </row>
    <row r="7">
      <c r="A7" s="333" t="s">
        <v>5622</v>
      </c>
      <c r="B7" s="161" t="s">
        <v>5623</v>
      </c>
      <c r="C7" s="333" t="s">
        <v>5624</v>
      </c>
      <c r="D7" s="161" t="s">
        <v>5625</v>
      </c>
      <c r="E7" s="333" t="s">
        <v>5626</v>
      </c>
      <c r="F7" s="161" t="s">
        <v>5627</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5628</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5629</v>
      </c>
      <c r="P7" s="161" t="s">
        <v>5630</v>
      </c>
      <c r="Q7" s="340" t="s">
        <v>5631</v>
      </c>
      <c r="R7" s="164" t="s">
        <v>5632</v>
      </c>
      <c r="S7" s="17"/>
      <c r="T7" s="17"/>
      <c r="U7" s="17"/>
      <c r="V7" s="17"/>
    </row>
    <row r="8">
      <c r="A8" s="333" t="s">
        <v>5633</v>
      </c>
      <c r="B8" s="161" t="s">
        <v>5634</v>
      </c>
      <c r="C8" s="333" t="s">
        <v>5635</v>
      </c>
      <c r="D8" s="161" t="s">
        <v>5636</v>
      </c>
      <c r="E8" s="333" t="s">
        <v>5637</v>
      </c>
      <c r="F8" s="161" t="s">
        <v>5638</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5639</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5640</v>
      </c>
      <c r="P8" s="161" t="s">
        <v>5641</v>
      </c>
      <c r="Q8" s="340" t="s">
        <v>5642</v>
      </c>
      <c r="R8" s="164" t="s">
        <v>5643</v>
      </c>
      <c r="S8" s="17"/>
      <c r="T8" s="17"/>
      <c r="U8" s="17"/>
      <c r="V8" s="17"/>
    </row>
    <row r="9">
      <c r="A9" s="333" t="s">
        <v>5644</v>
      </c>
      <c r="B9" s="161" t="s">
        <v>5645</v>
      </c>
      <c r="C9" s="333" t="s">
        <v>5646</v>
      </c>
      <c r="D9" s="161" t="s">
        <v>5647</v>
      </c>
      <c r="E9" s="333" t="s">
        <v>5648</v>
      </c>
      <c r="F9" s="161" t="s">
        <v>5649</v>
      </c>
      <c r="G9" s="333" t="str">
        <f>IFERROR(__xludf.DUMMYFUNCTION("GOOGLETRANSLATE(A9,""zh-tw"",""zh"")"),"逆流可乐")</f>
        <v>逆流可乐</v>
      </c>
      <c r="H9" s="161" t="str">
        <f>IFERROR(__xludf.DUMMYFUNCTION("GOOGLETRANSLATE(B9,""zh-tw"",""zh"")"),"(战斗效果未实装)")</f>
        <v>(战斗效果未实装)</v>
      </c>
      <c r="I9" s="333" t="s">
        <v>5648</v>
      </c>
      <c r="J9" s="162" t="str">
        <f>IFERROR(__xludf.DUMMYFUNCTION("GOOGLETRANSLATE(B9,""zh-tw"",""es-MX"")"),"(Efectos de combate aún no implementados)")</f>
        <v>(Efectos de combate aún no implementados)</v>
      </c>
      <c r="K9" s="333" t="s">
        <v>5650</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5648</v>
      </c>
      <c r="P9" s="161" t="s">
        <v>5651</v>
      </c>
      <c r="Q9" s="340" t="s">
        <v>5648</v>
      </c>
      <c r="R9" s="164" t="s">
        <v>5652</v>
      </c>
      <c r="S9" s="17"/>
      <c r="T9" s="17"/>
      <c r="U9" s="17"/>
      <c r="V9" s="17"/>
    </row>
    <row r="10">
      <c r="A10" s="333" t="s">
        <v>5653</v>
      </c>
      <c r="B10" s="161" t="s">
        <v>5654</v>
      </c>
      <c r="C10" s="333" t="s">
        <v>5655</v>
      </c>
      <c r="D10" s="161" t="s">
        <v>5656</v>
      </c>
      <c r="E10" s="333" t="s">
        <v>5657</v>
      </c>
      <c r="F10" s="161" t="s">
        <v>5658</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5659</v>
      </c>
      <c r="L10" s="161" t="s">
        <v>5660</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5661</v>
      </c>
      <c r="P10" s="161" t="s">
        <v>5662</v>
      </c>
      <c r="Q10" s="340" t="s">
        <v>5663</v>
      </c>
      <c r="R10" s="164" t="s">
        <v>5664</v>
      </c>
      <c r="S10" s="17"/>
      <c r="T10" s="17"/>
      <c r="U10" s="17"/>
      <c r="V10" s="17"/>
    </row>
    <row r="11">
      <c r="A11" s="333" t="s">
        <v>5665</v>
      </c>
      <c r="B11" s="161" t="s">
        <v>5666</v>
      </c>
      <c r="C11" s="333" t="s">
        <v>5667</v>
      </c>
      <c r="D11" s="161" t="s">
        <v>5668</v>
      </c>
      <c r="E11" s="333" t="s">
        <v>5669</v>
      </c>
      <c r="F11" s="161" t="s">
        <v>5670</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5671</v>
      </c>
      <c r="L11" s="161" t="s">
        <v>5672</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5673</v>
      </c>
      <c r="P11" s="161" t="s">
        <v>5674</v>
      </c>
      <c r="Q11" s="340" t="s">
        <v>5675</v>
      </c>
      <c r="R11" s="164" t="s">
        <v>5676</v>
      </c>
      <c r="S11" s="17"/>
      <c r="T11" s="17"/>
      <c r="U11" s="17"/>
      <c r="V11" s="17"/>
    </row>
    <row r="12">
      <c r="A12" s="333" t="s">
        <v>5677</v>
      </c>
      <c r="B12" s="161" t="s">
        <v>5678</v>
      </c>
      <c r="C12" s="333" t="s">
        <v>5679</v>
      </c>
      <c r="D12" s="161" t="s">
        <v>593</v>
      </c>
      <c r="E12" s="333" t="s">
        <v>5680</v>
      </c>
      <c r="F12" s="161" t="s">
        <v>5681</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5682</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5683</v>
      </c>
      <c r="P12" s="161" t="s">
        <v>2480</v>
      </c>
      <c r="Q12" s="340" t="s">
        <v>5684</v>
      </c>
      <c r="R12" s="164" t="s">
        <v>5685</v>
      </c>
      <c r="S12" s="17"/>
      <c r="T12" s="17"/>
      <c r="U12" s="17"/>
      <c r="V12" s="17"/>
    </row>
    <row r="13">
      <c r="A13" s="333" t="s">
        <v>5686</v>
      </c>
      <c r="B13" s="161" t="s">
        <v>5687</v>
      </c>
      <c r="C13" s="333" t="s">
        <v>5688</v>
      </c>
      <c r="D13" s="161" t="s">
        <v>5689</v>
      </c>
      <c r="E13" s="333" t="s">
        <v>5690</v>
      </c>
      <c r="F13" s="161" t="s">
        <v>5691</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5692</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5693</v>
      </c>
      <c r="P13" s="161" t="s">
        <v>5694</v>
      </c>
      <c r="Q13" s="340" t="s">
        <v>5695</v>
      </c>
      <c r="R13" s="186" t="s">
        <v>5696</v>
      </c>
      <c r="S13" s="17"/>
      <c r="T13" s="17"/>
      <c r="U13" s="17"/>
      <c r="V13" s="17"/>
    </row>
    <row r="14">
      <c r="A14" s="333" t="s">
        <v>5697</v>
      </c>
      <c r="B14" s="161" t="s">
        <v>5698</v>
      </c>
      <c r="C14" s="333" t="s">
        <v>5699</v>
      </c>
      <c r="D14" s="161" t="s">
        <v>5700</v>
      </c>
      <c r="E14" s="333" t="s">
        <v>5701</v>
      </c>
      <c r="F14" s="161" t="s">
        <v>5702</v>
      </c>
      <c r="G14" s="333" t="str">
        <f>IFERROR(__xludf.DUMMYFUNCTION("GOOGLETRANSLATE(A14,""zh-tw"",""zh"")"),"卢恩符文A")</f>
        <v>卢恩符文A</v>
      </c>
      <c r="H14" s="161" t="s">
        <v>5703</v>
      </c>
      <c r="I14" s="335" t="str">
        <f>IFERROR(__xludf.DUMMYFUNCTION("GOOGLETRANSLATE(A14,""zh-tw"",""es-MX"")"),"Runa A")</f>
        <v>Runa A</v>
      </c>
      <c r="J14" s="162" t="str">
        <f>IFERROR(__xludf.DUMMYFUNCTION("GOOGLETRANSLATE(B14,""zh-tw"",""es-MX"")"),"Deje un registro escrito")</f>
        <v>Deje un registro escrito</v>
      </c>
      <c r="K14" s="333" t="s">
        <v>5704</v>
      </c>
      <c r="L14" s="161" t="s">
        <v>5705</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5706</v>
      </c>
      <c r="P14" s="161" t="s">
        <v>5707</v>
      </c>
      <c r="Q14" s="340" t="s">
        <v>5701</v>
      </c>
      <c r="R14" s="164" t="s">
        <v>5708</v>
      </c>
      <c r="S14" s="17"/>
      <c r="T14" s="17"/>
      <c r="U14" s="17"/>
      <c r="V14" s="17"/>
    </row>
    <row r="15">
      <c r="A15" s="333" t="s">
        <v>5709</v>
      </c>
      <c r="B15" s="161" t="s">
        <v>5710</v>
      </c>
      <c r="C15" s="333" t="s">
        <v>5711</v>
      </c>
      <c r="D15" s="161" t="s">
        <v>5712</v>
      </c>
      <c r="E15" s="333" t="s">
        <v>5713</v>
      </c>
      <c r="F15" s="161" t="s">
        <v>5714</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5715</v>
      </c>
      <c r="L15" s="161" t="s">
        <v>5716</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5717</v>
      </c>
      <c r="P15" s="161" t="s">
        <v>5718</v>
      </c>
      <c r="Q15" s="340" t="s">
        <v>5713</v>
      </c>
      <c r="R15" s="164" t="s">
        <v>5719</v>
      </c>
      <c r="S15" s="17"/>
      <c r="T15" s="17"/>
      <c r="U15" s="17"/>
      <c r="V15" s="17"/>
    </row>
    <row r="16">
      <c r="A16" s="333" t="s">
        <v>5720</v>
      </c>
      <c r="B16" s="161" t="s">
        <v>5721</v>
      </c>
      <c r="C16" s="333" t="s">
        <v>5722</v>
      </c>
      <c r="D16" s="161" t="s">
        <v>5723</v>
      </c>
      <c r="E16" s="333" t="s">
        <v>5724</v>
      </c>
      <c r="F16" s="161" t="s">
        <v>5725</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5726</v>
      </c>
      <c r="L16" s="161" t="s">
        <v>5727</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5728</v>
      </c>
      <c r="P16" s="161" t="s">
        <v>5729</v>
      </c>
      <c r="Q16" s="340" t="s">
        <v>5724</v>
      </c>
      <c r="R16" s="164" t="s">
        <v>5730</v>
      </c>
      <c r="S16" s="17"/>
      <c r="T16" s="17"/>
      <c r="U16" s="17"/>
      <c r="V16" s="17"/>
    </row>
    <row r="17">
      <c r="A17" s="333" t="s">
        <v>5731</v>
      </c>
      <c r="B17" s="161" t="s">
        <v>5732</v>
      </c>
      <c r="C17" s="333" t="s">
        <v>5733</v>
      </c>
      <c r="D17" s="161" t="s">
        <v>5734</v>
      </c>
      <c r="E17" s="333" t="s">
        <v>5735</v>
      </c>
      <c r="F17" s="161" t="s">
        <v>5736</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5737</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5738</v>
      </c>
      <c r="P17" s="161" t="s">
        <v>5739</v>
      </c>
      <c r="Q17" s="340" t="s">
        <v>5735</v>
      </c>
      <c r="R17" s="164" t="s">
        <v>5740</v>
      </c>
      <c r="S17" s="17"/>
      <c r="T17" s="17"/>
      <c r="U17" s="17"/>
      <c r="V17" s="17"/>
    </row>
    <row r="18">
      <c r="A18" s="333" t="s">
        <v>5741</v>
      </c>
      <c r="B18" s="161" t="s">
        <v>5742</v>
      </c>
      <c r="C18" s="333" t="s">
        <v>5743</v>
      </c>
      <c r="D18" s="161" t="s">
        <v>5744</v>
      </c>
      <c r="E18" s="333" t="s">
        <v>5745</v>
      </c>
      <c r="F18" s="161" t="s">
        <v>5746</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5747</v>
      </c>
      <c r="L18" s="317" t="s">
        <v>5748</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5749</v>
      </c>
      <c r="P18" s="161" t="s">
        <v>5750</v>
      </c>
      <c r="Q18" s="340" t="s">
        <v>5745</v>
      </c>
      <c r="R18" s="164" t="s">
        <v>5746</v>
      </c>
      <c r="S18" s="17"/>
      <c r="T18" s="17"/>
      <c r="U18" s="17"/>
      <c r="V18" s="17"/>
    </row>
    <row r="19">
      <c r="A19" s="333" t="s">
        <v>5751</v>
      </c>
      <c r="B19" s="161" t="s">
        <v>5752</v>
      </c>
      <c r="C19" s="333" t="s">
        <v>5753</v>
      </c>
      <c r="D19" s="161" t="s">
        <v>5754</v>
      </c>
      <c r="E19" s="333" t="s">
        <v>5755</v>
      </c>
      <c r="F19" s="161" t="s">
        <v>5756</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5757</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5758</v>
      </c>
      <c r="P19" s="161" t="s">
        <v>5759</v>
      </c>
      <c r="Q19" s="340" t="s">
        <v>5755</v>
      </c>
      <c r="R19" s="164" t="s">
        <v>5760</v>
      </c>
      <c r="S19" s="17"/>
      <c r="T19" s="17"/>
      <c r="U19" s="17"/>
      <c r="V19" s="17"/>
    </row>
    <row r="20">
      <c r="A20" s="333" t="s">
        <v>5761</v>
      </c>
      <c r="B20" s="161" t="s">
        <v>5762</v>
      </c>
      <c r="C20" s="333" t="s">
        <v>5763</v>
      </c>
      <c r="D20" s="161" t="s">
        <v>5764</v>
      </c>
      <c r="E20" s="333" t="s">
        <v>5765</v>
      </c>
      <c r="F20" s="161" t="s">
        <v>5766</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5767</v>
      </c>
      <c r="M20" s="335" t="str">
        <f>IFERROR(__xludf.DUMMYFUNCTION("GOOGLETRANSLATE(A20,""zh-tw"",""ru"")"),"император")</f>
        <v>император</v>
      </c>
      <c r="N20" s="162" t="str">
        <f>IFERROR(__xludf.DUMMYFUNCTION("GOOGLETRANSLATE(B20,""zh-tw"",""ru"")"),"Рев Дракона")</f>
        <v>Рев Дракона</v>
      </c>
      <c r="O20" s="333" t="s">
        <v>5768</v>
      </c>
      <c r="P20" s="161" t="s">
        <v>5769</v>
      </c>
      <c r="Q20" s="340" t="s">
        <v>5765</v>
      </c>
      <c r="R20" s="164" t="s">
        <v>5770</v>
      </c>
      <c r="S20" s="17"/>
      <c r="T20" s="17"/>
      <c r="U20" s="17"/>
      <c r="V20" s="17"/>
    </row>
    <row r="21">
      <c r="A21" s="333" t="s">
        <v>5771</v>
      </c>
      <c r="B21" s="161" t="s">
        <v>5772</v>
      </c>
      <c r="C21" s="333" t="str">
        <f>IFERROR(__xludf.DUMMYFUNCTION("GOOGLETRANSLATE(A21,""zh-tw"",""ja"")"),"星")</f>
        <v>星</v>
      </c>
      <c r="D21" s="161" t="s">
        <v>5773</v>
      </c>
      <c r="E21" s="333" t="s">
        <v>5774</v>
      </c>
      <c r="F21" s="161" t="s">
        <v>5775</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5776</v>
      </c>
      <c r="M21" s="335" t="str">
        <f>IFERROR(__xludf.DUMMYFUNCTION("GOOGLETRANSLATE(A21,""zh-tw"",""ru"")"),"звезда")</f>
        <v>звезда</v>
      </c>
      <c r="N21" s="162" t="str">
        <f>IFERROR(__xludf.DUMMYFUNCTION("GOOGLETRANSLATE(B21,""zh-tw"",""ru"")"),"Звездные Врата")</f>
        <v>Звездные Врата</v>
      </c>
      <c r="O21" s="333" t="s">
        <v>5777</v>
      </c>
      <c r="P21" s="161" t="s">
        <v>5778</v>
      </c>
      <c r="Q21" s="340" t="s">
        <v>5774</v>
      </c>
      <c r="R21" s="164" t="s">
        <v>5779</v>
      </c>
      <c r="S21" s="17"/>
      <c r="T21" s="17"/>
      <c r="U21" s="17"/>
      <c r="V21" s="17"/>
    </row>
    <row r="22">
      <c r="A22" s="333" t="s">
        <v>5780</v>
      </c>
      <c r="B22" s="161" t="s">
        <v>5781</v>
      </c>
      <c r="C22" s="333" t="s">
        <v>5782</v>
      </c>
      <c r="D22" s="161" t="s">
        <v>5783</v>
      </c>
      <c r="E22" s="333" t="s">
        <v>5784</v>
      </c>
      <c r="F22" s="161" t="s">
        <v>5785</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5786</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5787</v>
      </c>
      <c r="P22" s="161" t="s">
        <v>5788</v>
      </c>
      <c r="Q22" s="340" t="s">
        <v>5784</v>
      </c>
      <c r="R22" s="164" t="s">
        <v>5789</v>
      </c>
      <c r="S22" s="17"/>
      <c r="T22" s="17"/>
      <c r="U22" s="17"/>
      <c r="V22" s="17"/>
    </row>
    <row r="23">
      <c r="A23" s="333" t="s">
        <v>5790</v>
      </c>
      <c r="B23" s="161" t="s">
        <v>5791</v>
      </c>
      <c r="C23" s="333" t="s">
        <v>5792</v>
      </c>
      <c r="D23" s="161" t="s">
        <v>5793</v>
      </c>
      <c r="E23" s="333" t="s">
        <v>5794</v>
      </c>
      <c r="F23" s="161" t="s">
        <v>5795</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5796</v>
      </c>
      <c r="L23" s="161" t="s">
        <v>5797</v>
      </c>
      <c r="M23" s="335" t="str">
        <f>IFERROR(__xludf.DUMMYFUNCTION("GOOGLETRANSLATE(A23,""zh-tw"",""ru"")"),"Жрица")</f>
        <v>Жрица</v>
      </c>
      <c r="N23" s="162" t="str">
        <f>IFERROR(__xludf.DUMMYFUNCTION("GOOGLETRANSLATE(B23,""zh-tw"",""ru"")"),"Церковь призыва")</f>
        <v>Церковь призыва</v>
      </c>
      <c r="O23" s="333" t="s">
        <v>5798</v>
      </c>
      <c r="P23" s="161" t="s">
        <v>5799</v>
      </c>
      <c r="Q23" s="340" t="s">
        <v>5794</v>
      </c>
      <c r="R23" s="164" t="s">
        <v>5800</v>
      </c>
      <c r="S23" s="17"/>
      <c r="T23" s="17"/>
      <c r="U23" s="17"/>
      <c r="V23" s="17"/>
    </row>
    <row r="24">
      <c r="A24" s="333" t="s">
        <v>5801</v>
      </c>
      <c r="B24" s="161" t="s">
        <v>5802</v>
      </c>
      <c r="C24" s="333" t="s">
        <v>5803</v>
      </c>
      <c r="D24" s="161" t="s">
        <v>5804</v>
      </c>
      <c r="E24" s="333" t="s">
        <v>5805</v>
      </c>
      <c r="F24" s="161" t="s">
        <v>5806</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5807</v>
      </c>
      <c r="L24" s="161" t="s">
        <v>5808</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5809</v>
      </c>
      <c r="P24" s="161" t="s">
        <v>5810</v>
      </c>
      <c r="Q24" s="340" t="s">
        <v>5805</v>
      </c>
      <c r="R24" s="164" t="s">
        <v>5811</v>
      </c>
      <c r="S24" s="17"/>
      <c r="T24" s="17"/>
      <c r="U24" s="17"/>
      <c r="V24" s="17"/>
    </row>
    <row r="25">
      <c r="A25" s="333" t="s">
        <v>5812</v>
      </c>
      <c r="B25" s="161" t="s">
        <v>5813</v>
      </c>
      <c r="C25" s="333" t="s">
        <v>5814</v>
      </c>
      <c r="D25" s="161" t="s">
        <v>5815</v>
      </c>
      <c r="E25" s="333" t="s">
        <v>5816</v>
      </c>
      <c r="F25" s="161" t="s">
        <v>5817</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5818</v>
      </c>
      <c r="M25" s="335" t="str">
        <f>IFERROR(__xludf.DUMMYFUNCTION("GOOGLETRANSLATE(A25,""zh-tw"",""ru"")"),"мир")</f>
        <v>мир</v>
      </c>
      <c r="N25" s="162" t="str">
        <f>IFERROR(__xludf.DUMMYFUNCTION("GOOGLETRANSLATE(B25,""zh-tw"",""ru"")"),"Место реконструкции")</f>
        <v>Место реконструкции</v>
      </c>
      <c r="O25" s="333" t="s">
        <v>5819</v>
      </c>
      <c r="P25" s="161" t="s">
        <v>5820</v>
      </c>
      <c r="Q25" s="340" t="s">
        <v>5816</v>
      </c>
      <c r="R25" s="164" t="s">
        <v>5821</v>
      </c>
      <c r="S25" s="17"/>
      <c r="T25" s="17"/>
      <c r="U25" s="17"/>
      <c r="V25" s="17"/>
    </row>
    <row r="26">
      <c r="A26" s="333" t="s">
        <v>5822</v>
      </c>
      <c r="B26" s="161" t="s">
        <v>5823</v>
      </c>
      <c r="C26" s="346" t="s">
        <v>5824</v>
      </c>
      <c r="D26" s="347" t="str">
        <f>IFERROR(__xludf.DUMMYFUNCTION("GOOGLETRANSLATE(B26,""zh-tw"",""ja"")"),"一定時間内に1回復活することができます。")</f>
        <v>一定時間内に1回復活することができます。</v>
      </c>
      <c r="E26" s="333" t="s">
        <v>5825</v>
      </c>
      <c r="F26" s="161" t="s">
        <v>5826</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5827</v>
      </c>
      <c r="L26" s="161" t="s">
        <v>5828</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5829</v>
      </c>
      <c r="P26" s="161" t="s">
        <v>5830</v>
      </c>
      <c r="Q26" s="340" t="s">
        <v>5825</v>
      </c>
      <c r="R26" s="164" t="s">
        <v>5831</v>
      </c>
      <c r="S26" s="17"/>
      <c r="T26" s="17"/>
      <c r="U26" s="17"/>
      <c r="V26" s="17"/>
    </row>
    <row r="27">
      <c r="A27" s="339" t="s">
        <v>5832</v>
      </c>
      <c r="B27" s="161" t="s">
        <v>5833</v>
      </c>
      <c r="C27" s="339" t="s">
        <v>5834</v>
      </c>
      <c r="D27" s="161" t="s">
        <v>5835</v>
      </c>
      <c r="E27" s="339" t="s">
        <v>5836</v>
      </c>
      <c r="F27" s="322" t="s">
        <v>5837</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5838</v>
      </c>
      <c r="P27" s="161" t="s">
        <v>5839</v>
      </c>
      <c r="Q27" s="340" t="s">
        <v>5836</v>
      </c>
      <c r="R27" s="164" t="s">
        <v>5840</v>
      </c>
      <c r="S27" s="17"/>
      <c r="T27" s="17"/>
      <c r="U27" s="17"/>
      <c r="V27" s="17"/>
    </row>
    <row r="28">
      <c r="A28" s="333" t="s">
        <v>5841</v>
      </c>
      <c r="B28" s="161" t="s">
        <v>5842</v>
      </c>
      <c r="C28" s="333" t="str">
        <f>IFERROR(__xludf.DUMMYFUNCTION("GOOGLETRANSLATE(A28,""zh-tw"",""ja"")"),"ジャック・ボム")</f>
        <v>ジャック・ボム</v>
      </c>
      <c r="D28" s="161" t="s">
        <v>5843</v>
      </c>
      <c r="E28" s="333" t="s">
        <v>5844</v>
      </c>
      <c r="F28" s="161" t="s">
        <v>5845</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5846</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5847</v>
      </c>
      <c r="P28" s="161" t="s">
        <v>5848</v>
      </c>
      <c r="Q28" s="340" t="s">
        <v>5844</v>
      </c>
      <c r="R28" s="164" t="s">
        <v>5849</v>
      </c>
      <c r="S28" s="17"/>
      <c r="T28" s="17"/>
      <c r="U28" s="17"/>
      <c r="V28" s="17"/>
    </row>
    <row r="29">
      <c r="A29" s="333" t="s">
        <v>5850</v>
      </c>
      <c r="B29" s="161" t="s">
        <v>5851</v>
      </c>
      <c r="C29" s="333" t="s">
        <v>5852</v>
      </c>
      <c r="D29" s="161" t="s">
        <v>5853</v>
      </c>
      <c r="E29" s="333" t="s">
        <v>5854</v>
      </c>
      <c r="F29" s="161" t="s">
        <v>5855</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5856</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5857</v>
      </c>
      <c r="P29" s="161" t="s">
        <v>5858</v>
      </c>
      <c r="Q29" s="340" t="s">
        <v>5854</v>
      </c>
      <c r="R29" s="164" t="s">
        <v>5859</v>
      </c>
      <c r="S29" s="17"/>
      <c r="T29" s="17"/>
      <c r="U29" s="17"/>
      <c r="V29" s="17"/>
    </row>
    <row r="30">
      <c r="A30" s="333" t="s">
        <v>5860</v>
      </c>
      <c r="B30" s="161" t="s">
        <v>5861</v>
      </c>
      <c r="C30" s="333" t="s">
        <v>5862</v>
      </c>
      <c r="D30" s="161" t="s">
        <v>5863</v>
      </c>
      <c r="E30" s="333" t="s">
        <v>5864</v>
      </c>
      <c r="F30" s="161" t="s">
        <v>5865</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5866</v>
      </c>
      <c r="L30" s="161" t="s">
        <v>5867</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5868</v>
      </c>
      <c r="P30" s="161" t="s">
        <v>5869</v>
      </c>
      <c r="Q30" s="340" t="s">
        <v>5864</v>
      </c>
      <c r="R30" s="164" t="s">
        <v>5870</v>
      </c>
      <c r="S30" s="17"/>
      <c r="T30" s="17"/>
      <c r="U30" s="17"/>
      <c r="V30" s="17"/>
    </row>
    <row r="31">
      <c r="A31" s="333" t="s">
        <v>5871</v>
      </c>
      <c r="B31" s="161" t="s">
        <v>5872</v>
      </c>
      <c r="C31" s="333" t="str">
        <f>IFERROR(__xludf.DUMMYFUNCTION("GOOGLETRANSLATE(A31,""zh-tw"",""ja"")"),"密封された時計")</f>
        <v>密封された時計</v>
      </c>
      <c r="D31" s="161" t="s">
        <v>5873</v>
      </c>
      <c r="E31" s="333" t="s">
        <v>5874</v>
      </c>
      <c r="F31" s="161" t="s">
        <v>5875</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5876</v>
      </c>
      <c r="L31" s="161" t="s">
        <v>5877</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5878</v>
      </c>
      <c r="P31" s="161" t="s">
        <v>5879</v>
      </c>
      <c r="Q31" s="340" t="s">
        <v>5880</v>
      </c>
      <c r="R31" s="164" t="s">
        <v>5881</v>
      </c>
      <c r="S31" s="17"/>
      <c r="T31" s="17"/>
      <c r="U31" s="17"/>
      <c r="V31" s="17"/>
    </row>
    <row r="32">
      <c r="A32" s="333" t="s">
        <v>5882</v>
      </c>
      <c r="B32" s="161" t="s">
        <v>5883</v>
      </c>
      <c r="C32" s="333" t="str">
        <f>IFERROR(__xludf.DUMMYFUNCTION("GOOGLETRANSLATE(A32,""zh-tw"",""ja"")"),"寿司プリン")</f>
        <v>寿司プリン</v>
      </c>
      <c r="D32" s="161" t="s">
        <v>5884</v>
      </c>
      <c r="E32" s="333" t="s">
        <v>5885</v>
      </c>
      <c r="F32" s="161" t="s">
        <v>5886</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5885</v>
      </c>
      <c r="P32" s="161" t="s">
        <v>5887</v>
      </c>
      <c r="Q32" s="340" t="s">
        <v>5885</v>
      </c>
      <c r="R32" s="164" t="s">
        <v>5888</v>
      </c>
      <c r="S32" s="17"/>
      <c r="T32" s="17"/>
      <c r="U32" s="17"/>
      <c r="V32" s="17"/>
    </row>
    <row r="33">
      <c r="A33" s="333" t="s">
        <v>5889</v>
      </c>
      <c r="B33" s="161" t="s">
        <v>5890</v>
      </c>
      <c r="C33" s="333" t="str">
        <f>IFERROR(__xludf.DUMMYFUNCTION("GOOGLETRANSLATE(A33,""zh-tw"",""ja"")"),"ポラロイド 1～35")</f>
        <v>ポラロイド 1～35</v>
      </c>
      <c r="D33" s="161" t="s">
        <v>5891</v>
      </c>
      <c r="E33" s="333" t="s">
        <v>5892</v>
      </c>
      <c r="F33" s="161" t="s">
        <v>5893</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5894</v>
      </c>
      <c r="P33" s="161" t="s">
        <v>5895</v>
      </c>
      <c r="Q33" s="340" t="s">
        <v>5892</v>
      </c>
      <c r="R33" s="164" t="s">
        <v>5896</v>
      </c>
      <c r="S33" s="17"/>
      <c r="T33" s="17"/>
      <c r="U33" s="17"/>
      <c r="V33" s="17"/>
    </row>
    <row r="34">
      <c r="A34" s="333" t="s">
        <v>5897</v>
      </c>
      <c r="B34" s="161" t="s">
        <v>5898</v>
      </c>
      <c r="C34" s="333" t="s">
        <v>5899</v>
      </c>
      <c r="D34" s="161" t="s">
        <v>5900</v>
      </c>
      <c r="E34" s="333" t="s">
        <v>5901</v>
      </c>
      <c r="F34" s="161" t="s">
        <v>5902</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5903</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5904</v>
      </c>
      <c r="P34" s="161" t="s">
        <v>5905</v>
      </c>
      <c r="Q34" s="340" t="s">
        <v>5906</v>
      </c>
      <c r="R34" s="164" t="s">
        <v>5907</v>
      </c>
      <c r="S34" s="17"/>
      <c r="T34" s="17"/>
      <c r="U34" s="17"/>
      <c r="V34" s="17"/>
    </row>
    <row r="35">
      <c r="A35" s="333" t="s">
        <v>5908</v>
      </c>
      <c r="B35" s="161" t="s">
        <v>5909</v>
      </c>
      <c r="C35" s="333" t="s">
        <v>5910</v>
      </c>
      <c r="D35" s="161" t="s">
        <v>5911</v>
      </c>
      <c r="E35" s="333" t="s">
        <v>5912</v>
      </c>
      <c r="F35" s="161" t="s">
        <v>5913</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5914</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5915</v>
      </c>
      <c r="P35" s="161" t="s">
        <v>5916</v>
      </c>
      <c r="Q35" s="340" t="s">
        <v>5917</v>
      </c>
      <c r="R35" s="164" t="s">
        <v>5918</v>
      </c>
      <c r="S35" s="17"/>
      <c r="T35" s="17"/>
      <c r="U35" s="17"/>
      <c r="V35" s="17"/>
    </row>
    <row r="36">
      <c r="A36" s="333" t="s">
        <v>5919</v>
      </c>
      <c r="B36" s="161" t="s">
        <v>5909</v>
      </c>
      <c r="C36" s="333" t="s">
        <v>5920</v>
      </c>
      <c r="D36" s="161" t="s">
        <v>5921</v>
      </c>
      <c r="E36" s="333" t="s">
        <v>5922</v>
      </c>
      <c r="F36" s="161" t="s">
        <v>5913</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5903</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5904</v>
      </c>
      <c r="P36" s="161" t="s">
        <v>5905</v>
      </c>
      <c r="Q36" s="340" t="s">
        <v>5923</v>
      </c>
      <c r="R36" s="164" t="s">
        <v>5918</v>
      </c>
      <c r="S36" s="17"/>
      <c r="T36" s="17"/>
      <c r="U36" s="17"/>
      <c r="V36" s="17"/>
    </row>
    <row r="37">
      <c r="A37" s="333" t="s">
        <v>5924</v>
      </c>
      <c r="B37" s="161" t="s">
        <v>5925</v>
      </c>
      <c r="C37" s="333" t="s">
        <v>5926</v>
      </c>
      <c r="D37" s="161" t="s">
        <v>5927</v>
      </c>
      <c r="E37" s="333" t="s">
        <v>5928</v>
      </c>
      <c r="F37" s="161" t="s">
        <v>5929</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5914</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5915</v>
      </c>
      <c r="P37" s="161" t="s">
        <v>5916</v>
      </c>
      <c r="Q37" s="340" t="s">
        <v>5930</v>
      </c>
      <c r="R37" s="164" t="s">
        <v>5931</v>
      </c>
      <c r="S37" s="17"/>
      <c r="T37" s="17"/>
      <c r="U37" s="17"/>
      <c r="V37" s="17"/>
    </row>
    <row r="38">
      <c r="A38" s="339" t="s">
        <v>5932</v>
      </c>
      <c r="B38" s="162" t="s">
        <v>5933</v>
      </c>
      <c r="C38" s="335" t="s">
        <v>5934</v>
      </c>
      <c r="D38" s="162" t="s">
        <v>5935</v>
      </c>
      <c r="E38" s="335" t="s">
        <v>5936</v>
      </c>
      <c r="F38" s="162" t="s">
        <v>5937</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5938</v>
      </c>
      <c r="P38" s="161" t="s">
        <v>5939</v>
      </c>
      <c r="Q38" s="340" t="s">
        <v>5940</v>
      </c>
      <c r="R38" s="186" t="s">
        <v>5941</v>
      </c>
      <c r="S38" s="17"/>
      <c r="T38" s="17"/>
      <c r="U38" s="17"/>
      <c r="V38" s="17"/>
    </row>
    <row r="39">
      <c r="A39" s="333" t="s">
        <v>5942</v>
      </c>
      <c r="B39" s="161" t="s">
        <v>5943</v>
      </c>
      <c r="C39" s="333" t="s">
        <v>5944</v>
      </c>
      <c r="D39" s="161" t="s">
        <v>5945</v>
      </c>
      <c r="E39" s="333" t="s">
        <v>5946</v>
      </c>
      <c r="F39" s="161" t="s">
        <v>5947</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5948</v>
      </c>
      <c r="P39" s="161" t="s">
        <v>5949</v>
      </c>
      <c r="Q39" s="340" t="s">
        <v>5950</v>
      </c>
      <c r="R39" s="164" t="s">
        <v>5951</v>
      </c>
      <c r="S39" s="17"/>
      <c r="T39" s="17"/>
      <c r="U39" s="17"/>
      <c r="V39" s="17"/>
    </row>
    <row r="40">
      <c r="A40" s="339" t="s">
        <v>5952</v>
      </c>
      <c r="B40" s="162" t="s">
        <v>5953</v>
      </c>
      <c r="C40" s="335" t="s">
        <v>5954</v>
      </c>
      <c r="D40" s="162" t="s">
        <v>5955</v>
      </c>
      <c r="E40" s="335" t="s">
        <v>5956</v>
      </c>
      <c r="F40" s="162" t="s">
        <v>5957</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5956</v>
      </c>
      <c r="P40" s="162" t="s">
        <v>5957</v>
      </c>
      <c r="Q40" s="340" t="s">
        <v>5956</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5573</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4421</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4032</v>
      </c>
      <c r="D10" s="163" t="s">
        <v>4032</v>
      </c>
      <c r="E10" s="163" t="s">
        <v>4032</v>
      </c>
      <c r="F10" s="380" t="s">
        <v>6117</v>
      </c>
      <c r="G10" s="381"/>
      <c r="H10" s="163" t="s">
        <v>6118</v>
      </c>
      <c r="I10" s="163" t="s">
        <v>6118</v>
      </c>
      <c r="J10" s="163" t="s">
        <v>6118</v>
      </c>
      <c r="K10" s="103" t="s">
        <v>6119</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4045</v>
      </c>
      <c r="AR10" s="182" t="s">
        <v>4045</v>
      </c>
      <c r="AS10" s="182" t="s">
        <v>4045</v>
      </c>
    </row>
    <row r="11">
      <c r="A11" s="385" t="s">
        <v>6124</v>
      </c>
      <c r="B11" s="381"/>
      <c r="C11" s="163" t="s">
        <v>6125</v>
      </c>
      <c r="D11" s="163" t="s">
        <v>4229</v>
      </c>
      <c r="E11" s="176"/>
      <c r="F11" s="380" t="s">
        <v>6126</v>
      </c>
      <c r="G11" s="381"/>
      <c r="H11" s="163" t="s">
        <v>6127</v>
      </c>
      <c r="I11" s="163" t="s">
        <v>6128</v>
      </c>
      <c r="J11" s="176"/>
      <c r="K11" s="103" t="s">
        <v>6129</v>
      </c>
      <c r="L11" s="381"/>
      <c r="M11" s="161" t="s">
        <v>6130</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4234</v>
      </c>
      <c r="AN11" s="162"/>
      <c r="AO11" s="154" t="s">
        <v>6129</v>
      </c>
      <c r="AP11" s="190"/>
      <c r="AQ11" s="182" t="s">
        <v>6135</v>
      </c>
      <c r="AR11" s="182" t="s">
        <v>4236</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4263</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3874</v>
      </c>
      <c r="E20" s="176"/>
      <c r="F20" s="380" t="s">
        <v>6192</v>
      </c>
      <c r="G20" s="381"/>
      <c r="H20" s="163" t="s">
        <v>6052</v>
      </c>
      <c r="I20" s="163" t="s">
        <v>6193</v>
      </c>
      <c r="J20" s="176"/>
      <c r="K20" s="103" t="s">
        <v>6194</v>
      </c>
      <c r="L20" s="381"/>
      <c r="M20" s="161" t="s">
        <v>6054</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3880</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4229</v>
      </c>
      <c r="E24" s="163" t="s">
        <v>6228</v>
      </c>
      <c r="F24" s="380" t="s">
        <v>6229</v>
      </c>
      <c r="G24" s="381"/>
      <c r="H24" s="163" t="s">
        <v>6150</v>
      </c>
      <c r="I24" s="163" t="s">
        <v>6230</v>
      </c>
      <c r="J24" s="163" t="s">
        <v>6231</v>
      </c>
      <c r="K24" s="103" t="s">
        <v>6232</v>
      </c>
      <c r="L24" s="381"/>
      <c r="M24" s="161" t="s">
        <v>4257</v>
      </c>
      <c r="N24" s="161" t="s">
        <v>4231</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4234</v>
      </c>
      <c r="AN24" s="161" t="s">
        <v>4234</v>
      </c>
      <c r="AO24" s="180" t="s">
        <v>6235</v>
      </c>
      <c r="AP24" s="190"/>
      <c r="AQ24" s="182" t="s">
        <v>4263</v>
      </c>
      <c r="AR24" s="182" t="s">
        <v>4236</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4229</v>
      </c>
      <c r="D27" s="176"/>
      <c r="E27" s="176"/>
      <c r="F27" s="380" t="s">
        <v>6259</v>
      </c>
      <c r="G27" s="381"/>
      <c r="H27" s="163" t="s">
        <v>6230</v>
      </c>
      <c r="I27" s="176"/>
      <c r="J27" s="176"/>
      <c r="K27" s="103" t="s">
        <v>6260</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4234</v>
      </c>
      <c r="AM27" s="162"/>
      <c r="AN27" s="162"/>
      <c r="AO27" s="180" t="s">
        <v>6263</v>
      </c>
      <c r="AP27" s="190"/>
      <c r="AQ27" s="182" t="s">
        <v>4236</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4045</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4019</v>
      </c>
      <c r="F32" s="380" t="s">
        <v>6303</v>
      </c>
      <c r="G32" s="381"/>
      <c r="H32" s="163" t="s">
        <v>6064</v>
      </c>
      <c r="I32" s="163" t="s">
        <v>6065</v>
      </c>
      <c r="J32" s="163" t="s">
        <v>6304</v>
      </c>
      <c r="K32" s="99" t="s">
        <v>6305</v>
      </c>
      <c r="L32" s="381"/>
      <c r="M32" s="161" t="s">
        <v>6067</v>
      </c>
      <c r="N32" s="161" t="s">
        <v>6068</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4029</v>
      </c>
    </row>
    <row r="33">
      <c r="A33" s="380" t="s">
        <v>6309</v>
      </c>
      <c r="B33" s="381"/>
      <c r="C33" s="163" t="s">
        <v>6061</v>
      </c>
      <c r="D33" s="163" t="s">
        <v>4019</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4029</v>
      </c>
      <c r="AS33" s="183"/>
    </row>
    <row r="34">
      <c r="A34" s="380" t="s">
        <v>6315</v>
      </c>
      <c r="B34" s="381"/>
      <c r="C34" s="163" t="s">
        <v>6061</v>
      </c>
      <c r="D34" s="163" t="s">
        <v>4019</v>
      </c>
      <c r="E34" s="163" t="s">
        <v>4238</v>
      </c>
      <c r="F34" s="380" t="s">
        <v>6316</v>
      </c>
      <c r="G34" s="381"/>
      <c r="H34" s="163" t="s">
        <v>6064</v>
      </c>
      <c r="I34" s="163" t="s">
        <v>6304</v>
      </c>
      <c r="J34" s="163" t="s">
        <v>6317</v>
      </c>
      <c r="K34" s="103" t="s">
        <v>6318</v>
      </c>
      <c r="L34" s="381"/>
      <c r="M34" s="161" t="s">
        <v>6067</v>
      </c>
      <c r="N34" s="161" t="s">
        <v>6312</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4029</v>
      </c>
      <c r="AS34" s="182" t="s">
        <v>4244</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4229</v>
      </c>
      <c r="D46" s="163" t="s">
        <v>4246</v>
      </c>
      <c r="E46" s="176"/>
      <c r="F46" s="380" t="s">
        <v>6415</v>
      </c>
      <c r="G46" s="366" t="s">
        <v>787</v>
      </c>
      <c r="H46" s="163" t="s">
        <v>6230</v>
      </c>
      <c r="I46" s="163" t="s">
        <v>6416</v>
      </c>
      <c r="J46" s="176"/>
      <c r="K46" s="103" t="s">
        <v>6417</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4234</v>
      </c>
      <c r="AM46" s="161" t="s">
        <v>6421</v>
      </c>
      <c r="AN46" s="162"/>
      <c r="AO46" s="180" t="s">
        <v>6422</v>
      </c>
      <c r="AP46" s="386" t="s">
        <v>787</v>
      </c>
      <c r="AQ46" s="182" t="s">
        <v>4236</v>
      </c>
      <c r="AR46" s="182" t="s">
        <v>4252</v>
      </c>
      <c r="AS46" s="183"/>
    </row>
    <row r="47">
      <c r="A47" s="380" t="s">
        <v>6423</v>
      </c>
      <c r="B47" s="366" t="s">
        <v>787</v>
      </c>
      <c r="C47" s="163" t="s">
        <v>4246</v>
      </c>
      <c r="D47" s="176"/>
      <c r="E47" s="176"/>
      <c r="F47" s="380" t="s">
        <v>6424</v>
      </c>
      <c r="G47" s="366" t="s">
        <v>787</v>
      </c>
      <c r="H47" s="163" t="s">
        <v>6416</v>
      </c>
      <c r="I47" s="176"/>
      <c r="J47" s="176"/>
      <c r="K47" s="103" t="s">
        <v>6425</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4252</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4219</v>
      </c>
      <c r="D52" s="163" t="s">
        <v>6078</v>
      </c>
      <c r="E52" s="176"/>
      <c r="F52" s="380" t="s">
        <v>6462</v>
      </c>
      <c r="G52" s="389"/>
      <c r="H52" s="163" t="s">
        <v>6463</v>
      </c>
      <c r="I52" s="163" t="s">
        <v>6081</v>
      </c>
      <c r="J52" s="176"/>
      <c r="K52" s="103" t="s">
        <v>6464</v>
      </c>
      <c r="L52" s="381"/>
      <c r="M52" s="161" t="s">
        <v>4221</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4227</v>
      </c>
      <c r="AR52" s="182" t="s">
        <v>6090</v>
      </c>
      <c r="AS52" s="183"/>
    </row>
    <row r="53">
      <c r="A53" s="380" t="s">
        <v>6468</v>
      </c>
      <c r="B53" s="389"/>
      <c r="C53" s="163" t="s">
        <v>4238</v>
      </c>
      <c r="D53" s="176"/>
      <c r="E53" s="176"/>
      <c r="F53" s="380" t="s">
        <v>6469</v>
      </c>
      <c r="G53" s="389"/>
      <c r="H53" s="163" t="s">
        <v>6317</v>
      </c>
      <c r="I53" s="176"/>
      <c r="J53" s="176"/>
      <c r="K53" s="103" t="s">
        <v>6470</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4236</v>
      </c>
      <c r="AR53" s="183"/>
      <c r="AS53" s="183"/>
    </row>
    <row r="54">
      <c r="A54" s="380" t="s">
        <v>4219</v>
      </c>
      <c r="B54" s="389"/>
      <c r="C54" s="163" t="s">
        <v>4219</v>
      </c>
      <c r="D54" s="176"/>
      <c r="E54" s="176"/>
      <c r="F54" s="380" t="s">
        <v>6473</v>
      </c>
      <c r="G54" s="389"/>
      <c r="H54" s="163" t="s">
        <v>6463</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3862</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3905</v>
      </c>
      <c r="E18" s="174" t="s">
        <v>6655</v>
      </c>
      <c r="F18" s="315" t="str">
        <f>IFERROR(__xludf.DUMMYFUNCTION("GOOGLETRANSLATE(B18,""zh-tw"",""ja"")"),"アイスキャンディーにしてみよう！")</f>
        <v>アイスキャンディーにしてみよう！</v>
      </c>
      <c r="G18" s="319" t="s">
        <v>6656</v>
      </c>
      <c r="H18" s="396" t="s">
        <v>6657</v>
      </c>
      <c r="I18" s="174" t="s">
        <v>6658</v>
      </c>
      <c r="J18" s="317" t="s">
        <v>6659</v>
      </c>
      <c r="K18" s="319" t="s">
        <v>6660</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3915</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IFERROR(__xludf.DUMMYFUNCTION("GOOGLETRANSLATE(C20,""zh-tw"",""ja"")"),"攻撃行為禁止")</f>
        <v>攻撃行為禁止</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4502</v>
      </c>
      <c r="E24" s="174" t="s">
        <v>6723</v>
      </c>
      <c r="F24" s="317" t="s">
        <v>6724</v>
      </c>
      <c r="G24" s="316" t="str">
        <f>IFERROR(__xludf.DUMMYFUNCTION("GOOGLETRANSLATE(C24,""zh-tw"",""ja"")"),"彼の体は常に悪臭を放っていた")</f>
        <v>彼の体は常に悪臭を放っていた</v>
      </c>
      <c r="H24" s="396" t="s">
        <v>4504</v>
      </c>
      <c r="I24" s="174" t="s">
        <v>6725</v>
      </c>
      <c r="J24" s="317" t="s">
        <v>6726</v>
      </c>
      <c r="K24" s="319" t="s">
        <v>6727</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4510</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5686</v>
      </c>
      <c r="E32" s="174" t="s">
        <v>6814</v>
      </c>
      <c r="F32" s="317" t="s">
        <v>6815</v>
      </c>
      <c r="G32" s="319" t="s">
        <v>6816</v>
      </c>
      <c r="H32" s="396" t="s">
        <v>5688</v>
      </c>
      <c r="I32" s="174" t="s">
        <v>6817</v>
      </c>
      <c r="J32" s="317" t="s">
        <v>6818</v>
      </c>
      <c r="K32" s="319" t="s">
        <v>6819</v>
      </c>
      <c r="L32" s="396" t="s">
        <v>5690</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5695</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5073</v>
      </c>
      <c r="E34" s="174" t="s">
        <v>6841</v>
      </c>
      <c r="F34" s="315" t="str">
        <f>IFERROR(__xludf.DUMMYFUNCTION("GOOGLETRANSLATE(B34,""zh-tw"",""ja"")"),"祝福を享受できますように")</f>
        <v>祝福を享受できますように</v>
      </c>
      <c r="G34" s="319" t="s">
        <v>6842</v>
      </c>
      <c r="H34" s="396" t="s">
        <v>5075</v>
      </c>
      <c r="I34" s="174" t="s">
        <v>6843</v>
      </c>
      <c r="J34" s="317" t="s">
        <v>6844</v>
      </c>
      <c r="K34" s="319" t="s">
        <v>6845</v>
      </c>
      <c r="L34" s="396" t="s">
        <v>5076</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4639</v>
      </c>
      <c r="E36" s="174" t="s">
        <v>4641</v>
      </c>
      <c r="F36" s="317" t="s">
        <v>6859</v>
      </c>
      <c r="G36" s="316" t="str">
        <f>IFERROR(__xludf.DUMMYFUNCTION("GOOGLETRANSLATE(C36,""zh-tw"",""ja"")"),"全属性が上昇し、一時的に無敵になる。")</f>
        <v>全属性が上昇し、一時的に無敵になる。</v>
      </c>
      <c r="H36" s="396" t="s">
        <v>4641</v>
      </c>
      <c r="I36" s="174" t="s">
        <v>4643</v>
      </c>
      <c r="J36" s="317" t="s">
        <v>6860</v>
      </c>
      <c r="K36" s="319" t="s">
        <v>6861</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4266</v>
      </c>
      <c r="I37" s="174" t="s">
        <v>4268</v>
      </c>
      <c r="J37" s="317" t="s">
        <v>6869</v>
      </c>
      <c r="K37" s="319" t="s">
        <v>6870</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64" t="s">
        <v>6871</v>
      </c>
      <c r="AI37" s="320" t="s">
        <v>6872</v>
      </c>
      <c r="AJ37" s="398" t="s">
        <v>4274</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4018</v>
      </c>
      <c r="AK39" s="396"/>
      <c r="AL39" s="396"/>
      <c r="AM39" s="396"/>
    </row>
    <row r="40">
      <c r="A40" s="174" t="s">
        <v>6891</v>
      </c>
      <c r="B40" s="317" t="s">
        <v>6892</v>
      </c>
      <c r="C40" s="319" t="s">
        <v>6893</v>
      </c>
      <c r="D40" s="396" t="s">
        <v>4846</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5393</v>
      </c>
      <c r="E45" s="174" t="s">
        <v>6966</v>
      </c>
      <c r="F45" s="317" t="s">
        <v>6967</v>
      </c>
      <c r="G45" s="319" t="s">
        <v>723</v>
      </c>
      <c r="H45" s="396" t="s">
        <v>6968</v>
      </c>
      <c r="I45" s="174" t="s">
        <v>5397</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5336</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198"/>
      <c r="AH46" s="219"/>
      <c r="AI46" s="401"/>
      <c r="AJ46" s="402"/>
      <c r="AK46" s="397"/>
      <c r="AL46" s="397"/>
      <c r="AM46" s="397"/>
    </row>
    <row r="47">
      <c r="A47" s="174" t="s">
        <v>6981</v>
      </c>
      <c r="B47" s="317" t="s">
        <v>6982</v>
      </c>
      <c r="C47" s="319" t="s">
        <v>6983</v>
      </c>
      <c r="D47" s="396" t="s">
        <v>5257</v>
      </c>
      <c r="E47" s="174" t="s">
        <v>6984</v>
      </c>
      <c r="F47" s="317" t="s">
        <v>6985</v>
      </c>
      <c r="G47" s="319" t="s">
        <v>6986</v>
      </c>
      <c r="H47" s="397"/>
      <c r="I47" s="174" t="s">
        <v>6987</v>
      </c>
      <c r="J47" s="317" t="s">
        <v>6988</v>
      </c>
      <c r="K47" s="319" t="s">
        <v>6989</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98"/>
      <c r="AH47" s="219"/>
      <c r="AI47" s="401"/>
      <c r="AJ47" s="402"/>
      <c r="AK47" s="397"/>
      <c r="AL47" s="397"/>
      <c r="AM47" s="397"/>
    </row>
    <row r="48">
      <c r="A48" s="314"/>
      <c r="B48" s="315"/>
      <c r="C48" s="316"/>
      <c r="D48" s="397"/>
      <c r="E48" s="314"/>
      <c r="F48" s="315"/>
      <c r="G48" s="316"/>
      <c r="H48" s="397"/>
      <c r="I48" s="314"/>
      <c r="J48" s="315"/>
      <c r="K48" s="316"/>
      <c r="L48" s="397"/>
      <c r="M48" s="314"/>
      <c r="N48" s="315"/>
      <c r="O48" s="316"/>
      <c r="P48" s="397"/>
      <c r="Q48" s="198"/>
      <c r="R48" s="219"/>
      <c r="S48" s="401"/>
      <c r="T48" s="402"/>
      <c r="U48" s="198"/>
      <c r="V48" s="219"/>
      <c r="W48" s="401"/>
      <c r="X48" s="402"/>
      <c r="Y48" s="403"/>
      <c r="Z48" s="404"/>
      <c r="AA48" s="405"/>
      <c r="AB48" s="406"/>
      <c r="AC48" s="403"/>
      <c r="AD48" s="404"/>
      <c r="AE48" s="405"/>
      <c r="AF48" s="406"/>
      <c r="AG48" s="198"/>
      <c r="AH48" s="219"/>
      <c r="AI48" s="401"/>
      <c r="AJ48" s="402"/>
      <c r="AK48" s="397"/>
      <c r="AL48" s="397"/>
      <c r="AM48" s="397"/>
    </row>
    <row r="49">
      <c r="A49" s="314"/>
      <c r="B49" s="315"/>
      <c r="C49" s="316"/>
      <c r="D49" s="397"/>
      <c r="E49" s="314"/>
      <c r="F49" s="315"/>
      <c r="G49" s="316"/>
      <c r="H49" s="397"/>
      <c r="I49" s="314"/>
      <c r="J49" s="315"/>
      <c r="K49" s="316"/>
      <c r="L49" s="397"/>
      <c r="M49" s="314"/>
      <c r="N49" s="315"/>
      <c r="O49" s="316"/>
      <c r="P49" s="397"/>
      <c r="Q49" s="198"/>
      <c r="R49" s="219"/>
      <c r="S49" s="401"/>
      <c r="T49" s="402"/>
      <c r="U49" s="198"/>
      <c r="V49" s="219"/>
      <c r="W49" s="401"/>
      <c r="X49" s="402"/>
      <c r="Y49" s="403"/>
      <c r="Z49" s="404"/>
      <c r="AA49" s="405"/>
      <c r="AB49" s="406"/>
      <c r="AC49" s="403"/>
      <c r="AD49" s="404"/>
      <c r="AE49" s="405"/>
      <c r="AF49" s="406"/>
      <c r="AG49" s="198"/>
      <c r="AH49" s="219"/>
      <c r="AI49" s="401"/>
      <c r="AJ49" s="402"/>
      <c r="AK49" s="397"/>
      <c r="AL49" s="397"/>
      <c r="AM49" s="397"/>
    </row>
    <row r="50">
      <c r="A50" s="314"/>
      <c r="B50" s="315"/>
      <c r="C50" s="316"/>
      <c r="D50" s="397"/>
      <c r="E50" s="314"/>
      <c r="F50" s="315"/>
      <c r="G50" s="316"/>
      <c r="H50" s="397"/>
      <c r="I50" s="314"/>
      <c r="J50" s="315"/>
      <c r="K50" s="316"/>
      <c r="L50" s="397"/>
      <c r="M50" s="314"/>
      <c r="N50" s="315"/>
      <c r="O50" s="316"/>
      <c r="P50" s="397"/>
      <c r="Q50" s="198"/>
      <c r="R50" s="219"/>
      <c r="S50" s="401"/>
      <c r="T50" s="402"/>
      <c r="U50" s="198"/>
      <c r="V50" s="219"/>
      <c r="W50" s="401"/>
      <c r="X50" s="402"/>
      <c r="Y50" s="403"/>
      <c r="Z50" s="404"/>
      <c r="AA50" s="405"/>
      <c r="AB50" s="406"/>
      <c r="AC50" s="403"/>
      <c r="AD50" s="404"/>
      <c r="AE50" s="405"/>
      <c r="AF50" s="406"/>
      <c r="AG50" s="198"/>
      <c r="AH50" s="219"/>
      <c r="AI50" s="401"/>
      <c r="AJ50" s="402"/>
      <c r="AK50" s="397"/>
      <c r="AL50" s="397"/>
      <c r="AM50" s="397"/>
    </row>
    <row r="51">
      <c r="A51" s="314"/>
      <c r="B51" s="315"/>
      <c r="C51" s="316"/>
      <c r="D51" s="397"/>
      <c r="E51" s="314"/>
      <c r="F51" s="315"/>
      <c r="G51" s="316"/>
      <c r="H51" s="397"/>
      <c r="I51" s="314"/>
      <c r="J51" s="315"/>
      <c r="K51" s="316"/>
      <c r="L51" s="397"/>
      <c r="M51" s="314"/>
      <c r="N51" s="315"/>
      <c r="O51" s="316"/>
      <c r="P51" s="397"/>
      <c r="Q51" s="198"/>
      <c r="R51" s="219"/>
      <c r="S51" s="401"/>
      <c r="T51" s="402"/>
      <c r="U51" s="198"/>
      <c r="V51" s="219"/>
      <c r="W51" s="401"/>
      <c r="X51" s="402"/>
      <c r="Y51" s="403"/>
      <c r="Z51" s="404"/>
      <c r="AA51" s="405"/>
      <c r="AB51" s="406"/>
      <c r="AC51" s="403"/>
      <c r="AD51" s="404"/>
      <c r="AE51" s="405"/>
      <c r="AF51" s="406"/>
      <c r="AG51" s="198"/>
      <c r="AH51" s="219"/>
      <c r="AI51" s="401"/>
      <c r="AJ51" s="402"/>
      <c r="AK51" s="397"/>
      <c r="AL51" s="397"/>
      <c r="AM51" s="397"/>
    </row>
    <row r="52">
      <c r="A52" s="314"/>
      <c r="B52" s="315"/>
      <c r="C52" s="316"/>
      <c r="D52" s="397"/>
      <c r="E52" s="314"/>
      <c r="F52" s="315"/>
      <c r="G52" s="316"/>
      <c r="H52" s="397"/>
      <c r="I52" s="314"/>
      <c r="J52" s="315"/>
      <c r="K52" s="316"/>
      <c r="L52" s="397"/>
      <c r="M52" s="314"/>
      <c r="N52" s="315"/>
      <c r="O52" s="316"/>
      <c r="P52" s="397"/>
      <c r="Q52" s="198"/>
      <c r="R52" s="219"/>
      <c r="S52" s="401"/>
      <c r="T52" s="402"/>
      <c r="U52" s="198"/>
      <c r="V52" s="219"/>
      <c r="W52" s="401"/>
      <c r="X52" s="402"/>
      <c r="Y52" s="403"/>
      <c r="Z52" s="404"/>
      <c r="AA52" s="405"/>
      <c r="AB52" s="406"/>
      <c r="AC52" s="403"/>
      <c r="AD52" s="404"/>
      <c r="AE52" s="405"/>
      <c r="AF52" s="406"/>
      <c r="AG52" s="198"/>
      <c r="AH52" s="219"/>
      <c r="AI52" s="401"/>
      <c r="AJ52" s="402"/>
      <c r="AK52" s="397"/>
      <c r="AL52" s="397"/>
      <c r="AM52" s="397"/>
    </row>
    <row r="53">
      <c r="A53" s="314"/>
      <c r="B53" s="315"/>
      <c r="C53" s="316"/>
      <c r="D53" s="397"/>
      <c r="E53" s="314"/>
      <c r="F53" s="315"/>
      <c r="G53" s="316"/>
      <c r="H53" s="397"/>
      <c r="I53" s="314"/>
      <c r="J53" s="315"/>
      <c r="K53" s="316"/>
      <c r="L53" s="397"/>
      <c r="M53" s="314"/>
      <c r="N53" s="315"/>
      <c r="O53" s="316"/>
      <c r="P53" s="397"/>
      <c r="Q53" s="198"/>
      <c r="R53" s="219"/>
      <c r="S53" s="401"/>
      <c r="T53" s="402"/>
      <c r="U53" s="198"/>
      <c r="V53" s="219"/>
      <c r="W53" s="401"/>
      <c r="X53" s="402"/>
      <c r="Y53" s="198"/>
      <c r="Z53" s="219"/>
      <c r="AA53" s="401"/>
      <c r="AB53" s="402"/>
      <c r="AC53" s="198"/>
      <c r="AD53" s="219"/>
      <c r="AE53" s="401"/>
      <c r="AF53" s="402"/>
      <c r="AG53" s="198"/>
      <c r="AH53" s="219"/>
      <c r="AI53" s="401"/>
      <c r="AJ53" s="402"/>
      <c r="AK53" s="397"/>
      <c r="AL53" s="397"/>
      <c r="AM53" s="397"/>
    </row>
    <row r="54">
      <c r="A54" s="314"/>
      <c r="B54" s="315"/>
      <c r="C54" s="316"/>
      <c r="D54" s="397"/>
      <c r="E54" s="314"/>
      <c r="F54" s="315"/>
      <c r="G54" s="316"/>
      <c r="H54" s="397"/>
      <c r="I54" s="314"/>
      <c r="J54" s="315"/>
      <c r="K54" s="316"/>
      <c r="L54" s="397"/>
      <c r="M54" s="314"/>
      <c r="N54" s="315"/>
      <c r="O54" s="316"/>
      <c r="P54" s="397"/>
      <c r="Q54" s="198"/>
      <c r="R54" s="219"/>
      <c r="S54" s="401"/>
      <c r="T54" s="402"/>
      <c r="U54" s="198"/>
      <c r="V54" s="219"/>
      <c r="W54" s="401"/>
      <c r="X54" s="402"/>
      <c r="Y54" s="198"/>
      <c r="Z54" s="219"/>
      <c r="AA54" s="401"/>
      <c r="AB54" s="402"/>
      <c r="AC54" s="198"/>
      <c r="AD54" s="219"/>
      <c r="AE54" s="401"/>
      <c r="AF54" s="402"/>
      <c r="AG54" s="198"/>
      <c r="AH54" s="219"/>
      <c r="AI54" s="401"/>
      <c r="AJ54" s="402"/>
      <c r="AK54" s="397"/>
      <c r="AL54" s="397"/>
      <c r="AM54" s="397"/>
    </row>
    <row r="55">
      <c r="A55" s="314"/>
      <c r="B55" s="315"/>
      <c r="C55" s="316"/>
      <c r="D55" s="397"/>
      <c r="E55" s="314"/>
      <c r="F55" s="315"/>
      <c r="G55" s="316"/>
      <c r="H55" s="397"/>
      <c r="I55" s="314"/>
      <c r="J55" s="315"/>
      <c r="K55" s="316"/>
      <c r="L55" s="397"/>
      <c r="M55" s="314"/>
      <c r="N55" s="315"/>
      <c r="O55" s="316"/>
      <c r="P55" s="397"/>
      <c r="Q55" s="198"/>
      <c r="R55" s="219"/>
      <c r="S55" s="401"/>
      <c r="T55" s="402"/>
      <c r="U55" s="198"/>
      <c r="V55" s="219"/>
      <c r="W55" s="401"/>
      <c r="X55" s="402"/>
      <c r="Y55" s="198"/>
      <c r="Z55" s="219"/>
      <c r="AA55" s="401"/>
      <c r="AB55" s="402"/>
      <c r="AC55" s="198"/>
      <c r="AD55" s="219"/>
      <c r="AE55" s="401"/>
      <c r="AF55" s="402"/>
      <c r="AG55" s="198"/>
      <c r="AH55" s="219"/>
      <c r="AI55" s="401"/>
      <c r="AJ55" s="402"/>
      <c r="AK55" s="397"/>
      <c r="AL55" s="397"/>
      <c r="AM55" s="397"/>
    </row>
    <row r="56">
      <c r="A56" s="314"/>
      <c r="B56" s="315"/>
      <c r="C56" s="316"/>
      <c r="D56" s="397"/>
      <c r="E56" s="314"/>
      <c r="F56" s="315"/>
      <c r="G56" s="316"/>
      <c r="H56" s="397"/>
      <c r="I56" s="314"/>
      <c r="J56" s="315"/>
      <c r="K56" s="316"/>
      <c r="L56" s="397"/>
      <c r="M56" s="314"/>
      <c r="N56" s="315"/>
      <c r="O56" s="316"/>
      <c r="P56" s="397"/>
      <c r="Q56" s="198"/>
      <c r="R56" s="219"/>
      <c r="S56" s="401"/>
      <c r="T56" s="402"/>
      <c r="U56" s="198"/>
      <c r="V56" s="219"/>
      <c r="W56" s="401"/>
      <c r="X56" s="402"/>
      <c r="Y56" s="198"/>
      <c r="Z56" s="219"/>
      <c r="AA56" s="401"/>
      <c r="AB56" s="402"/>
      <c r="AC56" s="198"/>
      <c r="AD56" s="219"/>
      <c r="AE56" s="401"/>
      <c r="AF56" s="402"/>
      <c r="AG56" s="198"/>
      <c r="AH56" s="219"/>
      <c r="AI56" s="401"/>
      <c r="AJ56" s="402"/>
      <c r="AK56" s="397"/>
      <c r="AL56" s="397"/>
      <c r="AM56" s="397"/>
    </row>
    <row r="57">
      <c r="A57" s="314"/>
      <c r="B57" s="315"/>
      <c r="C57" s="316"/>
      <c r="D57" s="397"/>
      <c r="E57" s="314"/>
      <c r="F57" s="315"/>
      <c r="G57" s="316"/>
      <c r="H57" s="397"/>
      <c r="I57" s="314"/>
      <c r="J57" s="315"/>
      <c r="K57" s="316"/>
      <c r="L57" s="397"/>
      <c r="M57" s="314"/>
      <c r="N57" s="315"/>
      <c r="O57" s="316"/>
      <c r="P57" s="397"/>
      <c r="Q57" s="198"/>
      <c r="R57" s="219"/>
      <c r="S57" s="401"/>
      <c r="T57" s="402"/>
      <c r="U57" s="198"/>
      <c r="V57" s="219"/>
      <c r="W57" s="401"/>
      <c r="X57" s="402"/>
      <c r="Y57" s="198"/>
      <c r="Z57" s="219"/>
      <c r="AA57" s="401"/>
      <c r="AB57" s="402"/>
      <c r="AC57" s="198"/>
      <c r="AD57" s="219"/>
      <c r="AE57" s="401"/>
      <c r="AF57" s="402"/>
      <c r="AG57" s="198"/>
      <c r="AH57" s="219"/>
      <c r="AI57" s="401"/>
      <c r="AJ57" s="402"/>
      <c r="AK57" s="397"/>
      <c r="AL57" s="397"/>
      <c r="AM57" s="397"/>
    </row>
    <row r="58">
      <c r="A58" s="314"/>
      <c r="B58" s="315"/>
      <c r="C58" s="316"/>
      <c r="D58" s="397"/>
      <c r="E58" s="314"/>
      <c r="F58" s="315"/>
      <c r="G58" s="316"/>
      <c r="H58" s="397"/>
      <c r="I58" s="314"/>
      <c r="J58" s="315"/>
      <c r="K58" s="316"/>
      <c r="L58" s="397"/>
      <c r="M58" s="314"/>
      <c r="N58" s="315"/>
      <c r="O58" s="316"/>
      <c r="P58" s="397"/>
      <c r="Q58" s="198"/>
      <c r="R58" s="219"/>
      <c r="S58" s="401"/>
      <c r="T58" s="402"/>
      <c r="U58" s="198"/>
      <c r="V58" s="219"/>
      <c r="W58" s="401"/>
      <c r="X58" s="402"/>
      <c r="Y58" s="198"/>
      <c r="Z58" s="219"/>
      <c r="AA58" s="401"/>
      <c r="AB58" s="402"/>
      <c r="AC58" s="198"/>
      <c r="AD58" s="219"/>
      <c r="AE58" s="401"/>
      <c r="AF58" s="402"/>
      <c r="AG58" s="198"/>
      <c r="AH58" s="219"/>
      <c r="AI58" s="401"/>
      <c r="AJ58" s="402"/>
      <c r="AK58" s="397"/>
      <c r="AL58" s="397"/>
      <c r="AM58" s="397"/>
    </row>
    <row r="59">
      <c r="A59" s="314"/>
      <c r="B59" s="315"/>
      <c r="C59" s="316"/>
      <c r="D59" s="397"/>
      <c r="E59" s="314"/>
      <c r="F59" s="315"/>
      <c r="G59" s="316"/>
      <c r="H59" s="397"/>
      <c r="I59" s="314"/>
      <c r="J59" s="315"/>
      <c r="K59" s="316"/>
      <c r="L59" s="397"/>
      <c r="M59" s="314"/>
      <c r="N59" s="315"/>
      <c r="O59" s="316"/>
      <c r="P59" s="397"/>
      <c r="Q59" s="198"/>
      <c r="R59" s="219"/>
      <c r="S59" s="401"/>
      <c r="T59" s="402"/>
      <c r="U59" s="198"/>
      <c r="V59" s="219"/>
      <c r="W59" s="401"/>
      <c r="X59" s="402"/>
      <c r="Y59" s="198"/>
      <c r="Z59" s="219"/>
      <c r="AA59" s="401"/>
      <c r="AB59" s="402"/>
      <c r="AC59" s="198"/>
      <c r="AD59" s="219"/>
      <c r="AE59" s="401"/>
      <c r="AF59" s="402"/>
      <c r="AG59" s="198"/>
      <c r="AH59" s="219"/>
      <c r="AI59" s="401"/>
      <c r="AJ59" s="402"/>
      <c r="AK59" s="397"/>
      <c r="AL59" s="397"/>
      <c r="AM59" s="397"/>
    </row>
    <row r="60">
      <c r="A60" s="314"/>
      <c r="B60" s="315"/>
      <c r="C60" s="316"/>
      <c r="D60" s="397"/>
      <c r="E60" s="314"/>
      <c r="F60" s="315"/>
      <c r="G60" s="316"/>
      <c r="H60" s="397"/>
      <c r="I60" s="314"/>
      <c r="J60" s="315"/>
      <c r="K60" s="316"/>
      <c r="L60" s="397"/>
      <c r="M60" s="314"/>
      <c r="N60" s="315"/>
      <c r="O60" s="316"/>
      <c r="P60" s="397"/>
      <c r="Q60" s="198"/>
      <c r="R60" s="219"/>
      <c r="S60" s="401"/>
      <c r="T60" s="402"/>
      <c r="U60" s="198"/>
      <c r="V60" s="219"/>
      <c r="W60" s="401"/>
      <c r="X60" s="402"/>
      <c r="Y60" s="198"/>
      <c r="Z60" s="219"/>
      <c r="AA60" s="401"/>
      <c r="AB60" s="402"/>
      <c r="AC60" s="198"/>
      <c r="AD60" s="219"/>
      <c r="AE60" s="401"/>
      <c r="AF60" s="402"/>
      <c r="AG60" s="198"/>
      <c r="AH60" s="219"/>
      <c r="AI60" s="401"/>
      <c r="AJ60" s="402"/>
      <c r="AK60" s="397"/>
      <c r="AL60" s="397"/>
      <c r="AM60" s="397"/>
    </row>
    <row r="61">
      <c r="A61" s="314"/>
      <c r="B61" s="315"/>
      <c r="C61" s="316"/>
      <c r="D61" s="397"/>
      <c r="E61" s="314"/>
      <c r="F61" s="315"/>
      <c r="G61" s="316"/>
      <c r="H61" s="397"/>
      <c r="I61" s="314"/>
      <c r="J61" s="315"/>
      <c r="K61" s="316"/>
      <c r="L61" s="397"/>
      <c r="M61" s="314"/>
      <c r="N61" s="315"/>
      <c r="O61" s="316"/>
      <c r="P61" s="397"/>
      <c r="Q61" s="198"/>
      <c r="R61" s="219"/>
      <c r="S61" s="401"/>
      <c r="T61" s="402"/>
      <c r="U61" s="198"/>
      <c r="V61" s="219"/>
      <c r="W61" s="401"/>
      <c r="X61" s="402"/>
      <c r="Y61" s="198"/>
      <c r="Z61" s="219"/>
      <c r="AA61" s="401"/>
      <c r="AB61" s="402"/>
      <c r="AC61" s="198"/>
      <c r="AD61" s="219"/>
      <c r="AE61" s="401"/>
      <c r="AF61" s="402"/>
      <c r="AG61" s="198"/>
      <c r="AH61" s="219"/>
      <c r="AI61" s="401"/>
      <c r="AJ61" s="402"/>
      <c r="AK61" s="397"/>
      <c r="AL61" s="397"/>
      <c r="AM61" s="397"/>
    </row>
    <row r="62">
      <c r="A62" s="314"/>
      <c r="B62" s="315"/>
      <c r="C62" s="316"/>
      <c r="D62" s="397"/>
      <c r="E62" s="314"/>
      <c r="F62" s="315"/>
      <c r="G62" s="316"/>
      <c r="H62" s="397"/>
      <c r="I62" s="314"/>
      <c r="J62" s="315"/>
      <c r="K62" s="316"/>
      <c r="L62" s="397"/>
      <c r="M62" s="314"/>
      <c r="N62" s="315"/>
      <c r="O62" s="316"/>
      <c r="P62" s="397"/>
      <c r="Q62" s="198"/>
      <c r="R62" s="219"/>
      <c r="S62" s="401"/>
      <c r="T62" s="402"/>
      <c r="U62" s="198"/>
      <c r="V62" s="219"/>
      <c r="W62" s="401"/>
      <c r="X62" s="402"/>
      <c r="Y62" s="198"/>
      <c r="Z62" s="219"/>
      <c r="AA62" s="401"/>
      <c r="AB62" s="402"/>
      <c r="AC62" s="198"/>
      <c r="AD62" s="219"/>
      <c r="AE62" s="401"/>
      <c r="AF62" s="402"/>
      <c r="AG62" s="198"/>
      <c r="AH62" s="219"/>
      <c r="AI62" s="401"/>
      <c r="AJ62" s="402"/>
      <c r="AK62" s="397"/>
      <c r="AL62" s="397"/>
      <c r="AM62" s="397"/>
    </row>
    <row r="63">
      <c r="A63" s="314"/>
      <c r="B63" s="315"/>
      <c r="C63" s="316"/>
      <c r="D63" s="397"/>
      <c r="E63" s="314"/>
      <c r="F63" s="315"/>
      <c r="G63" s="316"/>
      <c r="H63" s="397"/>
      <c r="I63" s="314"/>
      <c r="J63" s="315"/>
      <c r="K63" s="316"/>
      <c r="L63" s="397"/>
      <c r="M63" s="314"/>
      <c r="N63" s="315"/>
      <c r="O63" s="316"/>
      <c r="P63" s="397"/>
      <c r="Q63" s="198"/>
      <c r="R63" s="219"/>
      <c r="S63" s="401"/>
      <c r="T63" s="402"/>
      <c r="U63" s="198"/>
      <c r="V63" s="219"/>
      <c r="W63" s="401"/>
      <c r="X63" s="402"/>
      <c r="Y63" s="198"/>
      <c r="Z63" s="219"/>
      <c r="AA63" s="401"/>
      <c r="AB63" s="402"/>
      <c r="AC63" s="198"/>
      <c r="AD63" s="219"/>
      <c r="AE63" s="401"/>
      <c r="AF63" s="402"/>
      <c r="AG63" s="198"/>
      <c r="AH63" s="219"/>
      <c r="AI63" s="401"/>
      <c r="AJ63" s="402"/>
      <c r="AK63" s="397"/>
      <c r="AL63" s="397"/>
      <c r="AM63" s="397"/>
    </row>
    <row r="64">
      <c r="A64" s="314"/>
      <c r="B64" s="315"/>
      <c r="C64" s="316"/>
      <c r="D64" s="397"/>
      <c r="E64" s="314"/>
      <c r="F64" s="315"/>
      <c r="G64" s="316"/>
      <c r="H64" s="397"/>
      <c r="I64" s="314"/>
      <c r="J64" s="315"/>
      <c r="K64" s="316"/>
      <c r="L64" s="397"/>
      <c r="M64" s="314"/>
      <c r="N64" s="315"/>
      <c r="O64" s="316"/>
      <c r="P64" s="397"/>
      <c r="Q64" s="198"/>
      <c r="R64" s="219"/>
      <c r="S64" s="401"/>
      <c r="T64" s="402"/>
      <c r="U64" s="198"/>
      <c r="V64" s="219"/>
      <c r="W64" s="401"/>
      <c r="X64" s="402"/>
      <c r="Y64" s="198"/>
      <c r="Z64" s="219"/>
      <c r="AA64" s="401"/>
      <c r="AB64" s="402"/>
      <c r="AC64" s="198"/>
      <c r="AD64" s="219"/>
      <c r="AE64" s="401"/>
      <c r="AF64" s="402"/>
      <c r="AG64" s="198"/>
      <c r="AH64" s="219"/>
      <c r="AI64" s="401"/>
      <c r="AJ64" s="402"/>
      <c r="AK64" s="397"/>
      <c r="AL64" s="397"/>
      <c r="AM64" s="397"/>
    </row>
    <row r="65">
      <c r="A65" s="314"/>
      <c r="B65" s="315"/>
      <c r="C65" s="316"/>
      <c r="D65" s="397"/>
      <c r="E65" s="314"/>
      <c r="F65" s="315"/>
      <c r="G65" s="316"/>
      <c r="H65" s="397"/>
      <c r="I65" s="314"/>
      <c r="J65" s="315"/>
      <c r="K65" s="316"/>
      <c r="L65" s="397"/>
      <c r="M65" s="314"/>
      <c r="N65" s="315"/>
      <c r="O65" s="316"/>
      <c r="P65" s="397"/>
      <c r="Q65" s="198"/>
      <c r="R65" s="219"/>
      <c r="S65" s="401"/>
      <c r="T65" s="402"/>
      <c r="U65" s="198"/>
      <c r="V65" s="219"/>
      <c r="W65" s="401"/>
      <c r="X65" s="402"/>
      <c r="Y65" s="198"/>
      <c r="Z65" s="219"/>
      <c r="AA65" s="401"/>
      <c r="AB65" s="402"/>
      <c r="AC65" s="198"/>
      <c r="AD65" s="219"/>
      <c r="AE65" s="401"/>
      <c r="AF65" s="402"/>
      <c r="AG65" s="198"/>
      <c r="AH65" s="219"/>
      <c r="AI65" s="401"/>
      <c r="AJ65" s="402"/>
      <c r="AK65" s="397"/>
      <c r="AL65" s="397"/>
      <c r="AM65" s="397"/>
    </row>
    <row r="66">
      <c r="A66" s="314"/>
      <c r="B66" s="315"/>
      <c r="C66" s="316"/>
      <c r="D66" s="397"/>
      <c r="E66" s="314"/>
      <c r="F66" s="315"/>
      <c r="G66" s="316"/>
      <c r="H66" s="397"/>
      <c r="I66" s="314"/>
      <c r="J66" s="315"/>
      <c r="K66" s="316"/>
      <c r="L66" s="397"/>
      <c r="M66" s="314"/>
      <c r="N66" s="315"/>
      <c r="O66" s="316"/>
      <c r="P66" s="397"/>
      <c r="Q66" s="198"/>
      <c r="R66" s="219"/>
      <c r="S66" s="401"/>
      <c r="T66" s="402"/>
      <c r="U66" s="198"/>
      <c r="V66" s="219"/>
      <c r="W66" s="401"/>
      <c r="X66" s="402"/>
      <c r="Y66" s="198"/>
      <c r="Z66" s="219"/>
      <c r="AA66" s="401"/>
      <c r="AB66" s="402"/>
      <c r="AC66" s="198"/>
      <c r="AD66" s="219"/>
      <c r="AE66" s="401"/>
      <c r="AF66" s="402"/>
      <c r="AG66" s="198"/>
      <c r="AH66" s="219"/>
      <c r="AI66" s="401"/>
      <c r="AJ66" s="402"/>
      <c r="AK66" s="397"/>
      <c r="AL66" s="397"/>
      <c r="AM66" s="397"/>
    </row>
    <row r="67">
      <c r="A67" s="314"/>
      <c r="B67" s="315"/>
      <c r="C67" s="316"/>
      <c r="D67" s="397"/>
      <c r="E67" s="314"/>
      <c r="F67" s="315"/>
      <c r="G67" s="316"/>
      <c r="H67" s="397"/>
      <c r="I67" s="314"/>
      <c r="J67" s="315"/>
      <c r="K67" s="316"/>
      <c r="L67" s="397"/>
      <c r="M67" s="314"/>
      <c r="N67" s="315"/>
      <c r="O67" s="316"/>
      <c r="P67" s="397"/>
      <c r="Q67" s="198"/>
      <c r="R67" s="219"/>
      <c r="S67" s="401"/>
      <c r="T67" s="402"/>
      <c r="U67" s="198"/>
      <c r="V67" s="219"/>
      <c r="W67" s="401"/>
      <c r="X67" s="402"/>
      <c r="Y67" s="198"/>
      <c r="Z67" s="219"/>
      <c r="AA67" s="401"/>
      <c r="AB67" s="402"/>
      <c r="AC67" s="198"/>
      <c r="AD67" s="219"/>
      <c r="AE67" s="401"/>
      <c r="AF67" s="402"/>
      <c r="AG67" s="198"/>
      <c r="AH67" s="219"/>
      <c r="AI67" s="401"/>
      <c r="AJ67" s="402"/>
      <c r="AK67" s="397"/>
      <c r="AL67" s="397"/>
      <c r="AM67" s="397"/>
    </row>
    <row r="68">
      <c r="A68" s="314"/>
      <c r="B68" s="315"/>
      <c r="C68" s="316"/>
      <c r="D68" s="397"/>
      <c r="E68" s="314"/>
      <c r="F68" s="315"/>
      <c r="G68" s="316"/>
      <c r="H68" s="397"/>
      <c r="I68" s="314"/>
      <c r="J68" s="315"/>
      <c r="K68" s="316"/>
      <c r="L68" s="397"/>
      <c r="M68" s="314"/>
      <c r="N68" s="315"/>
      <c r="O68" s="316"/>
      <c r="P68" s="397"/>
      <c r="Q68" s="198"/>
      <c r="R68" s="219"/>
      <c r="S68" s="401"/>
      <c r="T68" s="402"/>
      <c r="U68" s="198"/>
      <c r="V68" s="219"/>
      <c r="W68" s="401"/>
      <c r="X68" s="402"/>
      <c r="Y68" s="198"/>
      <c r="Z68" s="219"/>
      <c r="AA68" s="401"/>
      <c r="AB68" s="402"/>
      <c r="AC68" s="198"/>
      <c r="AD68" s="219"/>
      <c r="AE68" s="401"/>
      <c r="AF68" s="402"/>
      <c r="AG68" s="198"/>
      <c r="AH68" s="219"/>
      <c r="AI68" s="401"/>
      <c r="AJ68" s="402"/>
      <c r="AK68" s="397"/>
      <c r="AL68" s="397"/>
      <c r="AM68" s="397"/>
    </row>
    <row r="69">
      <c r="A69" s="314"/>
      <c r="B69" s="315"/>
      <c r="C69" s="316"/>
      <c r="D69" s="397"/>
      <c r="E69" s="314"/>
      <c r="F69" s="315"/>
      <c r="G69" s="316"/>
      <c r="H69" s="397"/>
      <c r="I69" s="314"/>
      <c r="J69" s="315"/>
      <c r="K69" s="316"/>
      <c r="L69" s="397"/>
      <c r="M69" s="314"/>
      <c r="N69" s="315"/>
      <c r="O69" s="316"/>
      <c r="P69" s="397"/>
      <c r="Q69" s="198"/>
      <c r="R69" s="219"/>
      <c r="S69" s="401"/>
      <c r="T69" s="402"/>
      <c r="U69" s="198"/>
      <c r="V69" s="219"/>
      <c r="W69" s="401"/>
      <c r="X69" s="402"/>
      <c r="Y69" s="198"/>
      <c r="Z69" s="219"/>
      <c r="AA69" s="401"/>
      <c r="AB69" s="402"/>
      <c r="AC69" s="198"/>
      <c r="AD69" s="219"/>
      <c r="AE69" s="401"/>
      <c r="AF69" s="402"/>
      <c r="AG69" s="198"/>
      <c r="AH69" s="219"/>
      <c r="AI69" s="401"/>
      <c r="AJ69" s="402"/>
      <c r="AK69" s="397"/>
      <c r="AL69" s="397"/>
      <c r="AM69" s="397"/>
    </row>
    <row r="70">
      <c r="A70" s="314"/>
      <c r="B70" s="315"/>
      <c r="C70" s="316"/>
      <c r="D70" s="397"/>
      <c r="E70" s="314"/>
      <c r="F70" s="315"/>
      <c r="G70" s="316"/>
      <c r="H70" s="397"/>
      <c r="I70" s="314"/>
      <c r="J70" s="315"/>
      <c r="K70" s="316"/>
      <c r="L70" s="397"/>
      <c r="M70" s="314"/>
      <c r="N70" s="315"/>
      <c r="O70" s="316"/>
      <c r="P70" s="397"/>
      <c r="Q70" s="198"/>
      <c r="R70" s="219"/>
      <c r="S70" s="401"/>
      <c r="T70" s="402"/>
      <c r="U70" s="198"/>
      <c r="V70" s="219"/>
      <c r="W70" s="401"/>
      <c r="X70" s="402"/>
      <c r="Y70" s="198"/>
      <c r="Z70" s="219"/>
      <c r="AA70" s="401"/>
      <c r="AB70" s="402"/>
      <c r="AC70" s="198"/>
      <c r="AD70" s="219"/>
      <c r="AE70" s="401"/>
      <c r="AF70" s="402"/>
      <c r="AG70" s="198"/>
      <c r="AH70" s="219"/>
      <c r="AI70" s="401"/>
      <c r="AJ70" s="402"/>
      <c r="AK70" s="397"/>
      <c r="AL70" s="397"/>
      <c r="AM70" s="397"/>
    </row>
    <row r="71">
      <c r="A71" s="314"/>
      <c r="B71" s="315"/>
      <c r="C71" s="316"/>
      <c r="D71" s="397"/>
      <c r="E71" s="314"/>
      <c r="F71" s="315"/>
      <c r="G71" s="316"/>
      <c r="H71" s="397"/>
      <c r="I71" s="314"/>
      <c r="J71" s="315"/>
      <c r="K71" s="316"/>
      <c r="L71" s="397"/>
      <c r="M71" s="314"/>
      <c r="N71" s="315"/>
      <c r="O71" s="316"/>
      <c r="P71" s="397"/>
      <c r="Q71" s="198"/>
      <c r="R71" s="219"/>
      <c r="S71" s="401"/>
      <c r="T71" s="402"/>
      <c r="U71" s="198"/>
      <c r="V71" s="219"/>
      <c r="W71" s="401"/>
      <c r="X71" s="402"/>
      <c r="Y71" s="198"/>
      <c r="Z71" s="219"/>
      <c r="AA71" s="401"/>
      <c r="AB71" s="402"/>
      <c r="AC71" s="198"/>
      <c r="AD71" s="219"/>
      <c r="AE71" s="401"/>
      <c r="AF71" s="402"/>
      <c r="AG71" s="198"/>
      <c r="AH71" s="219"/>
      <c r="AI71" s="401"/>
      <c r="AJ71" s="402"/>
      <c r="AK71" s="397"/>
      <c r="AL71" s="397"/>
      <c r="AM71" s="397"/>
    </row>
    <row r="72">
      <c r="A72" s="314"/>
      <c r="B72" s="315"/>
      <c r="C72" s="316"/>
      <c r="D72" s="397"/>
      <c r="E72" s="314"/>
      <c r="F72" s="315"/>
      <c r="G72" s="316"/>
      <c r="H72" s="397"/>
      <c r="I72" s="314"/>
      <c r="J72" s="315"/>
      <c r="K72" s="316"/>
      <c r="L72" s="397"/>
      <c r="M72" s="314"/>
      <c r="N72" s="315"/>
      <c r="O72" s="316"/>
      <c r="P72" s="397"/>
      <c r="Q72" s="198"/>
      <c r="R72" s="219"/>
      <c r="S72" s="401"/>
      <c r="T72" s="402"/>
      <c r="U72" s="198"/>
      <c r="V72" s="219"/>
      <c r="W72" s="401"/>
      <c r="X72" s="402"/>
      <c r="Y72" s="198"/>
      <c r="Z72" s="219"/>
      <c r="AA72" s="401"/>
      <c r="AB72" s="402"/>
      <c r="AC72" s="198"/>
      <c r="AD72" s="219"/>
      <c r="AE72" s="401"/>
      <c r="AF72" s="402"/>
      <c r="AG72" s="198"/>
      <c r="AH72" s="219"/>
      <c r="AI72" s="401"/>
      <c r="AJ72" s="402"/>
      <c r="AK72" s="397"/>
      <c r="AL72" s="397"/>
      <c r="AM72" s="397"/>
    </row>
    <row r="73">
      <c r="A73" s="314"/>
      <c r="B73" s="315"/>
      <c r="C73" s="316"/>
      <c r="D73" s="397"/>
      <c r="E73" s="314"/>
      <c r="F73" s="315"/>
      <c r="G73" s="316"/>
      <c r="H73" s="397"/>
      <c r="I73" s="314"/>
      <c r="J73" s="315"/>
      <c r="K73" s="316"/>
      <c r="L73" s="397"/>
      <c r="M73" s="314"/>
      <c r="N73" s="315"/>
      <c r="O73" s="316"/>
      <c r="P73" s="397"/>
      <c r="Q73" s="198"/>
      <c r="R73" s="219"/>
      <c r="S73" s="401"/>
      <c r="T73" s="402"/>
      <c r="U73" s="198"/>
      <c r="V73" s="219"/>
      <c r="W73" s="401"/>
      <c r="X73" s="402"/>
      <c r="Y73" s="198"/>
      <c r="Z73" s="219"/>
      <c r="AA73" s="401"/>
      <c r="AB73" s="402"/>
      <c r="AC73" s="198"/>
      <c r="AD73" s="219"/>
      <c r="AE73" s="401"/>
      <c r="AF73" s="402"/>
      <c r="AG73" s="198"/>
      <c r="AH73" s="219"/>
      <c r="AI73" s="401"/>
      <c r="AJ73" s="402"/>
      <c r="AK73" s="397"/>
      <c r="AL73" s="397"/>
      <c r="AM73" s="397"/>
    </row>
    <row r="74">
      <c r="A74" s="314"/>
      <c r="B74" s="315"/>
      <c r="C74" s="316"/>
      <c r="D74" s="397"/>
      <c r="E74" s="314"/>
      <c r="F74" s="315"/>
      <c r="G74" s="316"/>
      <c r="H74" s="397"/>
      <c r="I74" s="314"/>
      <c r="J74" s="315"/>
      <c r="K74" s="316"/>
      <c r="L74" s="397"/>
      <c r="M74" s="314"/>
      <c r="N74" s="315"/>
      <c r="O74" s="316"/>
      <c r="P74" s="397"/>
      <c r="Q74" s="198"/>
      <c r="R74" s="219"/>
      <c r="S74" s="401"/>
      <c r="T74" s="402"/>
      <c r="U74" s="198"/>
      <c r="V74" s="219"/>
      <c r="W74" s="401"/>
      <c r="X74" s="402"/>
      <c r="Y74" s="198"/>
      <c r="Z74" s="219"/>
      <c r="AA74" s="401"/>
      <c r="AB74" s="402"/>
      <c r="AC74" s="198"/>
      <c r="AD74" s="219"/>
      <c r="AE74" s="401"/>
      <c r="AF74" s="402"/>
      <c r="AG74" s="198"/>
      <c r="AH74" s="219"/>
      <c r="AI74" s="401"/>
      <c r="AJ74" s="402"/>
      <c r="AK74" s="397"/>
      <c r="AL74" s="397"/>
      <c r="AM74" s="397"/>
    </row>
    <row r="75">
      <c r="A75" s="314"/>
      <c r="B75" s="315"/>
      <c r="C75" s="316"/>
      <c r="D75" s="397"/>
      <c r="E75" s="314"/>
      <c r="F75" s="315"/>
      <c r="G75" s="316"/>
      <c r="H75" s="397"/>
      <c r="I75" s="314"/>
      <c r="J75" s="315"/>
      <c r="K75" s="316"/>
      <c r="L75" s="397"/>
      <c r="M75" s="314"/>
      <c r="N75" s="315"/>
      <c r="O75" s="316"/>
      <c r="P75" s="397"/>
      <c r="Q75" s="198"/>
      <c r="R75" s="219"/>
      <c r="S75" s="401"/>
      <c r="T75" s="402"/>
      <c r="U75" s="198"/>
      <c r="V75" s="219"/>
      <c r="W75" s="401"/>
      <c r="X75" s="402"/>
      <c r="Y75" s="198"/>
      <c r="Z75" s="219"/>
      <c r="AA75" s="401"/>
      <c r="AB75" s="402"/>
      <c r="AC75" s="198"/>
      <c r="AD75" s="219"/>
      <c r="AE75" s="401"/>
      <c r="AF75" s="402"/>
      <c r="AG75" s="198"/>
      <c r="AH75" s="219"/>
      <c r="AI75" s="401"/>
      <c r="AJ75" s="402"/>
      <c r="AK75" s="397"/>
      <c r="AL75" s="397"/>
      <c r="AM75" s="397"/>
    </row>
    <row r="76">
      <c r="A76" s="314"/>
      <c r="B76" s="315"/>
      <c r="C76" s="316"/>
      <c r="D76" s="397"/>
      <c r="E76" s="314"/>
      <c r="F76" s="315"/>
      <c r="G76" s="316"/>
      <c r="H76" s="397"/>
      <c r="I76" s="314"/>
      <c r="J76" s="315"/>
      <c r="K76" s="316"/>
      <c r="L76" s="397"/>
      <c r="M76" s="314"/>
      <c r="N76" s="315"/>
      <c r="O76" s="316"/>
      <c r="P76" s="397"/>
      <c r="Q76" s="198"/>
      <c r="R76" s="219"/>
      <c r="S76" s="401"/>
      <c r="T76" s="402"/>
      <c r="U76" s="198"/>
      <c r="V76" s="219"/>
      <c r="W76" s="401"/>
      <c r="X76" s="402"/>
      <c r="Y76" s="198"/>
      <c r="Z76" s="219"/>
      <c r="AA76" s="401"/>
      <c r="AB76" s="402"/>
      <c r="AC76" s="198"/>
      <c r="AD76" s="219"/>
      <c r="AE76" s="401"/>
      <c r="AF76" s="402"/>
      <c r="AG76" s="198"/>
      <c r="AH76" s="219"/>
      <c r="AI76" s="401"/>
      <c r="AJ76" s="402"/>
      <c r="AK76" s="397"/>
      <c r="AL76" s="397"/>
      <c r="AM76" s="397"/>
    </row>
    <row r="77">
      <c r="A77" s="314"/>
      <c r="B77" s="315"/>
      <c r="C77" s="316"/>
      <c r="D77" s="397"/>
      <c r="E77" s="314"/>
      <c r="F77" s="315"/>
      <c r="G77" s="316"/>
      <c r="H77" s="397"/>
      <c r="I77" s="314"/>
      <c r="J77" s="315"/>
      <c r="K77" s="316"/>
      <c r="L77" s="397"/>
      <c r="M77" s="314"/>
      <c r="N77" s="315"/>
      <c r="O77" s="316"/>
      <c r="P77" s="397"/>
      <c r="Q77" s="198"/>
      <c r="R77" s="219"/>
      <c r="S77" s="401"/>
      <c r="T77" s="402"/>
      <c r="U77" s="198"/>
      <c r="V77" s="219"/>
      <c r="W77" s="401"/>
      <c r="X77" s="402"/>
      <c r="Y77" s="198"/>
      <c r="Z77" s="219"/>
      <c r="AA77" s="401"/>
      <c r="AB77" s="402"/>
      <c r="AC77" s="198"/>
      <c r="AD77" s="219"/>
      <c r="AE77" s="401"/>
      <c r="AF77" s="402"/>
      <c r="AG77" s="198"/>
      <c r="AH77" s="219"/>
      <c r="AI77" s="401"/>
      <c r="AJ77" s="402"/>
      <c r="AK77" s="397"/>
      <c r="AL77" s="397"/>
      <c r="AM77" s="397"/>
    </row>
    <row r="78">
      <c r="A78" s="314"/>
      <c r="B78" s="315"/>
      <c r="C78" s="316"/>
      <c r="D78" s="397"/>
      <c r="E78" s="314"/>
      <c r="F78" s="315"/>
      <c r="G78" s="316"/>
      <c r="H78" s="397"/>
      <c r="I78" s="314"/>
      <c r="J78" s="315"/>
      <c r="K78" s="316"/>
      <c r="L78" s="397"/>
      <c r="M78" s="314"/>
      <c r="N78" s="315"/>
      <c r="O78" s="316"/>
      <c r="P78" s="397"/>
      <c r="Q78" s="198"/>
      <c r="R78" s="219"/>
      <c r="S78" s="401"/>
      <c r="T78" s="402"/>
      <c r="U78" s="198"/>
      <c r="V78" s="219"/>
      <c r="W78" s="401"/>
      <c r="X78" s="402"/>
      <c r="Y78" s="198"/>
      <c r="Z78" s="219"/>
      <c r="AA78" s="401"/>
      <c r="AB78" s="402"/>
      <c r="AC78" s="198"/>
      <c r="AD78" s="219"/>
      <c r="AE78" s="401"/>
      <c r="AF78" s="402"/>
      <c r="AG78" s="198"/>
      <c r="AH78" s="219"/>
      <c r="AI78" s="401"/>
      <c r="AJ78" s="402"/>
      <c r="AK78" s="397"/>
      <c r="AL78" s="397"/>
      <c r="AM78" s="397"/>
    </row>
    <row r="79">
      <c r="A79" s="314"/>
      <c r="B79" s="315"/>
      <c r="C79" s="316"/>
      <c r="D79" s="397"/>
      <c r="E79" s="314"/>
      <c r="F79" s="315"/>
      <c r="G79" s="316"/>
      <c r="H79" s="397"/>
      <c r="I79" s="314"/>
      <c r="J79" s="315"/>
      <c r="K79" s="316"/>
      <c r="L79" s="397"/>
      <c r="M79" s="314"/>
      <c r="N79" s="315"/>
      <c r="O79" s="316"/>
      <c r="P79" s="397"/>
      <c r="Q79" s="198"/>
      <c r="R79" s="219"/>
      <c r="S79" s="401"/>
      <c r="T79" s="402"/>
      <c r="U79" s="198"/>
      <c r="V79" s="219"/>
      <c r="W79" s="401"/>
      <c r="X79" s="402"/>
      <c r="Y79" s="198"/>
      <c r="Z79" s="219"/>
      <c r="AA79" s="401"/>
      <c r="AB79" s="402"/>
      <c r="AC79" s="198"/>
      <c r="AD79" s="219"/>
      <c r="AE79" s="401"/>
      <c r="AF79" s="402"/>
      <c r="AG79" s="198"/>
      <c r="AH79" s="219"/>
      <c r="AI79" s="401"/>
      <c r="AJ79" s="402"/>
      <c r="AK79" s="397"/>
      <c r="AL79" s="397"/>
      <c r="AM79" s="397"/>
    </row>
    <row r="80">
      <c r="A80" s="314"/>
      <c r="B80" s="315"/>
      <c r="C80" s="316"/>
      <c r="D80" s="397"/>
      <c r="E80" s="314"/>
      <c r="F80" s="315"/>
      <c r="G80" s="316"/>
      <c r="H80" s="397"/>
      <c r="I80" s="314"/>
      <c r="J80" s="315"/>
      <c r="K80" s="316"/>
      <c r="L80" s="397"/>
      <c r="M80" s="314"/>
      <c r="N80" s="315"/>
      <c r="O80" s="316"/>
      <c r="P80" s="397"/>
      <c r="Q80" s="198"/>
      <c r="R80" s="219"/>
      <c r="S80" s="401"/>
      <c r="T80" s="402"/>
      <c r="U80" s="198"/>
      <c r="V80" s="219"/>
      <c r="W80" s="401"/>
      <c r="X80" s="402"/>
      <c r="Y80" s="198"/>
      <c r="Z80" s="219"/>
      <c r="AA80" s="401"/>
      <c r="AB80" s="402"/>
      <c r="AC80" s="198"/>
      <c r="AD80" s="219"/>
      <c r="AE80" s="401"/>
      <c r="AF80" s="402"/>
      <c r="AG80" s="198"/>
      <c r="AH80" s="219"/>
      <c r="AI80" s="401"/>
      <c r="AJ80" s="402"/>
      <c r="AK80" s="397"/>
      <c r="AL80" s="397"/>
      <c r="AM80" s="397"/>
    </row>
    <row r="81">
      <c r="A81" s="314"/>
      <c r="B81" s="315"/>
      <c r="C81" s="316"/>
      <c r="D81" s="397"/>
      <c r="E81" s="314"/>
      <c r="F81" s="315"/>
      <c r="G81" s="316"/>
      <c r="H81" s="397"/>
      <c r="I81" s="314"/>
      <c r="J81" s="315"/>
      <c r="K81" s="316"/>
      <c r="L81" s="397"/>
      <c r="M81" s="314"/>
      <c r="N81" s="315"/>
      <c r="O81" s="316"/>
      <c r="P81" s="397"/>
      <c r="Q81" s="198"/>
      <c r="R81" s="219"/>
      <c r="S81" s="401"/>
      <c r="T81" s="402"/>
      <c r="U81" s="198"/>
      <c r="V81" s="219"/>
      <c r="W81" s="401"/>
      <c r="X81" s="402"/>
      <c r="Y81" s="198"/>
      <c r="Z81" s="219"/>
      <c r="AA81" s="401"/>
      <c r="AB81" s="402"/>
      <c r="AC81" s="198"/>
      <c r="AD81" s="219"/>
      <c r="AE81" s="401"/>
      <c r="AF81" s="402"/>
      <c r="AG81" s="198"/>
      <c r="AH81" s="219"/>
      <c r="AI81" s="401"/>
      <c r="AJ81" s="402"/>
      <c r="AK81" s="397"/>
      <c r="AL81" s="397"/>
      <c r="AM81" s="397"/>
    </row>
    <row r="82">
      <c r="A82" s="314"/>
      <c r="B82" s="315"/>
      <c r="C82" s="316"/>
      <c r="D82" s="397"/>
      <c r="E82" s="314"/>
      <c r="F82" s="315"/>
      <c r="G82" s="316"/>
      <c r="H82" s="397"/>
      <c r="I82" s="314"/>
      <c r="J82" s="315"/>
      <c r="K82" s="316"/>
      <c r="L82" s="397"/>
      <c r="M82" s="314"/>
      <c r="N82" s="315"/>
      <c r="O82" s="316"/>
      <c r="P82" s="397"/>
      <c r="Q82" s="198"/>
      <c r="R82" s="219"/>
      <c r="S82" s="401"/>
      <c r="T82" s="402"/>
      <c r="U82" s="198"/>
      <c r="V82" s="219"/>
      <c r="W82" s="401"/>
      <c r="X82" s="402"/>
      <c r="Y82" s="198"/>
      <c r="Z82" s="219"/>
      <c r="AA82" s="401"/>
      <c r="AB82" s="402"/>
      <c r="AC82" s="198"/>
      <c r="AD82" s="219"/>
      <c r="AE82" s="401"/>
      <c r="AF82" s="402"/>
      <c r="AG82" s="198"/>
      <c r="AH82" s="219"/>
      <c r="AI82" s="401"/>
      <c r="AJ82" s="402"/>
      <c r="AK82" s="397"/>
      <c r="AL82" s="397"/>
      <c r="AM82" s="397"/>
    </row>
    <row r="83">
      <c r="A83" s="314"/>
      <c r="B83" s="315"/>
      <c r="C83" s="316"/>
      <c r="D83" s="397"/>
      <c r="E83" s="314"/>
      <c r="F83" s="315"/>
      <c r="G83" s="316"/>
      <c r="H83" s="397"/>
      <c r="I83" s="314"/>
      <c r="J83" s="315"/>
      <c r="K83" s="316"/>
      <c r="L83" s="397"/>
      <c r="M83" s="314"/>
      <c r="N83" s="315"/>
      <c r="O83" s="316"/>
      <c r="P83" s="397"/>
      <c r="Q83" s="198"/>
      <c r="R83" s="219"/>
      <c r="S83" s="401"/>
      <c r="T83" s="402"/>
      <c r="U83" s="198"/>
      <c r="V83" s="219"/>
      <c r="W83" s="401"/>
      <c r="X83" s="402"/>
      <c r="Y83" s="198"/>
      <c r="Z83" s="219"/>
      <c r="AA83" s="401"/>
      <c r="AB83" s="402"/>
      <c r="AC83" s="198"/>
      <c r="AD83" s="219"/>
      <c r="AE83" s="401"/>
      <c r="AF83" s="402"/>
      <c r="AG83" s="198"/>
      <c r="AH83" s="219"/>
      <c r="AI83" s="401"/>
      <c r="AJ83" s="402"/>
      <c r="AK83" s="397"/>
      <c r="AL83" s="397"/>
      <c r="AM83" s="397"/>
    </row>
    <row r="84">
      <c r="A84" s="314"/>
      <c r="B84" s="315"/>
      <c r="C84" s="316"/>
      <c r="D84" s="397"/>
      <c r="E84" s="314"/>
      <c r="F84" s="315"/>
      <c r="G84" s="316"/>
      <c r="H84" s="397"/>
      <c r="I84" s="314"/>
      <c r="J84" s="315"/>
      <c r="K84" s="316"/>
      <c r="L84" s="397"/>
      <c r="M84" s="314"/>
      <c r="N84" s="315"/>
      <c r="O84" s="316"/>
      <c r="P84" s="397"/>
      <c r="Q84" s="198"/>
      <c r="R84" s="219"/>
      <c r="S84" s="401"/>
      <c r="T84" s="402"/>
      <c r="U84" s="198"/>
      <c r="V84" s="219"/>
      <c r="W84" s="401"/>
      <c r="X84" s="402"/>
      <c r="Y84" s="198"/>
      <c r="Z84" s="219"/>
      <c r="AA84" s="401"/>
      <c r="AB84" s="402"/>
      <c r="AC84" s="198"/>
      <c r="AD84" s="219"/>
      <c r="AE84" s="401"/>
      <c r="AF84" s="402"/>
      <c r="AG84" s="198"/>
      <c r="AH84" s="219"/>
      <c r="AI84" s="401"/>
      <c r="AJ84" s="402"/>
      <c r="AK84" s="397"/>
      <c r="AL84" s="397"/>
      <c r="AM84" s="397"/>
    </row>
    <row r="85">
      <c r="A85" s="314"/>
      <c r="B85" s="315"/>
      <c r="C85" s="316"/>
      <c r="D85" s="397"/>
      <c r="E85" s="314"/>
      <c r="F85" s="315"/>
      <c r="G85" s="316"/>
      <c r="H85" s="397"/>
      <c r="I85" s="314"/>
      <c r="J85" s="315"/>
      <c r="K85" s="316"/>
      <c r="L85" s="397"/>
      <c r="M85" s="314"/>
      <c r="N85" s="315"/>
      <c r="O85" s="316"/>
      <c r="P85" s="397"/>
      <c r="Q85" s="198"/>
      <c r="R85" s="219"/>
      <c r="S85" s="401"/>
      <c r="T85" s="402"/>
      <c r="U85" s="198"/>
      <c r="V85" s="219"/>
      <c r="W85" s="401"/>
      <c r="X85" s="402"/>
      <c r="Y85" s="198"/>
      <c r="Z85" s="219"/>
      <c r="AA85" s="401"/>
      <c r="AB85" s="402"/>
      <c r="AC85" s="198"/>
      <c r="AD85" s="219"/>
      <c r="AE85" s="401"/>
      <c r="AF85" s="402"/>
      <c r="AG85" s="198"/>
      <c r="AH85" s="219"/>
      <c r="AI85" s="401"/>
      <c r="AJ85" s="402"/>
      <c r="AK85" s="397"/>
      <c r="AL85" s="397"/>
      <c r="AM85" s="397"/>
    </row>
    <row r="86">
      <c r="A86" s="314"/>
      <c r="B86" s="315"/>
      <c r="C86" s="316"/>
      <c r="D86" s="397"/>
      <c r="E86" s="314"/>
      <c r="F86" s="315"/>
      <c r="G86" s="316"/>
      <c r="H86" s="397"/>
      <c r="I86" s="314"/>
      <c r="J86" s="315"/>
      <c r="K86" s="316"/>
      <c r="L86" s="397"/>
      <c r="M86" s="314"/>
      <c r="N86" s="315"/>
      <c r="O86" s="316"/>
      <c r="P86" s="397"/>
      <c r="Q86" s="198"/>
      <c r="R86" s="219"/>
      <c r="S86" s="401"/>
      <c r="T86" s="402"/>
      <c r="U86" s="198"/>
      <c r="V86" s="219"/>
      <c r="W86" s="401"/>
      <c r="X86" s="402"/>
      <c r="Y86" s="198"/>
      <c r="Z86" s="219"/>
      <c r="AA86" s="401"/>
      <c r="AB86" s="402"/>
      <c r="AC86" s="198"/>
      <c r="AD86" s="219"/>
      <c r="AE86" s="401"/>
      <c r="AF86" s="402"/>
      <c r="AG86" s="198"/>
      <c r="AH86" s="219"/>
      <c r="AI86" s="401"/>
      <c r="AJ86" s="402"/>
      <c r="AK86" s="397"/>
      <c r="AL86" s="397"/>
      <c r="AM86" s="397"/>
    </row>
    <row r="87">
      <c r="A87" s="314"/>
      <c r="B87" s="315"/>
      <c r="C87" s="316"/>
      <c r="D87" s="397"/>
      <c r="E87" s="314"/>
      <c r="F87" s="315"/>
      <c r="G87" s="316"/>
      <c r="H87" s="397"/>
      <c r="I87" s="314"/>
      <c r="J87" s="315"/>
      <c r="K87" s="316"/>
      <c r="L87" s="397"/>
      <c r="M87" s="314"/>
      <c r="N87" s="315"/>
      <c r="O87" s="316"/>
      <c r="P87" s="397"/>
      <c r="Q87" s="198"/>
      <c r="R87" s="219"/>
      <c r="S87" s="401"/>
      <c r="T87" s="402"/>
      <c r="U87" s="198"/>
      <c r="V87" s="219"/>
      <c r="W87" s="401"/>
      <c r="X87" s="402"/>
      <c r="Y87" s="198"/>
      <c r="Z87" s="219"/>
      <c r="AA87" s="401"/>
      <c r="AB87" s="402"/>
      <c r="AC87" s="198"/>
      <c r="AD87" s="219"/>
      <c r="AE87" s="401"/>
      <c r="AF87" s="402"/>
      <c r="AG87" s="198"/>
      <c r="AH87" s="219"/>
      <c r="AI87" s="401"/>
      <c r="AJ87" s="402"/>
      <c r="AK87" s="397"/>
      <c r="AL87" s="397"/>
      <c r="AM87" s="397"/>
    </row>
    <row r="88">
      <c r="A88" s="314"/>
      <c r="B88" s="315"/>
      <c r="C88" s="316"/>
      <c r="D88" s="397"/>
      <c r="E88" s="314"/>
      <c r="F88" s="315"/>
      <c r="G88" s="316"/>
      <c r="H88" s="397"/>
      <c r="I88" s="314"/>
      <c r="J88" s="315"/>
      <c r="K88" s="316"/>
      <c r="L88" s="397"/>
      <c r="M88" s="314"/>
      <c r="N88" s="315"/>
      <c r="O88" s="316"/>
      <c r="P88" s="397"/>
      <c r="Q88" s="198"/>
      <c r="R88" s="219"/>
      <c r="S88" s="401"/>
      <c r="T88" s="402"/>
      <c r="U88" s="198"/>
      <c r="V88" s="219"/>
      <c r="W88" s="401"/>
      <c r="X88" s="402"/>
      <c r="Y88" s="198"/>
      <c r="Z88" s="219"/>
      <c r="AA88" s="401"/>
      <c r="AB88" s="402"/>
      <c r="AC88" s="198"/>
      <c r="AD88" s="219"/>
      <c r="AE88" s="401"/>
      <c r="AF88" s="402"/>
      <c r="AG88" s="198"/>
      <c r="AH88" s="219"/>
      <c r="AI88" s="401"/>
      <c r="AJ88" s="402"/>
      <c r="AK88" s="397"/>
      <c r="AL88" s="397"/>
      <c r="AM88" s="397"/>
    </row>
    <row r="89">
      <c r="A89" s="314"/>
      <c r="B89" s="315"/>
      <c r="C89" s="316"/>
      <c r="D89" s="397"/>
      <c r="E89" s="314"/>
      <c r="F89" s="315"/>
      <c r="G89" s="316"/>
      <c r="H89" s="397"/>
      <c r="I89" s="314"/>
      <c r="J89" s="315"/>
      <c r="K89" s="316"/>
      <c r="L89" s="397"/>
      <c r="M89" s="314"/>
      <c r="N89" s="315"/>
      <c r="O89" s="316"/>
      <c r="P89" s="397"/>
      <c r="Q89" s="198"/>
      <c r="R89" s="219"/>
      <c r="S89" s="401"/>
      <c r="T89" s="402"/>
      <c r="U89" s="198"/>
      <c r="V89" s="219"/>
      <c r="W89" s="401"/>
      <c r="X89" s="402"/>
      <c r="Y89" s="198"/>
      <c r="Z89" s="219"/>
      <c r="AA89" s="401"/>
      <c r="AB89" s="402"/>
      <c r="AC89" s="198"/>
      <c r="AD89" s="219"/>
      <c r="AE89" s="401"/>
      <c r="AF89" s="402"/>
      <c r="AG89" s="198"/>
      <c r="AH89" s="219"/>
      <c r="AI89" s="401"/>
      <c r="AJ89" s="402"/>
      <c r="AK89" s="397"/>
      <c r="AL89" s="397"/>
      <c r="AM89" s="397"/>
    </row>
    <row r="90">
      <c r="A90" s="314"/>
      <c r="B90" s="315"/>
      <c r="C90" s="316"/>
      <c r="D90" s="397"/>
      <c r="E90" s="314"/>
      <c r="F90" s="315"/>
      <c r="G90" s="316"/>
      <c r="H90" s="397"/>
      <c r="I90" s="314"/>
      <c r="J90" s="315"/>
      <c r="K90" s="316"/>
      <c r="L90" s="397"/>
      <c r="M90" s="314"/>
      <c r="N90" s="315"/>
      <c r="O90" s="316"/>
      <c r="P90" s="397"/>
      <c r="Q90" s="198"/>
      <c r="R90" s="219"/>
      <c r="S90" s="401"/>
      <c r="T90" s="402"/>
      <c r="U90" s="198"/>
      <c r="V90" s="219"/>
      <c r="W90" s="401"/>
      <c r="X90" s="402"/>
      <c r="Y90" s="198"/>
      <c r="Z90" s="219"/>
      <c r="AA90" s="401"/>
      <c r="AB90" s="402"/>
      <c r="AC90" s="198"/>
      <c r="AD90" s="219"/>
      <c r="AE90" s="401"/>
      <c r="AF90" s="402"/>
      <c r="AG90" s="198"/>
      <c r="AH90" s="219"/>
      <c r="AI90" s="401"/>
      <c r="AJ90" s="402"/>
      <c r="AK90" s="397"/>
      <c r="AL90" s="397"/>
      <c r="AM90" s="397"/>
    </row>
    <row r="91">
      <c r="A91" s="314"/>
      <c r="B91" s="315"/>
      <c r="C91" s="316"/>
      <c r="D91" s="397"/>
      <c r="E91" s="314"/>
      <c r="F91" s="315"/>
      <c r="G91" s="316"/>
      <c r="H91" s="397"/>
      <c r="I91" s="314"/>
      <c r="J91" s="315"/>
      <c r="K91" s="316"/>
      <c r="L91" s="397"/>
      <c r="M91" s="314"/>
      <c r="N91" s="315"/>
      <c r="O91" s="316"/>
      <c r="P91" s="397"/>
      <c r="Q91" s="198"/>
      <c r="R91" s="219"/>
      <c r="S91" s="401"/>
      <c r="T91" s="402"/>
      <c r="U91" s="198"/>
      <c r="V91" s="219"/>
      <c r="W91" s="401"/>
      <c r="X91" s="402"/>
      <c r="Y91" s="198"/>
      <c r="Z91" s="219"/>
      <c r="AA91" s="401"/>
      <c r="AB91" s="402"/>
      <c r="AC91" s="198"/>
      <c r="AD91" s="219"/>
      <c r="AE91" s="401"/>
      <c r="AF91" s="402"/>
      <c r="AG91" s="198"/>
      <c r="AH91" s="219"/>
      <c r="AI91" s="401"/>
      <c r="AJ91" s="402"/>
      <c r="AK91" s="397"/>
      <c r="AL91" s="397"/>
      <c r="AM91" s="397"/>
    </row>
    <row r="92">
      <c r="A92" s="314"/>
      <c r="B92" s="315"/>
      <c r="C92" s="316"/>
      <c r="D92" s="397"/>
      <c r="E92" s="314"/>
      <c r="F92" s="315"/>
      <c r="G92" s="316"/>
      <c r="H92" s="397"/>
      <c r="I92" s="314"/>
      <c r="J92" s="315"/>
      <c r="K92" s="316"/>
      <c r="L92" s="397"/>
      <c r="M92" s="314"/>
      <c r="N92" s="315"/>
      <c r="O92" s="316"/>
      <c r="P92" s="397"/>
      <c r="Q92" s="198"/>
      <c r="R92" s="219"/>
      <c r="S92" s="401"/>
      <c r="T92" s="402"/>
      <c r="U92" s="198"/>
      <c r="V92" s="219"/>
      <c r="W92" s="401"/>
      <c r="X92" s="402"/>
      <c r="Y92" s="198"/>
      <c r="Z92" s="219"/>
      <c r="AA92" s="401"/>
      <c r="AB92" s="402"/>
      <c r="AC92" s="198"/>
      <c r="AD92" s="219"/>
      <c r="AE92" s="401"/>
      <c r="AF92" s="402"/>
      <c r="AG92" s="198"/>
      <c r="AH92" s="219"/>
      <c r="AI92" s="401"/>
      <c r="AJ92" s="402"/>
      <c r="AK92" s="397"/>
      <c r="AL92" s="397"/>
      <c r="AM92" s="397"/>
    </row>
    <row r="93">
      <c r="A93" s="314"/>
      <c r="B93" s="315"/>
      <c r="C93" s="316"/>
      <c r="D93" s="397"/>
      <c r="E93" s="314"/>
      <c r="F93" s="315"/>
      <c r="G93" s="316"/>
      <c r="H93" s="397"/>
      <c r="I93" s="314"/>
      <c r="J93" s="315"/>
      <c r="K93" s="316"/>
      <c r="L93" s="397"/>
      <c r="M93" s="314"/>
      <c r="N93" s="315"/>
      <c r="O93" s="316"/>
      <c r="P93" s="397"/>
      <c r="Q93" s="198"/>
      <c r="R93" s="219"/>
      <c r="S93" s="401"/>
      <c r="T93" s="402"/>
      <c r="U93" s="198"/>
      <c r="V93" s="219"/>
      <c r="W93" s="401"/>
      <c r="X93" s="402"/>
      <c r="Y93" s="198"/>
      <c r="Z93" s="219"/>
      <c r="AA93" s="401"/>
      <c r="AB93" s="402"/>
      <c r="AC93" s="198"/>
      <c r="AD93" s="219"/>
      <c r="AE93" s="401"/>
      <c r="AF93" s="402"/>
      <c r="AG93" s="198"/>
      <c r="AH93" s="219"/>
      <c r="AI93" s="401"/>
      <c r="AJ93" s="402"/>
      <c r="AK93" s="397"/>
      <c r="AL93" s="397"/>
      <c r="AM93" s="397"/>
    </row>
    <row r="94">
      <c r="A94" s="314"/>
      <c r="B94" s="315"/>
      <c r="C94" s="316"/>
      <c r="D94" s="397"/>
      <c r="E94" s="314"/>
      <c r="F94" s="315"/>
      <c r="G94" s="316"/>
      <c r="H94" s="397"/>
      <c r="I94" s="314"/>
      <c r="J94" s="315"/>
      <c r="K94" s="316"/>
      <c r="L94" s="397"/>
      <c r="M94" s="314"/>
      <c r="N94" s="315"/>
      <c r="O94" s="316"/>
      <c r="P94" s="397"/>
      <c r="Q94" s="198"/>
      <c r="R94" s="219"/>
      <c r="S94" s="401"/>
      <c r="T94" s="402"/>
      <c r="U94" s="198"/>
      <c r="V94" s="219"/>
      <c r="W94" s="401"/>
      <c r="X94" s="402"/>
      <c r="Y94" s="198"/>
      <c r="Z94" s="219"/>
      <c r="AA94" s="401"/>
      <c r="AB94" s="402"/>
      <c r="AC94" s="198"/>
      <c r="AD94" s="219"/>
      <c r="AE94" s="401"/>
      <c r="AF94" s="402"/>
      <c r="AG94" s="198"/>
      <c r="AH94" s="219"/>
      <c r="AI94" s="401"/>
      <c r="AJ94" s="402"/>
      <c r="AK94" s="397"/>
      <c r="AL94" s="397"/>
      <c r="AM94" s="397"/>
    </row>
    <row r="95">
      <c r="A95" s="314"/>
      <c r="B95" s="315"/>
      <c r="C95" s="316"/>
      <c r="D95" s="397"/>
      <c r="E95" s="314"/>
      <c r="F95" s="315"/>
      <c r="G95" s="316"/>
      <c r="H95" s="397"/>
      <c r="I95" s="314"/>
      <c r="J95" s="315"/>
      <c r="K95" s="316"/>
      <c r="L95" s="397"/>
      <c r="M95" s="314"/>
      <c r="N95" s="315"/>
      <c r="O95" s="316"/>
      <c r="P95" s="397"/>
      <c r="Q95" s="198"/>
      <c r="R95" s="219"/>
      <c r="S95" s="401"/>
      <c r="T95" s="402"/>
      <c r="U95" s="198"/>
      <c r="V95" s="219"/>
      <c r="W95" s="401"/>
      <c r="X95" s="402"/>
      <c r="Y95" s="198"/>
      <c r="Z95" s="219"/>
      <c r="AA95" s="401"/>
      <c r="AB95" s="402"/>
      <c r="AC95" s="198"/>
      <c r="AD95" s="219"/>
      <c r="AE95" s="401"/>
      <c r="AF95" s="402"/>
      <c r="AG95" s="198"/>
      <c r="AH95" s="219"/>
      <c r="AI95" s="401"/>
      <c r="AJ95" s="402"/>
      <c r="AK95" s="397"/>
      <c r="AL95" s="397"/>
      <c r="AM95" s="397"/>
    </row>
    <row r="96">
      <c r="A96" s="314"/>
      <c r="B96" s="315"/>
      <c r="C96" s="316"/>
      <c r="D96" s="397"/>
      <c r="E96" s="314"/>
      <c r="F96" s="315"/>
      <c r="G96" s="316"/>
      <c r="H96" s="397"/>
      <c r="I96" s="314"/>
      <c r="J96" s="315"/>
      <c r="K96" s="316"/>
      <c r="L96" s="397"/>
      <c r="M96" s="314"/>
      <c r="N96" s="315"/>
      <c r="O96" s="316"/>
      <c r="P96" s="397"/>
      <c r="Q96" s="198"/>
      <c r="R96" s="219"/>
      <c r="S96" s="401"/>
      <c r="T96" s="402"/>
      <c r="U96" s="198"/>
      <c r="V96" s="219"/>
      <c r="W96" s="401"/>
      <c r="X96" s="402"/>
      <c r="Y96" s="198"/>
      <c r="Z96" s="219"/>
      <c r="AA96" s="401"/>
      <c r="AB96" s="402"/>
      <c r="AC96" s="198"/>
      <c r="AD96" s="219"/>
      <c r="AE96" s="401"/>
      <c r="AF96" s="402"/>
      <c r="AG96" s="198"/>
      <c r="AH96" s="219"/>
      <c r="AI96" s="401"/>
      <c r="AJ96" s="402"/>
      <c r="AK96" s="397"/>
      <c r="AL96" s="397"/>
      <c r="AM96" s="397"/>
    </row>
    <row r="97">
      <c r="A97" s="314"/>
      <c r="B97" s="315"/>
      <c r="C97" s="316"/>
      <c r="D97" s="397"/>
      <c r="E97" s="314"/>
      <c r="F97" s="315"/>
      <c r="G97" s="316"/>
      <c r="H97" s="397"/>
      <c r="I97" s="314"/>
      <c r="J97" s="315"/>
      <c r="K97" s="316"/>
      <c r="L97" s="397"/>
      <c r="M97" s="314"/>
      <c r="N97" s="315"/>
      <c r="O97" s="316"/>
      <c r="P97" s="397"/>
      <c r="Q97" s="198"/>
      <c r="R97" s="219"/>
      <c r="S97" s="401"/>
      <c r="T97" s="402"/>
      <c r="U97" s="198"/>
      <c r="V97" s="219"/>
      <c r="W97" s="401"/>
      <c r="X97" s="402"/>
      <c r="Y97" s="198"/>
      <c r="Z97" s="219"/>
      <c r="AA97" s="401"/>
      <c r="AB97" s="402"/>
      <c r="AC97" s="198"/>
      <c r="AD97" s="219"/>
      <c r="AE97" s="401"/>
      <c r="AF97" s="402"/>
      <c r="AG97" s="198"/>
      <c r="AH97" s="219"/>
      <c r="AI97" s="401"/>
      <c r="AJ97" s="402"/>
      <c r="AK97" s="397"/>
      <c r="AL97" s="397"/>
      <c r="AM97" s="397"/>
    </row>
    <row r="98">
      <c r="A98" s="314"/>
      <c r="B98" s="315"/>
      <c r="C98" s="316"/>
      <c r="D98" s="397"/>
      <c r="E98" s="314"/>
      <c r="F98" s="315"/>
      <c r="G98" s="316"/>
      <c r="H98" s="397"/>
      <c r="I98" s="314"/>
      <c r="J98" s="315"/>
      <c r="K98" s="316"/>
      <c r="L98" s="397"/>
      <c r="M98" s="314"/>
      <c r="N98" s="315"/>
      <c r="O98" s="316"/>
      <c r="P98" s="397"/>
      <c r="Q98" s="198"/>
      <c r="R98" s="219"/>
      <c r="S98" s="401"/>
      <c r="T98" s="402"/>
      <c r="U98" s="198"/>
      <c r="V98" s="219"/>
      <c r="W98" s="401"/>
      <c r="X98" s="402"/>
      <c r="Y98" s="198"/>
      <c r="Z98" s="219"/>
      <c r="AA98" s="401"/>
      <c r="AB98" s="402"/>
      <c r="AC98" s="198"/>
      <c r="AD98" s="219"/>
      <c r="AE98" s="401"/>
      <c r="AF98" s="402"/>
      <c r="AG98" s="198"/>
      <c r="AH98" s="219"/>
      <c r="AI98" s="401"/>
      <c r="AJ98" s="402"/>
      <c r="AK98" s="397"/>
      <c r="AL98" s="397"/>
      <c r="AM98" s="397"/>
    </row>
    <row r="99">
      <c r="A99" s="314"/>
      <c r="B99" s="315"/>
      <c r="C99" s="316"/>
      <c r="D99" s="397"/>
      <c r="E99" s="314"/>
      <c r="F99" s="315"/>
      <c r="G99" s="316"/>
      <c r="H99" s="397"/>
      <c r="I99" s="314"/>
      <c r="J99" s="315"/>
      <c r="K99" s="316"/>
      <c r="L99" s="397"/>
      <c r="M99" s="314"/>
      <c r="N99" s="315"/>
      <c r="O99" s="316"/>
      <c r="P99" s="397"/>
      <c r="Q99" s="198"/>
      <c r="R99" s="219"/>
      <c r="S99" s="401"/>
      <c r="T99" s="402"/>
      <c r="U99" s="198"/>
      <c r="V99" s="219"/>
      <c r="W99" s="401"/>
      <c r="X99" s="402"/>
      <c r="Y99" s="198"/>
      <c r="Z99" s="219"/>
      <c r="AA99" s="401"/>
      <c r="AB99" s="402"/>
      <c r="AC99" s="198"/>
      <c r="AD99" s="219"/>
      <c r="AE99" s="401"/>
      <c r="AF99" s="402"/>
      <c r="AG99" s="198"/>
      <c r="AH99" s="219"/>
      <c r="AI99" s="401"/>
      <c r="AJ99" s="402"/>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1"/>
      <c r="T1003" s="402"/>
      <c r="U1003" s="198"/>
      <c r="V1003" s="219"/>
      <c r="W1003" s="401"/>
      <c r="X1003" s="402"/>
      <c r="Y1003" s="198"/>
      <c r="Z1003" s="219"/>
      <c r="AA1003" s="401"/>
      <c r="AB1003" s="402"/>
      <c r="AC1003" s="198"/>
      <c r="AD1003" s="219"/>
      <c r="AE1003" s="401"/>
      <c r="AF1003" s="402"/>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1"/>
      <c r="T1004" s="402"/>
      <c r="U1004" s="198"/>
      <c r="V1004" s="219"/>
      <c r="W1004" s="401"/>
      <c r="X1004" s="402"/>
      <c r="Y1004" s="198"/>
      <c r="Z1004" s="219"/>
      <c r="AA1004" s="401"/>
      <c r="AB1004" s="402"/>
      <c r="AC1004" s="198"/>
      <c r="AD1004" s="219"/>
      <c r="AE1004" s="401"/>
      <c r="AF1004" s="402"/>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1"/>
      <c r="T1005" s="402"/>
      <c r="U1005" s="198"/>
      <c r="V1005" s="219"/>
      <c r="W1005" s="401"/>
      <c r="X1005" s="402"/>
      <c r="Y1005" s="198"/>
      <c r="Z1005" s="219"/>
      <c r="AA1005" s="401"/>
      <c r="AB1005" s="402"/>
      <c r="AC1005" s="198"/>
      <c r="AD1005" s="219"/>
      <c r="AE1005" s="401"/>
      <c r="AF1005" s="402"/>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1"/>
      <c r="T1006" s="402"/>
      <c r="U1006" s="198"/>
      <c r="V1006" s="219"/>
      <c r="W1006" s="401"/>
      <c r="X1006" s="402"/>
      <c r="Y1006" s="198"/>
      <c r="Z1006" s="219"/>
      <c r="AA1006" s="401"/>
      <c r="AB1006" s="402"/>
      <c r="AC1006" s="198"/>
      <c r="AD1006" s="219"/>
      <c r="AE1006" s="401"/>
      <c r="AF1006" s="402"/>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1"/>
      <c r="T1007" s="402"/>
      <c r="U1007" s="198"/>
      <c r="V1007" s="219"/>
      <c r="W1007" s="401"/>
      <c r="X1007" s="402"/>
      <c r="Y1007" s="198"/>
      <c r="Z1007" s="219"/>
      <c r="AA1007" s="401"/>
      <c r="AB1007" s="402"/>
      <c r="AC1007" s="198"/>
      <c r="AD1007" s="219"/>
      <c r="AE1007" s="401"/>
      <c r="AF1007" s="402"/>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1"/>
      <c r="T1008" s="402"/>
      <c r="U1008" s="198"/>
      <c r="V1008" s="219"/>
      <c r="W1008" s="401"/>
      <c r="X1008" s="402"/>
      <c r="Y1008" s="198"/>
      <c r="Z1008" s="219"/>
      <c r="AA1008" s="401"/>
      <c r="AB1008" s="402"/>
      <c r="AC1008" s="198"/>
      <c r="AD1008" s="219"/>
      <c r="AE1008" s="401"/>
      <c r="AF1008" s="402"/>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1"/>
      <c r="T1009" s="402"/>
      <c r="U1009" s="198"/>
      <c r="V1009" s="219"/>
      <c r="W1009" s="401"/>
      <c r="X1009" s="402"/>
      <c r="Y1009" s="198"/>
      <c r="Z1009" s="219"/>
      <c r="AA1009" s="401"/>
      <c r="AB1009" s="402"/>
      <c r="AC1009" s="198"/>
      <c r="AD1009" s="219"/>
      <c r="AE1009" s="401"/>
      <c r="AF1009" s="402"/>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1"/>
      <c r="T1010" s="402"/>
      <c r="U1010" s="198"/>
      <c r="V1010" s="219"/>
      <c r="W1010" s="401"/>
      <c r="X1010" s="402"/>
      <c r="Y1010" s="198"/>
      <c r="Z1010" s="219"/>
      <c r="AA1010" s="401"/>
      <c r="AB1010" s="402"/>
      <c r="AC1010" s="198"/>
      <c r="AD1010" s="219"/>
      <c r="AE1010" s="401"/>
      <c r="AF1010" s="402"/>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1"/>
      <c r="T1011" s="402"/>
      <c r="U1011" s="198"/>
      <c r="V1011" s="219"/>
      <c r="W1011" s="401"/>
      <c r="X1011" s="402"/>
      <c r="Y1011" s="198"/>
      <c r="Z1011" s="219"/>
      <c r="AA1011" s="401"/>
      <c r="AB1011" s="402"/>
      <c r="AC1011" s="198"/>
      <c r="AD1011" s="219"/>
      <c r="AE1011" s="401"/>
      <c r="AF1011" s="402"/>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1"/>
      <c r="T1012" s="402"/>
      <c r="U1012" s="198"/>
      <c r="V1012" s="219"/>
      <c r="W1012" s="401"/>
      <c r="X1012" s="402"/>
      <c r="Y1012" s="198"/>
      <c r="Z1012" s="219"/>
      <c r="AA1012" s="401"/>
      <c r="AB1012" s="402"/>
      <c r="AC1012" s="198"/>
      <c r="AD1012" s="219"/>
      <c r="AE1012" s="401"/>
      <c r="AF1012" s="402"/>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1"/>
      <c r="T1013" s="402"/>
      <c r="U1013" s="198"/>
      <c r="V1013" s="219"/>
      <c r="W1013" s="401"/>
      <c r="X1013" s="402"/>
      <c r="Y1013" s="198"/>
      <c r="Z1013" s="219"/>
      <c r="AA1013" s="401"/>
      <c r="AB1013" s="402"/>
      <c r="AC1013" s="198"/>
      <c r="AD1013" s="219"/>
      <c r="AE1013" s="401"/>
      <c r="AF1013" s="402"/>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1"/>
      <c r="T1014" s="402"/>
      <c r="U1014" s="198"/>
      <c r="V1014" s="219"/>
      <c r="W1014" s="401"/>
      <c r="X1014" s="402"/>
      <c r="Y1014" s="198"/>
      <c r="Z1014" s="219"/>
      <c r="AA1014" s="401"/>
      <c r="AB1014" s="402"/>
      <c r="AC1014" s="198"/>
      <c r="AD1014" s="219"/>
      <c r="AE1014" s="401"/>
      <c r="AF1014" s="402"/>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1"/>
      <c r="T1015" s="402"/>
      <c r="U1015" s="198"/>
      <c r="V1015" s="219"/>
      <c r="W1015" s="401"/>
      <c r="X1015" s="402"/>
      <c r="Y1015" s="198"/>
      <c r="Z1015" s="219"/>
      <c r="AA1015" s="401"/>
      <c r="AB1015" s="402"/>
      <c r="AC1015" s="198"/>
      <c r="AD1015" s="219"/>
      <c r="AE1015" s="401"/>
      <c r="AF1015" s="402"/>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1"/>
      <c r="T1016" s="402"/>
      <c r="U1016" s="198"/>
      <c r="V1016" s="219"/>
      <c r="W1016" s="401"/>
      <c r="X1016" s="402"/>
      <c r="Y1016" s="198"/>
      <c r="Z1016" s="219"/>
      <c r="AA1016" s="401"/>
      <c r="AB1016" s="402"/>
      <c r="AC1016" s="198"/>
      <c r="AD1016" s="219"/>
      <c r="AE1016" s="401"/>
      <c r="AF1016" s="402"/>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1"/>
      <c r="T1017" s="402"/>
      <c r="U1017" s="198"/>
      <c r="V1017" s="219"/>
      <c r="W1017" s="401"/>
      <c r="X1017" s="402"/>
      <c r="Y1017" s="198"/>
      <c r="Z1017" s="219"/>
      <c r="AA1017" s="401"/>
      <c r="AB1017" s="402"/>
      <c r="AC1017" s="198"/>
      <c r="AD1017" s="219"/>
      <c r="AE1017" s="401"/>
      <c r="AF1017" s="402"/>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1"/>
      <c r="T1018" s="402"/>
      <c r="U1018" s="198"/>
      <c r="V1018" s="219"/>
      <c r="W1018" s="401"/>
      <c r="X1018" s="402"/>
      <c r="Y1018" s="198"/>
      <c r="Z1018" s="219"/>
      <c r="AA1018" s="401"/>
      <c r="AB1018" s="402"/>
      <c r="AC1018" s="198"/>
      <c r="AD1018" s="219"/>
      <c r="AE1018" s="401"/>
      <c r="AF1018" s="402"/>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6990</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6991</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6992</v>
      </c>
      <c r="B3" s="30" t="s">
        <v>6992</v>
      </c>
      <c r="C3" s="412" t="s">
        <v>6992</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6993</v>
      </c>
      <c r="B5" s="30" t="str">
        <f>IFERROR(__xludf.DUMMYFUNCTION("GOOGLETRANSLATE(A5,""zh-tw"",""ja"")"),"公式YouTubeチャンネル")</f>
        <v>公式YouTubeチャンネル</v>
      </c>
      <c r="C5" s="412" t="str">
        <f>IFERROR(__xludf.DUMMYFUNCTION("GOOGLETRANSLATE(A5,""zh-tw"",""en"")"),"Official YouTube channel")</f>
        <v>Official YouTube channel</v>
      </c>
      <c r="D5" s="142" t="s">
        <v>6994</v>
      </c>
      <c r="E5" s="123"/>
      <c r="F5" s="123"/>
      <c r="G5" s="123"/>
      <c r="H5" s="123"/>
      <c r="I5" s="123"/>
      <c r="J5" s="123"/>
      <c r="K5" s="123"/>
      <c r="L5" s="123"/>
      <c r="M5" s="123"/>
      <c r="N5" s="123"/>
      <c r="O5" s="123"/>
      <c r="P5" s="123"/>
      <c r="Q5" s="123"/>
      <c r="R5" s="123"/>
      <c r="S5" s="123"/>
      <c r="T5" s="123"/>
      <c r="U5" s="123"/>
      <c r="V5" s="123"/>
      <c r="W5" s="123"/>
      <c r="X5" s="123"/>
      <c r="Y5" s="123"/>
      <c r="Z5" s="123"/>
    </row>
    <row r="6">
      <c r="A6" s="411" t="s">
        <v>6995</v>
      </c>
      <c r="B6" s="30" t="str">
        <f>IFERROR(__xludf.DUMMYFUNCTION("GOOGLETRANSLATE(A6,""zh-tw"",""ja"")"),"公式法案")</f>
        <v>公式法案</v>
      </c>
      <c r="C6" s="412" t="str">
        <f>IFERROR(__xludf.DUMMYFUNCTION("GOOGLETRANSLATE(A6,""zh-tw"",""en"")"),"Official bill")</f>
        <v>Official bill</v>
      </c>
      <c r="D6" s="142" t="s">
        <v>6994</v>
      </c>
      <c r="E6" s="123"/>
      <c r="F6" s="123"/>
      <c r="G6" s="123"/>
      <c r="H6" s="123"/>
      <c r="I6" s="123"/>
      <c r="J6" s="123"/>
      <c r="K6" s="123"/>
      <c r="L6" s="123"/>
      <c r="M6" s="123"/>
      <c r="N6" s="123"/>
      <c r="O6" s="123"/>
      <c r="P6" s="123"/>
      <c r="Q6" s="123"/>
      <c r="R6" s="123"/>
      <c r="S6" s="123"/>
      <c r="T6" s="123"/>
      <c r="U6" s="123"/>
      <c r="V6" s="123"/>
      <c r="W6" s="123"/>
      <c r="X6" s="123"/>
      <c r="Y6" s="123"/>
      <c r="Z6" s="123"/>
    </row>
    <row r="7">
      <c r="A7" s="411" t="s">
        <v>6996</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6997</v>
      </c>
      <c r="E7" s="123"/>
      <c r="F7" s="123"/>
      <c r="G7" s="123"/>
      <c r="H7" s="123"/>
      <c r="I7" s="123"/>
      <c r="J7" s="123"/>
      <c r="K7" s="123"/>
      <c r="L7" s="123"/>
      <c r="M7" s="123"/>
      <c r="N7" s="123"/>
      <c r="O7" s="123"/>
      <c r="P7" s="123"/>
      <c r="Q7" s="123"/>
      <c r="R7" s="123"/>
      <c r="S7" s="123"/>
      <c r="T7" s="123"/>
      <c r="U7" s="123"/>
      <c r="V7" s="123"/>
      <c r="W7" s="123"/>
      <c r="X7" s="123"/>
      <c r="Y7" s="123"/>
      <c r="Z7" s="123"/>
    </row>
    <row r="8">
      <c r="A8" s="411" t="s">
        <v>6998</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6997</v>
      </c>
      <c r="E8" s="123"/>
      <c r="F8" s="123"/>
      <c r="G8" s="123"/>
      <c r="H8" s="123"/>
      <c r="I8" s="123"/>
      <c r="J8" s="123"/>
      <c r="K8" s="123"/>
      <c r="L8" s="123"/>
      <c r="M8" s="123"/>
      <c r="N8" s="123"/>
      <c r="O8" s="123"/>
      <c r="P8" s="123"/>
      <c r="Q8" s="123"/>
      <c r="R8" s="123"/>
      <c r="S8" s="123"/>
      <c r="T8" s="123"/>
      <c r="U8" s="123"/>
      <c r="V8" s="123"/>
      <c r="W8" s="123"/>
      <c r="X8" s="123"/>
      <c r="Y8" s="123"/>
      <c r="Z8" s="123"/>
    </row>
    <row r="9">
      <c r="A9" s="411" t="s">
        <v>6999</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7000</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7001</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7002</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7003</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7004</v>
      </c>
      <c r="G1" s="425"/>
      <c r="H1" s="425"/>
      <c r="I1" s="425"/>
      <c r="J1" s="425"/>
      <c r="K1" s="425"/>
      <c r="L1" s="425"/>
      <c r="M1" s="425"/>
      <c r="N1" s="425"/>
      <c r="O1" s="425"/>
      <c r="P1" s="425"/>
      <c r="Q1" s="425"/>
      <c r="R1" s="425"/>
    </row>
    <row r="2">
      <c r="A2" s="426" t="s">
        <v>7005</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7006</v>
      </c>
      <c r="F2" s="429" t="s">
        <v>7007</v>
      </c>
      <c r="G2" s="135"/>
      <c r="H2" s="135"/>
      <c r="I2" s="135"/>
      <c r="J2" s="135"/>
      <c r="K2" s="135"/>
      <c r="L2" s="135"/>
      <c r="M2" s="135"/>
      <c r="N2" s="135"/>
      <c r="O2" s="135"/>
      <c r="P2" s="135"/>
      <c r="Q2" s="135"/>
      <c r="R2" s="135"/>
    </row>
    <row r="3">
      <c r="A3" s="426" t="s">
        <v>7008</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7009</v>
      </c>
      <c r="F3" s="429" t="s">
        <v>7010</v>
      </c>
      <c r="G3" s="135"/>
      <c r="H3" s="135"/>
      <c r="I3" s="135"/>
      <c r="J3" s="135"/>
      <c r="K3" s="135"/>
      <c r="L3" s="135"/>
      <c r="M3" s="135"/>
      <c r="N3" s="135"/>
      <c r="O3" s="135"/>
      <c r="P3" s="135"/>
      <c r="Q3" s="135"/>
      <c r="R3" s="135"/>
    </row>
    <row r="4">
      <c r="A4" s="426" t="s">
        <v>7011</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7012</v>
      </c>
      <c r="F4" s="429" t="s">
        <v>7013</v>
      </c>
      <c r="G4" s="135"/>
      <c r="H4" s="135"/>
      <c r="I4" s="135"/>
      <c r="J4" s="135"/>
      <c r="K4" s="135"/>
      <c r="L4" s="135"/>
      <c r="M4" s="135"/>
      <c r="N4" s="135"/>
      <c r="O4" s="135"/>
      <c r="P4" s="135"/>
      <c r="Q4" s="135"/>
      <c r="R4" s="135"/>
    </row>
    <row r="5">
      <c r="A5" s="426" t="s">
        <v>7014</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7015</v>
      </c>
      <c r="F5" s="429" t="s">
        <v>7016</v>
      </c>
      <c r="G5" s="135"/>
      <c r="H5" s="135"/>
      <c r="I5" s="135"/>
      <c r="J5" s="135"/>
      <c r="K5" s="135"/>
      <c r="L5" s="135"/>
      <c r="M5" s="135"/>
      <c r="N5" s="135"/>
      <c r="O5" s="135"/>
      <c r="P5" s="135"/>
      <c r="Q5" s="135"/>
      <c r="R5" s="135"/>
    </row>
    <row r="6">
      <c r="A6" s="430" t="s">
        <v>7017</v>
      </c>
      <c r="B6" s="431" t="s">
        <v>7018</v>
      </c>
      <c r="C6" s="432" t="s">
        <v>7019</v>
      </c>
      <c r="D6" s="433" t="s">
        <v>7020</v>
      </c>
      <c r="E6" s="434" t="s">
        <v>7021</v>
      </c>
      <c r="F6" s="435" t="s">
        <v>7022</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7023</v>
      </c>
      <c r="B1" s="420" t="s">
        <v>7024</v>
      </c>
      <c r="C1" s="301" t="s">
        <v>7025</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7026</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7027</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7028</v>
      </c>
      <c r="J1" s="423" t="s">
        <v>7029</v>
      </c>
      <c r="K1" s="440" t="s">
        <v>7030</v>
      </c>
      <c r="L1" s="440" t="s">
        <v>7031</v>
      </c>
      <c r="M1" s="425"/>
      <c r="N1" s="425"/>
      <c r="O1" s="425"/>
      <c r="P1" s="425"/>
      <c r="Q1" s="425"/>
      <c r="R1" s="425"/>
      <c r="S1" s="425"/>
      <c r="T1" s="425"/>
      <c r="U1" s="425"/>
      <c r="V1" s="425"/>
      <c r="W1" s="425"/>
    </row>
    <row r="2">
      <c r="A2" s="426" t="s">
        <v>7032</v>
      </c>
      <c r="B2" s="426" t="s">
        <v>7033</v>
      </c>
      <c r="C2" s="106" t="s">
        <v>7034</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7035</v>
      </c>
      <c r="F2" s="214" t="str">
        <f>IFERROR(__xludf.DUMMYFUNCTION("GOOGLETRANSLATE(B2,""zh-tw"",""en"")"),"1 - Search for ""NVIDIA APP install"" on Google and launch the NVIDIA application.")</f>
        <v>1 - Search for "NVIDIA APP install" on Google and launch the NVIDIA application.</v>
      </c>
      <c r="G2" s="442" t="s">
        <v>7036</v>
      </c>
      <c r="H2" s="427" t="str">
        <f>IFERROR(__xludf.DUMMYFUNCTION("GOOGLETRANSLATE(B2,""zh-tw"",""zh"")"),"1 - 在google上搜寻 NVIDIA APP安装，并启动 NVIDIA 应用程式。")</f>
        <v>1 - 在google上搜寻 NVIDIA APP安装，并启动 NVIDIA 应用程式。</v>
      </c>
      <c r="I2" s="428" t="s">
        <v>7037</v>
      </c>
      <c r="J2" s="428" t="s">
        <v>7038</v>
      </c>
      <c r="K2" s="429" t="s">
        <v>7039</v>
      </c>
      <c r="L2" s="429" t="s">
        <v>7040</v>
      </c>
      <c r="M2" s="135"/>
      <c r="N2" s="135"/>
      <c r="O2" s="135"/>
      <c r="P2" s="135"/>
      <c r="Q2" s="135"/>
      <c r="R2" s="135"/>
      <c r="S2" s="135"/>
      <c r="T2" s="135"/>
      <c r="U2" s="135"/>
      <c r="V2" s="135"/>
      <c r="W2" s="135"/>
    </row>
    <row r="3">
      <c r="A3" s="426" t="s">
        <v>7041</v>
      </c>
      <c r="B3" s="426" t="s">
        <v>7042</v>
      </c>
      <c r="C3" s="106" t="s">
        <v>7043</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7044</v>
      </c>
      <c r="F3" s="214" t="str">
        <f>IFERROR(__xludf.DUMMYFUNCTION("GOOGLETRANSLATE(B3,""zh-tw"",""en"")"),"2 - Restart the NVIDIA application after updating to the latest version.")</f>
        <v>2 - Restart the NVIDIA application after updating to the latest version.</v>
      </c>
      <c r="G3" s="442" t="s">
        <v>7045</v>
      </c>
      <c r="H3" s="427" t="str">
        <f>IFERROR(__xludf.DUMMYFUNCTION("GOOGLETRANSLATE(B3,""zh-tw"",""zh"")"),"2 - 在更新至最新版本后重新启动 NVIDIA 应用程式。")</f>
        <v>2 - 在更新至最新版本后重新启动 NVIDIA 应用程式。</v>
      </c>
      <c r="I3" s="428" t="s">
        <v>7046</v>
      </c>
      <c r="J3" s="428" t="s">
        <v>7047</v>
      </c>
      <c r="K3" s="429" t="s">
        <v>7048</v>
      </c>
      <c r="L3" s="429" t="s">
        <v>7049</v>
      </c>
      <c r="M3" s="135"/>
      <c r="N3" s="135"/>
      <c r="O3" s="135"/>
      <c r="P3" s="135"/>
      <c r="Q3" s="135"/>
      <c r="R3" s="135"/>
      <c r="S3" s="135"/>
      <c r="T3" s="135"/>
      <c r="U3" s="135"/>
      <c r="V3" s="135"/>
      <c r="W3" s="135"/>
    </row>
    <row r="4">
      <c r="A4" s="426" t="s">
        <v>7050</v>
      </c>
      <c r="B4" s="426" t="s">
        <v>7051</v>
      </c>
      <c r="C4" s="106" t="s">
        <v>7052</v>
      </c>
      <c r="D4" s="106" t="str">
        <f>IFERROR(__xludf.DUMMYFUNCTION("GOOGLETRANSLATE(B4,""zh-tw"",""ja"")"),"3 - NVIDIA アプリケーションで、グラフィック設定領域に移動します。")</f>
        <v>3 - NVIDIA アプリケーションで、グラフィック設定領域に移動します。</v>
      </c>
      <c r="E4" s="441" t="s">
        <v>7053</v>
      </c>
      <c r="F4" s="214" t="str">
        <f>IFERROR(__xludf.DUMMYFUNCTION("GOOGLETRANSLATE(B4,""zh-tw"",""en"")"),"3 - In the NVIDIA application, go to the graphics settings area.")</f>
        <v>3 - In the NVIDIA application, go to the graphics settings area.</v>
      </c>
      <c r="G4" s="442" t="s">
        <v>7054</v>
      </c>
      <c r="H4" s="427" t="str">
        <f>IFERROR(__xludf.DUMMYFUNCTION("GOOGLETRANSLATE(B4,""zh-tw"",""zh"")"),"3 - 在NVIDIA应用程式中，进入图形设置区域。")</f>
        <v>3 - 在NVIDIA应用程式中，进入图形设置区域。</v>
      </c>
      <c r="I4" s="428" t="s">
        <v>7055</v>
      </c>
      <c r="J4" s="428" t="s">
        <v>7056</v>
      </c>
      <c r="K4" s="429" t="s">
        <v>7057</v>
      </c>
      <c r="L4" s="429" t="s">
        <v>7058</v>
      </c>
      <c r="M4" s="135"/>
      <c r="N4" s="135"/>
      <c r="O4" s="135"/>
      <c r="P4" s="135"/>
      <c r="Q4" s="135"/>
      <c r="R4" s="135"/>
      <c r="S4" s="135"/>
      <c r="T4" s="135"/>
      <c r="U4" s="135"/>
      <c r="V4" s="135"/>
      <c r="W4" s="135"/>
    </row>
    <row r="5">
      <c r="A5" s="426" t="s">
        <v>7059</v>
      </c>
      <c r="B5" s="426" t="s">
        <v>7060</v>
      </c>
      <c r="C5" s="106" t="s">
        <v>7061</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7062</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7063</v>
      </c>
      <c r="H5" s="427" t="str">
        <f>IFERROR(__xludf.DUMMYFUNCTION("GOOGLETRANSLATE(B5,""zh-tw"",""zh"")"),"4 - 在「程式设定」中点击三个点，选择「新增程式」，然后寻找游戏的执行档。")</f>
        <v>4 - 在「程式设定」中点击三个点，选择「新增程式」，然后寻找游戏的执行档。</v>
      </c>
      <c r="I5" s="428" t="s">
        <v>7064</v>
      </c>
      <c r="J5" s="428" t="s">
        <v>7065</v>
      </c>
      <c r="K5" s="429" t="s">
        <v>7066</v>
      </c>
      <c r="L5" s="429" t="s">
        <v>7067</v>
      </c>
      <c r="M5" s="135"/>
      <c r="N5" s="135"/>
      <c r="O5" s="135"/>
      <c r="P5" s="135"/>
      <c r="Q5" s="135"/>
      <c r="R5" s="135"/>
      <c r="S5" s="135"/>
      <c r="T5" s="135"/>
      <c r="U5" s="135"/>
      <c r="V5" s="135"/>
      <c r="W5" s="135"/>
    </row>
    <row r="6">
      <c r="A6" s="426" t="s">
        <v>7068</v>
      </c>
      <c r="B6" s="426" t="s">
        <v>7069</v>
      </c>
      <c r="C6" s="106" t="s">
        <v>7070</v>
      </c>
      <c r="D6" s="106" t="str">
        <f>IFERROR(__xludf.DUMMYFUNCTION("GOOGLETRANSLATE(B6,""zh-tw"",""ja"")"),"5 - 「低遅延モード」を「超高」に、「電源管理モード」を「最適電力」に設定します。")</f>
        <v>5 - 「低遅延モード」を「超高」に、「電源管理モード」を「最適電力」に設定します。</v>
      </c>
      <c r="E6" s="441" t="s">
        <v>7071</v>
      </c>
      <c r="F6" s="214" t="str">
        <f>IFERROR(__xludf.DUMMYFUNCTION("GOOGLETRANSLATE(B6,""zh-tw"",""en"")"),"5 - Set ""Low Latency Mode"" to ""Ultra High"" and ""Power Management Mode"" to ""Optimal Power"".")</f>
        <v>5 - Set "Low Latency Mode" to "Ultra High" and "Power Management Mode" to "Optimal Power".</v>
      </c>
      <c r="G6" s="442" t="s">
        <v>7072</v>
      </c>
      <c r="H6" s="427" t="str">
        <f>IFERROR(__xludf.DUMMYFUNCTION("GOOGLETRANSLATE(B6,""zh-tw"",""zh"")"),"5 - 将「低延迟模式」设为「超高」，电源管理模式设为「最佳电源」。")</f>
        <v>5 - 将「低延迟模式」设为「超高」，电源管理模式设为「最佳电源」。</v>
      </c>
      <c r="I6" s="428" t="s">
        <v>7073</v>
      </c>
      <c r="J6" s="428" t="s">
        <v>7074</v>
      </c>
      <c r="K6" s="429" t="s">
        <v>7075</v>
      </c>
      <c r="L6" s="429" t="s">
        <v>7076</v>
      </c>
      <c r="M6" s="135"/>
      <c r="N6" s="135"/>
      <c r="O6" s="135"/>
      <c r="P6" s="135"/>
      <c r="Q6" s="135"/>
      <c r="R6" s="135"/>
      <c r="S6" s="135"/>
      <c r="T6" s="135"/>
      <c r="U6" s="135"/>
      <c r="V6" s="135"/>
      <c r="W6" s="135"/>
    </row>
    <row r="7">
      <c r="A7" s="426" t="s">
        <v>7077</v>
      </c>
      <c r="B7" s="426" t="s">
        <v>7078</v>
      </c>
      <c r="C7" s="106" t="s">
        <v>7079</v>
      </c>
      <c r="D7" s="106" t="str">
        <f>IFERROR(__xludf.DUMMYFUNCTION("GOOGLETRANSLATE(B7,""zh-tw"",""ja"")"),"6-「垂直同期」を「高速」に設定します。")</f>
        <v>6-「垂直同期」を「高速」に設定します。</v>
      </c>
      <c r="E7" s="441" t="s">
        <v>7080</v>
      </c>
      <c r="F7" s="214" t="str">
        <f>IFERROR(__xludf.DUMMYFUNCTION("GOOGLETRANSLATE(B7,""zh-tw"",""en"")"),"6- Set ""Vertical Sync"" to ""Fast"".")</f>
        <v>6- Set "Vertical Sync" to "Fast".</v>
      </c>
      <c r="G7" s="442" t="s">
        <v>7081</v>
      </c>
      <c r="H7" s="427" t="str">
        <f>IFERROR(__xludf.DUMMYFUNCTION("GOOGLETRANSLATE(B7,""zh-tw"",""zh"")"),"6- 将「垂直同步」设为「快速」。")</f>
        <v>6- 将「垂直同步」设为「快速」。</v>
      </c>
      <c r="I7" s="428" t="s">
        <v>7082</v>
      </c>
      <c r="J7" s="428" t="s">
        <v>7083</v>
      </c>
      <c r="K7" s="429" t="s">
        <v>7084</v>
      </c>
      <c r="L7" s="429" t="s">
        <v>7085</v>
      </c>
      <c r="M7" s="135"/>
      <c r="N7" s="135"/>
      <c r="O7" s="135"/>
      <c r="P7" s="135"/>
      <c r="Q7" s="135"/>
      <c r="R7" s="135"/>
      <c r="S7" s="135"/>
      <c r="T7" s="135"/>
      <c r="U7" s="135"/>
      <c r="V7" s="135"/>
      <c r="W7" s="135"/>
    </row>
    <row r="8">
      <c r="A8" s="426" t="s">
        <v>7086</v>
      </c>
      <c r="B8" s="426" t="s">
        <v>7087</v>
      </c>
      <c r="C8" s="106" t="s">
        <v>7088</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7089</v>
      </c>
      <c r="F8" s="214" t="str">
        <f>IFERROR(__xludf.DUMMYFUNCTION("GOOGLETRANSLATE(B8,""zh-tw"",""en"")"),"7 - If your computer cannot handle these options, please choose the best option.")</f>
        <v>7 - If your computer cannot handle these options, please choose the best option.</v>
      </c>
      <c r="G8" s="442" t="s">
        <v>7090</v>
      </c>
      <c r="H8" s="427" t="str">
        <f>IFERROR(__xludf.DUMMYFUNCTION("GOOGLETRANSLATE(B8,""zh-tw"",""zh"")"),"7 - 如果你的电脑无法负荷这些选项，请依照最佳的选项即可。")</f>
        <v>7 - 如果你的电脑无法负荷这些选项，请依照最佳的选项即可。</v>
      </c>
      <c r="I8" s="428" t="s">
        <v>7091</v>
      </c>
      <c r="J8" s="428" t="s">
        <v>7092</v>
      </c>
      <c r="K8" s="429" t="s">
        <v>7093</v>
      </c>
      <c r="L8" s="429" t="s">
        <v>7094</v>
      </c>
      <c r="M8" s="135"/>
      <c r="N8" s="135"/>
      <c r="O8" s="135"/>
      <c r="P8" s="135"/>
      <c r="Q8" s="135"/>
      <c r="R8" s="135"/>
      <c r="S8" s="135"/>
      <c r="T8" s="135"/>
      <c r="U8" s="135"/>
      <c r="V8" s="135"/>
      <c r="W8" s="135"/>
    </row>
    <row r="9">
      <c r="A9" s="426" t="s">
        <v>7095</v>
      </c>
      <c r="B9" s="426" t="s">
        <v>7096</v>
      </c>
      <c r="C9" s="106" t="s">
        <v>7097</v>
      </c>
      <c r="D9" s="106" t="str">
        <f>IFERROR(__xludf.DUMMYFUNCTION("GOOGLETRANSLATE(B9,""zh-tw"",""ja"")"),"8- ゲームを起動すると、その優れた安定性を体験できます。")</f>
        <v>8- ゲームを起動すると、その優れた安定性を体験できます。</v>
      </c>
      <c r="E9" s="441" t="s">
        <v>7098</v>
      </c>
      <c r="F9" s="214" t="str">
        <f>IFERROR(__xludf.DUMMYFUNCTION("GOOGLETRANSLATE(B9,""zh-tw"",""en"")"),"8- Now, launch the game and you will experience its excellent stability.")</f>
        <v>8- Now, launch the game and you will experience its excellent stability.</v>
      </c>
      <c r="G9" s="442" t="s">
        <v>7099</v>
      </c>
      <c r="H9" s="427" t="str">
        <f>IFERROR(__xludf.DUMMYFUNCTION("GOOGLETRANSLATE(B9,""zh-tw"",""zh"")"),"8- 现在，将游戏启动，你能体验到良好的稳定性能。")</f>
        <v>8- 现在，将游戏启动，你能体验到良好的稳定性能。</v>
      </c>
      <c r="I9" s="428" t="s">
        <v>7100</v>
      </c>
      <c r="J9" s="428" t="s">
        <v>7101</v>
      </c>
      <c r="K9" s="429" t="s">
        <v>7102</v>
      </c>
      <c r="L9" s="429" t="s">
        <v>7103</v>
      </c>
      <c r="M9" s="135"/>
      <c r="N9" s="135"/>
      <c r="O9" s="135"/>
      <c r="P9" s="135"/>
      <c r="Q9" s="135"/>
      <c r="R9" s="135"/>
      <c r="S9" s="135"/>
      <c r="T9" s="135"/>
      <c r="U9" s="135"/>
      <c r="V9" s="135"/>
      <c r="W9" s="135"/>
    </row>
    <row r="10">
      <c r="A10" s="426"/>
      <c r="B10" s="443" t="s">
        <v>7104</v>
      </c>
      <c r="C10" s="444"/>
      <c r="D10" s="445" t="s">
        <v>7105</v>
      </c>
      <c r="E10" s="446"/>
      <c r="F10" s="447" t="s">
        <v>7019</v>
      </c>
      <c r="G10" s="427"/>
      <c r="H10" s="448" t="s">
        <v>7106</v>
      </c>
      <c r="I10" s="449"/>
      <c r="J10" s="450" t="s">
        <v>7021</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