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<sst xmlns="http://schemas.openxmlformats.org/spreadsheetml/2006/main" count="8510" uniqueCount="7113">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</sst>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0" s="44" t="str">
        <f>IFERROR(__xludf.DUMMYFUNCTION("GOOGLETRANSLATE(A60,""zh-tw"",""en"")"),"February 3-4, 2025: Added map images for the Fallen Sanctuary; added campfire markers to some maps.")</f>
        <v>February 3-4, 2025: Added map images for the Fallen Sanctuary; added campfire markers to some maps.</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 mapas para el Santuario Caído; se agregaron marcadores de fogatas a algunos mapas.")</f>
        <v>3-4 de febrero de 2025: Se agregaron imágenes de mapas para el Santuario Caído; se agregaron marcadores de fogatas a algunos mapas.</v>
      </c>
      <c r="F60" s="45" t="str">
        <f>IFERROR(__xludf.DUMMYFUNCTION("GOOGLETRANSLATE(A60,""zh-tw"",""KO"")"),"2025년 2월 3-4일: Fallen Sanctuary에 대한 지도 이미지를 추가했습니다. 일부 지도에 캠프파이어 마커를 추가했습니다.")</f>
        <v>2025년 2월 3-4일: Fallen Sanctuary에 대한 지도 이미지를 추가했습니다. 일부 지도에 캠프파이어 마커를 추가했습니다.</v>
      </c>
      <c r="G60" s="45" t="str">
        <f>IFERROR(__xludf.DUMMYFUNCTION("GOOGLETRANSLATE(A60,""zh-tw"",""RU"")"),"3–4 февраля 2025 г.: Добавлены изображения карты для Павшего святилища; на некоторые карты добавлены маркеры костров.")</f>
        <v>3–4 февраля 2025 г.: Добавлены изображения карты для Павшего святилища; на некоторые карты добавлены маркеры костров.</v>
      </c>
      <c r="H60" s="45" t="str">
        <f>IFERROR(__xludf.DUMMYFUNCTION("GOOGLETRANSLATE(A60,""zh-tw"",""DE"")"),"3.-4. Februar 2025: Kartenbilder für das Gefallene Heiligtum hinzugefügt; Lagerfeuermarkierungen auf einigen Karten hinzugefügt.")</f>
        <v>3.-4. Februar 2025: Kartenbilder für das Gefallene Heiligtum hinzugefügt; Lagerfeuermarkierungen auf einigen Karten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-4")</f>
        <v>Volver temprano a casa también es algo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paso a paso?")</f>
        <v>¿Dónde puedo encontrar la guía paso a paso?</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a la izquierda del ""Gran Cinturón de Lava de Coca-Cola"", hay un objeto oculto y un punto de recogida.")</f>
        <v>Detrás del pilar situado a la izquierda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будет пробраться к пещерам в горе.")</f>
        <v>Расчистив скалы, можно будет пробраться к пещерам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IFERROR(__xludf.DUMMYFUNCTION("GOOGLETRANSLATE(A24,""zh-tw"",""zh"")"),"矿车行进中，可使用远距离武器攻击方向舵")</f>
        <v>矿车行进中，可使用远距离武器攻击方向舵</v>
      </c>
      <c r="E24" s="55" t="str">
        <f>IFERROR(__xludf.DUMMYFUNCTION("GOOGLETRANSLATE(A24,""zh-tw"",""es-MX"")"),"Mientras la vagoneta está en movimiento, el timón puede ser atacado con armas de largo alcance.")</f>
        <v>Mientras la vagoneta está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3310</v>
      </c>
      <c r="I24" s="183"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IFERROR(__xludf.DUMMYFUNCTION("GOOGLETRANSLATE(A25,""zh-tw"",""zh"")"),"电击类武器碰到水...你懂的~ 包含下雨天")</f>
        <v>电击类武器碰到水...你懂的~ 包含下雨天</v>
      </c>
      <c r="E25" s="55" t="str">
        <f>IFERROR(__xludf.DUMMYFUNCTION("GOOGLETRANSLATE(A25,""zh-tw"",""es-MX"")"),"Las armas de electrochoque que entran en contacto con el agua... ya sabes lo que eso significa~ incluso en días lluviosos.")</f>
        <v>Las armas de electrochoque que entran en contacto con el agua... ya sabes lo que eso significa~ incluso en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volar rocas y agua, las bombas también pueden explotar por sí solas.")</f>
        <v>Además de ignorar las defensas y volar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3320</v>
      </c>
      <c r="I26" s="183" t="s">
        <v>3321</v>
      </c>
      <c r="J26" s="46"/>
      <c r="K26" s="46"/>
      <c r="L26" s="46"/>
      <c r="M26" s="46"/>
      <c r="N26" s="46"/>
      <c r="O26" s="46"/>
      <c r="P26" s="46"/>
      <c r="Q26" s="46"/>
      <c r="R26" s="46"/>
      <c r="S26" s="46"/>
      <c r="T26" s="46"/>
      <c r="U26" s="46"/>
      <c r="V26" s="46"/>
      <c r="W26" s="46"/>
    </row>
    <row r="27">
      <c r="A27" s="52" t="s">
        <v>3322</v>
      </c>
      <c r="B27" s="212" t="str">
        <f>IFERROR(__xludf.DUMMYFUNCTION("GOOGLETRANSLATE(A27,""zh-tw"",""ja"")"),"ナイトはいい匂いがするらしいので、今後に期待してもいいかもしれません。")</f>
        <v>ナイトはいい匂いがするらしいので、今後に期待してもいいかもしれません。</v>
      </c>
      <c r="C27" s="52" t="s">
        <v>3323</v>
      </c>
      <c r="D27" s="212" t="s">
        <v>3324</v>
      </c>
      <c r="E27" s="55" t="str">
        <f>IFERROR(__xludf.DUMMYFUNCTION("GOOGLETRANSLATE(A27,""zh-tw"",""es-MX"")"),"He oído... que el Caballero huele muy bien, quizá podamos mirar al futuro con optimismo.")</f>
        <v>He oído... que el Caballero huele muy bien, quizá podamos mirar al futuro con optimismo.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3325</v>
      </c>
      <c r="I27" s="183" t="s">
        <v>3326</v>
      </c>
      <c r="J27" s="46"/>
      <c r="K27" s="46"/>
      <c r="L27" s="46"/>
      <c r="M27" s="46"/>
      <c r="N27" s="46"/>
      <c r="O27" s="46"/>
      <c r="P27" s="46"/>
      <c r="Q27" s="46"/>
      <c r="R27" s="46"/>
      <c r="S27" s="46"/>
      <c r="T27" s="46"/>
      <c r="U27" s="46"/>
      <c r="V27" s="46"/>
      <c r="W27" s="46"/>
    </row>
    <row r="28">
      <c r="A28" s="215" t="s">
        <v>3327</v>
      </c>
      <c r="B28" s="212" t="s">
        <v>3328</v>
      </c>
      <c r="C28" s="52" t="s">
        <v>3329</v>
      </c>
      <c r="D28" s="212" t="s">
        <v>3330</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3331</v>
      </c>
      <c r="I28" s="183" t="s">
        <v>3332</v>
      </c>
      <c r="J28" s="46"/>
      <c r="K28" s="46"/>
      <c r="L28" s="46"/>
      <c r="M28" s="46"/>
      <c r="N28" s="46"/>
      <c r="O28" s="46"/>
      <c r="P28" s="46"/>
      <c r="Q28" s="46"/>
      <c r="R28" s="46"/>
      <c r="S28" s="46"/>
      <c r="T28" s="46"/>
      <c r="U28" s="46"/>
      <c r="V28" s="46"/>
      <c r="W28" s="46"/>
    </row>
    <row r="29">
      <c r="A29" s="52" t="s">
        <v>3333</v>
      </c>
      <c r="B29" s="212" t="s">
        <v>3334</v>
      </c>
      <c r="C29" s="52" t="s">
        <v>3335</v>
      </c>
      <c r="D29" s="212" t="str">
        <f>IFERROR(__xludf.DUMMYFUNCTION("GOOGLETRANSLATE(A29,""zh-tw"",""zh"")"),"当成为贤者的哥哥在胡思乱想时...")</f>
        <v>当成为贤者的哥哥在胡思乱想时...</v>
      </c>
      <c r="E29" s="55" t="str">
        <f>IFERROR(__xludf.DUMMYFUNCTION("GOOGLETRANSLATE(A29,""zh-tw"",""es-MX"")"),"Mientras el hermano mayor, ya un sabio, estaba absorto en sus pensamientos...")</f>
        <v>Mientras el hermano mayor, ya un sabio, estaba absorto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3336</v>
      </c>
      <c r="I29" s="183" t="s">
        <v>3337</v>
      </c>
      <c r="J29" s="46"/>
      <c r="K29" s="46"/>
      <c r="L29" s="46"/>
      <c r="M29" s="46"/>
      <c r="N29" s="46"/>
      <c r="O29" s="46"/>
      <c r="P29" s="46"/>
      <c r="Q29" s="46"/>
      <c r="R29" s="46"/>
      <c r="S29" s="46"/>
      <c r="T29" s="46"/>
      <c r="U29" s="46"/>
      <c r="V29" s="46"/>
      <c r="W29" s="46"/>
    </row>
    <row r="30">
      <c r="A30" s="52" t="s">
        <v>3338</v>
      </c>
      <c r="B30" s="212" t="s">
        <v>3339</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equipada con ""Sonrisa de Niña"", los efectos secundarios del estado Sabio se ignorarán.")</f>
        <v>Cuando esté equipada con "Sonrisa de Niña", los efectos secundarios del estado Sabio se ignorarán.</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3340</v>
      </c>
      <c r="I30" s="183" t="s">
        <v>3341</v>
      </c>
      <c r="J30" s="46"/>
      <c r="K30" s="46"/>
      <c r="L30" s="46"/>
      <c r="M30" s="46"/>
      <c r="N30" s="46"/>
      <c r="O30" s="46"/>
      <c r="P30" s="46"/>
      <c r="Q30" s="46"/>
      <c r="R30" s="46"/>
      <c r="S30" s="46"/>
      <c r="T30" s="46"/>
      <c r="U30" s="46"/>
      <c r="V30" s="46"/>
      <c r="W30" s="46"/>
    </row>
    <row r="31">
      <c r="A31" s="52" t="s">
        <v>3342</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3343</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indescriptible criatura del inodoro tiene diferentes nombres en diferentes versiones lingüísticas.")</f>
        <v>La indescriptible criatura del inodoro tiene diferentes nombres en diferentes versiones lingüísticas.</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3347</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que había en el inodoro fue traída de vuelta del abismo por mi hermano.")</f>
        <v>La indescriptible criatura que había en el inodoro fue traída de vuelta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3348</v>
      </c>
      <c r="I32" s="183" t="s">
        <v>3349</v>
      </c>
      <c r="J32" s="46"/>
      <c r="K32" s="46"/>
      <c r="L32" s="46"/>
      <c r="M32" s="46"/>
      <c r="N32" s="46"/>
      <c r="O32" s="46"/>
      <c r="P32" s="46"/>
      <c r="Q32" s="46"/>
      <c r="R32" s="46"/>
      <c r="S32" s="46"/>
      <c r="T32" s="46"/>
      <c r="U32" s="46"/>
      <c r="V32" s="46"/>
      <c r="W32" s="46"/>
    </row>
    <row r="33">
      <c r="A33" s="52" t="s">
        <v>3350</v>
      </c>
      <c r="B33" s="212" t="s">
        <v>3351</v>
      </c>
      <c r="C33" s="52" t="s">
        <v>3352</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IFERROR(__xludf.DUMMYFUNCTION("GOOGLETRANSLATE(A34,""zh-tw"",""zh"")"),"早上可透过窗外状况，得知外出时的天气")</f>
        <v>早上可透过窗外状况，得知外出时的天气</v>
      </c>
      <c r="E34" s="55" t="str">
        <f>IFERROR(__xludf.DUMMYFUNCTION("GOOGLETRANSLATE(A34,""zh-tw"",""es-MX"")"),"Por la mañana, puedes consultar el tiempo fuera de la ventana para saber qué tiempo hará cuando salgas.")</f>
        <v>Por la mañana, puedes consultar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3358</v>
      </c>
      <c r="I34" s="183" t="s">
        <v>3359</v>
      </c>
      <c r="J34" s="46"/>
      <c r="K34" s="46"/>
      <c r="L34" s="46"/>
      <c r="M34" s="46"/>
      <c r="N34" s="46"/>
      <c r="O34" s="46"/>
      <c r="P34" s="46"/>
      <c r="Q34" s="46"/>
      <c r="R34" s="46"/>
      <c r="S34" s="46"/>
      <c r="T34" s="46"/>
      <c r="U34" s="46"/>
      <c r="V34" s="46"/>
      <c r="W34" s="46"/>
    </row>
    <row r="35">
      <c r="A35" s="52" t="s">
        <v>3360</v>
      </c>
      <c r="B35" s="212" t="str">
        <f>IFERROR(__xludf.DUMMYFUNCTION("GOOGLETRANSLATE(A35,""zh-tw"",""ja"")"),"生き物が可愛ければ可愛いほど、攻撃力も高くなります。")</f>
        <v>生き物が可愛ければ可愛いほど、攻撃力も高くなります。</v>
      </c>
      <c r="C35" s="52" t="s">
        <v>3361</v>
      </c>
      <c r="D35" s="212" t="s">
        <v>3362</v>
      </c>
      <c r="E35" s="55" t="str">
        <f>IFERROR(__xludf.DUMMYFUNCTION("GOOGLETRANSLATE(A35,""zh-tw"",""es-MX"")"),"Cuanto más adorable sea la criatura, mayor suele ser su poder de ataque.")</f>
        <v>Cuanto más adorable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3366</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3367</v>
      </c>
      <c r="I36" s="160" t="s">
        <v>3368</v>
      </c>
      <c r="J36" s="46"/>
      <c r="K36" s="46"/>
      <c r="L36" s="46"/>
      <c r="M36" s="46"/>
      <c r="N36" s="46"/>
      <c r="O36" s="46"/>
      <c r="P36" s="46"/>
      <c r="Q36" s="46"/>
      <c r="R36" s="46"/>
      <c r="S36" s="46"/>
      <c r="T36" s="46"/>
      <c r="U36" s="46"/>
      <c r="V36" s="46"/>
      <c r="W36" s="46"/>
    </row>
    <row r="37">
      <c r="A37" s="52" t="s">
        <v>3369</v>
      </c>
      <c r="B37" s="212" t="str">
        <f>IFERROR(__xludf.DUMMYFUNCTION("GOOGLETRANSLATE(A37,""zh-tw"",""ja"")"),"ウォーターモンスタースライム 1 個は、スライムスライム 2 個とほぼ同等です。")</f>
        <v>ウォーターモンスタースライム 1 個は、スライムスライム 2 個とほぼ同等です。</v>
      </c>
      <c r="C37" s="52" t="s">
        <v>3370</v>
      </c>
      <c r="D37" s="212" t="str">
        <f>IFERROR(__xludf.DUMMYFUNCTION("GOOGLETRANSLATE(A37,""zh-tw"",""zh"")"),"一个水怪黏液大约等于两个史莱姆黏液")</f>
        <v>一个水怪黏液大约等于两个史莱姆黏液</v>
      </c>
      <c r="E37" s="55" t="str">
        <f>IFERROR(__xludf.DUMMYFUNCTION("GOOGLETRANSLATE(A37,""zh-tw"",""es-MX"")"),"Un monstruo acuático de limo equivale aproximadamente a dos limos de limo.")</f>
        <v>Un monstruo acuático de limo equivale aproximadamente a dos limos de limo.</v>
      </c>
      <c r="F37" s="213" t="str">
        <f>IFERROR(__xludf.DUMMYFUNCTION("GOOGLETRANSLATE(A37,""zh-tw"",""KO"")"),"물 괴물 슬라임 한 마리는 슬라임 슬라임 두 마리와 거의 같습니다.")</f>
        <v>물 괴물 슬라임 한 마리는 슬라임 슬라임 두 마리와 거의 같습니다.</v>
      </c>
      <c r="G37" s="55"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12" t="s">
        <v>3371</v>
      </c>
      <c r="I37" s="183" t="s">
        <v>3372</v>
      </c>
      <c r="J37" s="46"/>
      <c r="K37" s="46"/>
      <c r="L37" s="46"/>
      <c r="M37" s="46"/>
      <c r="N37" s="46"/>
      <c r="O37" s="46"/>
      <c r="P37" s="46"/>
      <c r="Q37" s="46"/>
      <c r="R37" s="46"/>
      <c r="S37" s="46"/>
      <c r="T37" s="46"/>
      <c r="U37" s="46"/>
      <c r="V37" s="46"/>
      <c r="W37" s="46"/>
    </row>
    <row r="38">
      <c r="A38" s="52" t="s">
        <v>3373</v>
      </c>
      <c r="B38" s="212" t="s">
        <v>3374</v>
      </c>
      <c r="C38" s="52" t="s">
        <v>3375</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
        <v>3381</v>
      </c>
      <c r="E39" s="55" t="str">
        <f>IFERROR(__xludf.DUMMYFUNCTION("GOOGLETRANSLATE(A39,""zh-tw"",""es-MX"")"),"¿El jefe de las Ruinas es demasiado difícil de derrotar? Podrías intentar quedarte al borde de un precipicio y actuar como un forastero despreciable.")</f>
        <v>¿El jefe de las Ruinas es demasiado difícil de derrotar? Podrías intentar quedarte al borde de un precipicio y actuar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3387</v>
      </c>
      <c r="J40" s="46"/>
      <c r="K40" s="46"/>
      <c r="L40" s="46"/>
      <c r="M40" s="46"/>
      <c r="N40" s="46"/>
      <c r="O40" s="46"/>
      <c r="P40" s="46"/>
      <c r="Q40" s="46"/>
      <c r="R40" s="46"/>
      <c r="S40" s="46"/>
      <c r="T40" s="46"/>
      <c r="U40" s="46"/>
      <c r="V40" s="46"/>
      <c r="W40" s="46"/>
    </row>
    <row r="41">
      <c r="A41" s="52" t="s">
        <v>3388</v>
      </c>
      <c r="B41" s="21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2" t="s">
        <v>3389</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3390</v>
      </c>
      <c r="J41" s="46"/>
      <c r="K41" s="46"/>
      <c r="L41" s="46"/>
      <c r="M41" s="46"/>
      <c r="N41" s="46"/>
      <c r="O41" s="46"/>
      <c r="P41" s="46"/>
      <c r="Q41" s="46"/>
      <c r="R41" s="46"/>
      <c r="S41" s="46"/>
      <c r="T41" s="46"/>
      <c r="U41" s="46"/>
      <c r="V41" s="46"/>
      <c r="W41" s="46"/>
    </row>
    <row r="42">
      <c r="A42" s="52" t="s">
        <v>3391</v>
      </c>
      <c r="B42" s="212" t="s">
        <v>3392</v>
      </c>
      <c r="C42" s="52" t="s">
        <v>3393</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IFERROR(__xludf.DUMMYFUNCTION("GOOGLETRANSLATE(A43,""zh-tw"",""zh"")"),"利用道具，不只能和怪物，也能使NPC交换位置")</f>
        <v>利用道具，不只能和怪物，也能使NPC交换位置</v>
      </c>
      <c r="E43" s="55" t="str">
        <f>IFERROR(__xludf.DUMMYFUNCTION("GOOGLETRANSLATE(A43,""zh-tw"",""es-MX"")"),"Mediante objetos, no solo puedes intercambiar posiciones con monstruos, sino también con PNJ.")</f>
        <v>Mediante objetos, no solo puedes intercambiar posiciones con monstruos, sino también con PNJ.</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huyen de los malos olores.")</f>
        <v>Los monstruos también tienen sentido del olfato, y algunos huyen de los malos olores.</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retrasó.")</f>
        <v>Después de que mi hermana se recuperó, pudo despertarse por la mañana y su hora de acostarse también se retrasó.</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IFERROR(__xludf.DUMMYFUNCTION("GOOGLETRANSLATE(A48,""zh-tw"",""zh"")"),"商店老板娘叫做aki，另外妹妹的声优也是aki")</f>
        <v>商店老板娘叫做aki，另外妹妹的声优也是aki</v>
      </c>
      <c r="E48" s="55" t="str">
        <f>IFERROR(__xludf.DUMMYFUNCTION("GOOGLETRANSLATE(A48,""zh-tw"",""es-MX"")"),"La dueña de la tienda se llama Aki, y la actriz de doblaje de la hermana menor también se llama Aki.")</f>
        <v>La dueña de la tienda se llama Aki, y la actriz de doblaje de la hermana menor también se llama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3418</v>
      </c>
      <c r="J48" s="46"/>
      <c r="K48" s="46"/>
      <c r="L48" s="46"/>
      <c r="M48" s="46"/>
      <c r="N48" s="46"/>
      <c r="O48" s="46"/>
      <c r="P48" s="46"/>
      <c r="Q48" s="46"/>
      <c r="R48" s="46"/>
      <c r="S48" s="46"/>
      <c r="T48" s="46"/>
      <c r="U48" s="46"/>
      <c r="V48" s="46"/>
      <c r="W48" s="46"/>
    </row>
    <row r="49">
      <c r="A49" s="52" t="s">
        <v>3419</v>
      </c>
      <c r="B49" s="212" t="s">
        <v>3420</v>
      </c>
      <c r="C49" s="55" t="s">
        <v>3421</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
        <v>3426</v>
      </c>
      <c r="E50" s="55" t="str">
        <f>IFERROR(__xludf.DUMMYFUNCTION("GOOGLETRANSLATE(A50,""zh-tw"",""es-MX"")"),"Las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3427</v>
      </c>
      <c r="J50" s="46"/>
      <c r="K50" s="46"/>
      <c r="L50" s="46"/>
      <c r="M50" s="46"/>
      <c r="N50" s="46"/>
      <c r="O50" s="46"/>
      <c r="P50" s="46"/>
      <c r="Q50" s="46"/>
      <c r="R50" s="46"/>
      <c r="S50" s="46"/>
      <c r="T50" s="46"/>
      <c r="U50" s="46"/>
      <c r="V50" s="46"/>
      <c r="W50" s="46"/>
    </row>
    <row r="51">
      <c r="A51" s="52" t="s">
        <v>3428</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3429</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3430</v>
      </c>
      <c r="J51" s="46"/>
      <c r="K51" s="46"/>
      <c r="L51" s="46"/>
      <c r="M51" s="46"/>
      <c r="N51" s="46"/>
      <c r="O51" s="46"/>
      <c r="P51" s="46"/>
      <c r="Q51" s="46"/>
      <c r="R51" s="46"/>
      <c r="S51" s="46"/>
      <c r="T51" s="46"/>
      <c r="U51" s="46"/>
      <c r="V51" s="46"/>
      <c r="W51" s="46"/>
    </row>
    <row r="52">
      <c r="A52" s="52" t="s">
        <v>3431</v>
      </c>
      <c r="B52" s="21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2" t="s">
        <v>3432</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2" s="21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3" t="s">
        <v>3433</v>
      </c>
      <c r="J52" s="46"/>
      <c r="K52" s="46"/>
      <c r="L52" s="46"/>
      <c r="M52" s="46"/>
      <c r="N52" s="46"/>
      <c r="O52" s="46"/>
      <c r="P52" s="46"/>
      <c r="Q52" s="46"/>
      <c r="R52" s="46"/>
      <c r="S52" s="46"/>
      <c r="T52" s="46"/>
      <c r="U52" s="46"/>
      <c r="V52" s="46"/>
      <c r="W52" s="46"/>
    </row>
    <row r="53">
      <c r="A53" s="52" t="s">
        <v>3434</v>
      </c>
      <c r="B53" s="212" t="s">
        <v>3435</v>
      </c>
      <c r="C53" s="52" t="s">
        <v>3436</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3437</v>
      </c>
      <c r="J53" s="46"/>
      <c r="K53" s="46"/>
      <c r="L53" s="46"/>
      <c r="M53" s="46"/>
      <c r="N53" s="46"/>
      <c r="O53" s="46"/>
      <c r="P53" s="46"/>
      <c r="Q53" s="46"/>
      <c r="R53" s="46"/>
      <c r="S53" s="46"/>
      <c r="T53" s="46"/>
      <c r="U53" s="46"/>
      <c r="V53" s="46"/>
      <c r="W53" s="46"/>
    </row>
    <row r="54">
      <c r="A54" s="52" t="s">
        <v>3438</v>
      </c>
      <c r="B54" s="212" t="str">
        <f>IFERROR(__xludf.DUMMYFUNCTION("GOOGLETRANSLATE(A54,""zh-tw"",""ja"")"),"ガシャポンが騎士の足元に落ちた場合は、騎士が拾ってくれます。")</f>
        <v>ガシャポンが騎士の足元に落ちた場合は、騎士が拾ってくれます。</v>
      </c>
      <c r="C54" s="52" t="s">
        <v>3439</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por ti.")</f>
        <v>Si el gashapon cae cerca de los pies del caballero, él lo recogerá por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3440</v>
      </c>
      <c r="J54" s="46"/>
      <c r="K54" s="46"/>
      <c r="L54" s="46"/>
      <c r="M54" s="46"/>
      <c r="N54" s="46"/>
      <c r="O54" s="46"/>
      <c r="P54" s="46"/>
      <c r="Q54" s="46"/>
      <c r="R54" s="46"/>
      <c r="S54" s="46"/>
      <c r="T54" s="46"/>
      <c r="U54" s="46"/>
      <c r="V54" s="46"/>
      <c r="W54" s="46"/>
    </row>
    <row r="55">
      <c r="A55" s="52" t="s">
        <v>3441</v>
      </c>
      <c r="B55" s="212" t="s">
        <v>3442</v>
      </c>
      <c r="C55" s="52" t="s">
        <v>3443</v>
      </c>
      <c r="D55" s="212" t="s">
        <v>3444</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&lt;한여름 밤의 꿈&gt;에서 따온 114514입니다.")</f>
        <v>모든 무기의 기본 최대 내구도는 &lt;한여름 밤의 꿈&gt;에서 따온 114514입니다.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3445</v>
      </c>
      <c r="J55" s="46"/>
      <c r="K55" s="46"/>
      <c r="L55" s="46"/>
      <c r="M55" s="46"/>
      <c r="N55" s="46"/>
      <c r="O55" s="46"/>
      <c r="P55" s="46"/>
      <c r="Q55" s="46"/>
      <c r="R55" s="46"/>
      <c r="S55" s="46"/>
      <c r="T55" s="46"/>
      <c r="U55" s="46"/>
      <c r="V55" s="46"/>
      <c r="W55" s="46"/>
    </row>
    <row r="56">
      <c r="A56" s="52" t="s">
        <v>3446</v>
      </c>
      <c r="B56" s="212" t="s">
        <v>3447</v>
      </c>
      <c r="C56" s="52" t="s">
        <v>3448</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3467</v>
      </c>
      <c r="J60" s="46"/>
      <c r="K60" s="46"/>
      <c r="L60" s="46"/>
      <c r="M60" s="46"/>
      <c r="N60" s="46"/>
      <c r="O60" s="46"/>
      <c r="P60" s="46"/>
      <c r="Q60" s="46"/>
      <c r="R60" s="46"/>
      <c r="S60" s="46"/>
      <c r="T60" s="46"/>
      <c r="U60" s="46"/>
      <c r="V60" s="46"/>
      <c r="W60" s="46"/>
    </row>
    <row r="61">
      <c r="A61" s="52" t="s">
        <v>3468</v>
      </c>
      <c r="B61" s="212" t="s">
        <v>3469</v>
      </c>
      <c r="C61" s="52" t="s">
        <v>3470</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según el clima.")</f>
        <v>Mi hermana se pinta las uñas de diferentes colores según 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a partir de la actitud habitual de la hermana menor.")</f>
        <v>La puntuación del estado de ánimo (0~100) está oculta, pero se puede percibir a partir de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los alimentos venenosos no la envenenarán, pero el hermano mayor no es inmune.")</f>
        <v>La hermana menor es inmune a las toxinas, por lo que los alimentos venenosos no la envenenarán,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3487</v>
      </c>
      <c r="J65" s="46"/>
      <c r="K65" s="46"/>
      <c r="L65" s="46"/>
      <c r="M65" s="46"/>
      <c r="N65" s="46"/>
      <c r="O65" s="46"/>
      <c r="P65" s="46"/>
      <c r="Q65" s="46"/>
      <c r="R65" s="46"/>
      <c r="S65" s="46"/>
      <c r="T65" s="46"/>
      <c r="U65" s="46"/>
      <c r="V65" s="46"/>
      <c r="W65" s="46"/>
    </row>
    <row r="66">
      <c r="A66" s="52" t="s">
        <v>3488</v>
      </c>
      <c r="B66" s="212" t="str">
        <f>IFERROR(__xludf.DUMMYFUNCTION("GOOGLETRANSLATE(A66,""zh-tw"",""ja"")"),"Shift キーを押すと、歩行姿勢と走行姿勢を切り替えることができます。")</f>
        <v>Shift キーを押すと、歩行姿勢と走行姿勢を切り替えることができます。</v>
      </c>
      <c r="C66" s="52" t="s">
        <v>3489</v>
      </c>
      <c r="D66" s="212" t="str">
        <f>IFERROR(__xludf.DUMMYFUNCTION("GOOGLETRANSLATE(A66,""zh-tw"",""zh"")"),"shift键可以切换走路/奔跑姿态")</f>
        <v>shift键可以切换走路/奔跑姿态</v>
      </c>
      <c r="E66" s="55" t="str">
        <f>IFERROR(__xludf.DUMMYFUNCTION("GOOGLETRANSLATE(A66,""zh-tw"",""es-MX"")"),"La tecla Shift permite alternar entre las posturas de caminar y correr.")</f>
        <v>La tecla Shift permite alternar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3490</v>
      </c>
      <c r="J66" s="46"/>
      <c r="K66" s="46"/>
      <c r="L66" s="46"/>
      <c r="M66" s="46"/>
      <c r="N66" s="46"/>
      <c r="O66" s="46"/>
      <c r="P66" s="46"/>
      <c r="Q66" s="46"/>
      <c r="R66" s="46"/>
      <c r="S66" s="46"/>
      <c r="T66" s="46"/>
      <c r="U66" s="46"/>
      <c r="V66" s="46"/>
      <c r="W66" s="46"/>
    </row>
    <row r="67">
      <c r="A67" s="52" t="s">
        <v>3491</v>
      </c>
      <c r="B67" s="212" t="s">
        <v>3492</v>
      </c>
      <c r="C67" s="52" t="s">
        <v>3493</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3494</v>
      </c>
      <c r="J67" s="46"/>
      <c r="K67" s="46"/>
      <c r="L67" s="46"/>
      <c r="M67" s="46"/>
      <c r="N67" s="46"/>
      <c r="O67" s="46"/>
      <c r="P67" s="46"/>
      <c r="Q67" s="46"/>
      <c r="R67" s="46"/>
      <c r="S67" s="46"/>
      <c r="T67" s="46"/>
      <c r="U67" s="46"/>
      <c r="V67" s="46"/>
      <c r="W67" s="46"/>
    </row>
    <row r="68">
      <c r="A68" s="52" t="s">
        <v>3495</v>
      </c>
      <c r="B68" s="212" t="s">
        <v>3496</v>
      </c>
      <c r="C68" s="52" t="s">
        <v>3497</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habilidad para cada etapa del asesinato por la espalda: 5.27.60.120.256.530.960.1587.2452.3600")</f>
        <v>Requisitos de habilidad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3515</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alta gama.")</f>
        <v>Del mismo modo, también podrían aparecer máquinas expendedoras de bebidas de alta gama.</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IFERROR(__xludf.DUMMYFUNCTION("GOOGLETRANSLATE(A74,""zh-tw"",""es-MX"")"),"Al gato baboso en realidad no le gusta su hermano; simplemente le gusta el olor de su hermana que se le adhiere.")</f>
        <v>Al gato baboso en realidad no le gusta su hermano; simplemente le gusta el olor de su hermana que se le adhiere.</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3525</v>
      </c>
      <c r="I74" s="183" t="s">
        <v>3526</v>
      </c>
      <c r="J74" s="46"/>
      <c r="K74" s="46"/>
      <c r="L74" s="46"/>
      <c r="M74" s="46"/>
      <c r="N74" s="46"/>
      <c r="O74" s="46"/>
      <c r="P74" s="46"/>
      <c r="Q74" s="46"/>
      <c r="R74" s="46"/>
      <c r="S74" s="46"/>
      <c r="T74" s="46"/>
      <c r="U74" s="46"/>
      <c r="V74" s="46"/>
      <c r="W74" s="46"/>
    </row>
    <row r="75">
      <c r="A75" s="52" t="s">
        <v>3527</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3528</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3529</v>
      </c>
      <c r="I75" s="183" t="s">
        <v>3530</v>
      </c>
      <c r="J75" s="46"/>
      <c r="K75" s="46"/>
      <c r="L75" s="46"/>
      <c r="M75" s="46"/>
      <c r="N75" s="46"/>
      <c r="O75" s="46"/>
      <c r="P75" s="46"/>
      <c r="Q75" s="46"/>
      <c r="R75" s="46"/>
      <c r="S75" s="46"/>
      <c r="T75" s="46"/>
      <c r="U75" s="46"/>
      <c r="V75" s="46"/>
      <c r="W75" s="46"/>
    </row>
    <row r="76">
      <c r="A76" s="52" t="s">
        <v>3531</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3532</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3536</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3537</v>
      </c>
      <c r="J77" s="46"/>
      <c r="K77" s="46"/>
      <c r="L77" s="46"/>
      <c r="M77" s="46"/>
      <c r="N77" s="46"/>
      <c r="O77" s="46"/>
      <c r="P77" s="46"/>
      <c r="Q77" s="46"/>
      <c r="R77" s="46"/>
      <c r="S77" s="46"/>
      <c r="T77" s="46"/>
      <c r="U77" s="46"/>
      <c r="V77" s="46"/>
      <c r="W77" s="46"/>
    </row>
    <row r="78">
      <c r="A78" s="55" t="s">
        <v>3538</v>
      </c>
      <c r="B78" s="213" t="s">
        <v>3539</v>
      </c>
      <c r="C78" s="55" t="s">
        <v>3540</v>
      </c>
      <c r="D78" s="212" t="str">
        <f>IFERROR(__xludf.DUMMYFUNCTION("GOOGLETRANSLATE(A78,""zh-tw"",""zh"")"),"牛奶是最好的解辣饮品，能大幅缩短解除辣哭了的持续时间")</f>
        <v>牛奶是最好的解辣饮品，能大幅缩短解除辣哭了的持续时间</v>
      </c>
      <c r="E78" s="101" t="s">
        <v>3541</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3542</v>
      </c>
      <c r="I78" s="183" t="s">
        <v>3543</v>
      </c>
      <c r="J78" s="46"/>
      <c r="K78" s="46"/>
      <c r="L78" s="46"/>
      <c r="M78" s="46"/>
      <c r="N78" s="46"/>
      <c r="O78" s="46"/>
      <c r="P78" s="46"/>
      <c r="Q78" s="46"/>
      <c r="R78" s="46"/>
      <c r="S78" s="46"/>
      <c r="T78" s="46"/>
      <c r="U78" s="46"/>
      <c r="V78" s="46"/>
      <c r="W78" s="46"/>
    </row>
    <row r="79">
      <c r="A79" s="55" t="s">
        <v>3544</v>
      </c>
      <c r="B79" s="213" t="s">
        <v>3545</v>
      </c>
      <c r="C79" s="55" t="s">
        <v>3546</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3547</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3548</v>
      </c>
      <c r="I79" s="216" t="s">
        <v>3549</v>
      </c>
      <c r="J79" s="46"/>
      <c r="K79" s="46"/>
      <c r="L79" s="46"/>
      <c r="M79" s="46"/>
      <c r="N79" s="46"/>
      <c r="O79" s="46"/>
      <c r="P79" s="46"/>
      <c r="Q79" s="46"/>
      <c r="R79" s="46"/>
      <c r="S79" s="46"/>
      <c r="T79" s="46"/>
      <c r="U79" s="46"/>
      <c r="V79" s="46"/>
      <c r="W79" s="46"/>
    </row>
    <row r="80">
      <c r="A80" s="55" t="s">
        <v>3550</v>
      </c>
      <c r="B80" s="213" t="s">
        <v>3551</v>
      </c>
      <c r="C80" s="55" t="s">
        <v>3552</v>
      </c>
      <c r="D80" s="212" t="str">
        <f>IFERROR(__xludf.DUMMYFUNCTION("GOOGLETRANSLATE(A80,""zh-tw"",""zh"")"),"ASABA通常会出现在路边的草莓丛中")</f>
        <v>ASABA通常会出现在路边的草莓丛中</v>
      </c>
      <c r="E80" s="101" t="s">
        <v>3553</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3554</v>
      </c>
      <c r="I80" s="183" t="s">
        <v>3555</v>
      </c>
      <c r="J80" s="46"/>
      <c r="K80" s="46"/>
      <c r="L80" s="46"/>
      <c r="M80" s="46"/>
      <c r="N80" s="46"/>
      <c r="O80" s="46"/>
      <c r="P80" s="46"/>
      <c r="Q80" s="46"/>
      <c r="R80" s="46"/>
      <c r="S80" s="46"/>
      <c r="T80" s="46"/>
      <c r="U80" s="46"/>
      <c r="V80" s="46"/>
      <c r="W80" s="46"/>
    </row>
    <row r="81">
      <c r="A81" s="55" t="s">
        <v>3556</v>
      </c>
      <c r="B81" s="213" t="s">
        <v>3557</v>
      </c>
      <c r="C81" s="55" t="s">
        <v>3558</v>
      </c>
      <c r="D81" s="212" t="str">
        <f>IFERROR(__xludf.DUMMYFUNCTION("GOOGLETRANSLATE(A81,""zh-tw"",""zh"")"),"""草莓""食材，目前无实际用途，等待未来更新")</f>
        <v>"草莓"食材，目前无实际用途，等待未来更新</v>
      </c>
      <c r="E81" s="101" t="s">
        <v>3559</v>
      </c>
      <c r="F81" s="213"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55"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213" t="s">
        <v>3560</v>
      </c>
      <c r="I81" s="216" t="s">
        <v>3561</v>
      </c>
      <c r="J81" s="46"/>
      <c r="K81" s="46"/>
      <c r="L81" s="46"/>
      <c r="M81" s="46"/>
      <c r="N81" s="46"/>
      <c r="O81" s="46"/>
      <c r="P81" s="46"/>
      <c r="Q81" s="46"/>
      <c r="R81" s="46"/>
      <c r="S81" s="46"/>
      <c r="T81" s="46"/>
      <c r="U81" s="46"/>
      <c r="V81" s="46"/>
      <c r="W81" s="46"/>
    </row>
    <row r="82">
      <c r="A82" s="52" t="s">
        <v>3562</v>
      </c>
      <c r="B82" s="212" t="s">
        <v>3563</v>
      </c>
      <c r="C82" s="52" t="s">
        <v>3564</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3565</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3566</v>
      </c>
      <c r="I82" s="160" t="s">
        <v>3567</v>
      </c>
      <c r="J82" s="46"/>
      <c r="K82" s="46"/>
      <c r="L82" s="46"/>
      <c r="M82" s="46"/>
      <c r="N82" s="46"/>
      <c r="O82" s="46"/>
      <c r="P82" s="46"/>
      <c r="Q82" s="46"/>
      <c r="R82" s="46"/>
      <c r="S82" s="46"/>
      <c r="T82" s="46"/>
      <c r="U82" s="46"/>
      <c r="V82" s="46"/>
      <c r="W82" s="46"/>
    </row>
    <row r="83">
      <c r="A83" s="52" t="s">
        <v>3568</v>
      </c>
      <c r="B83" s="212" t="s">
        <v>3569</v>
      </c>
      <c r="C83" s="52" t="s">
        <v>3570</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3571</v>
      </c>
      <c r="F83" s="21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12" t="s">
        <v>3572</v>
      </c>
      <c r="I83" s="160" t="s">
        <v>3573</v>
      </c>
      <c r="J83" s="46"/>
      <c r="K83" s="46"/>
      <c r="L83" s="46"/>
      <c r="M83" s="46"/>
      <c r="N83" s="46"/>
      <c r="O83" s="46"/>
      <c r="P83" s="46"/>
      <c r="Q83" s="46"/>
      <c r="R83" s="46"/>
      <c r="S83" s="46"/>
      <c r="T83" s="46"/>
      <c r="U83" s="46"/>
      <c r="V83" s="46"/>
      <c r="W83" s="46"/>
    </row>
    <row r="84" ht="53.25" customHeight="1">
      <c r="A84" s="55" t="s">
        <v>3574</v>
      </c>
      <c r="B84" s="21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5" t="s">
        <v>3575</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3576</v>
      </c>
      <c r="I84" s="183" t="s">
        <v>3577</v>
      </c>
      <c r="J84" s="46"/>
      <c r="K84" s="46"/>
      <c r="L84" s="46"/>
      <c r="M84" s="46"/>
      <c r="N84" s="46"/>
      <c r="O84" s="46"/>
      <c r="P84" s="46"/>
      <c r="Q84" s="46"/>
      <c r="R84" s="46"/>
      <c r="S84" s="46"/>
      <c r="T84" s="46"/>
      <c r="U84" s="46"/>
      <c r="V84" s="46"/>
      <c r="W84" s="46"/>
    </row>
    <row r="85">
      <c r="A85" s="52" t="s">
        <v>3578</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3579</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3580</v>
      </c>
      <c r="I85" s="183" t="s">
        <v>3581</v>
      </c>
      <c r="J85" s="46"/>
      <c r="K85" s="46"/>
      <c r="L85" s="46"/>
      <c r="M85" s="46"/>
      <c r="N85" s="46"/>
      <c r="O85" s="46"/>
      <c r="P85" s="46"/>
      <c r="Q85" s="46"/>
      <c r="R85" s="46"/>
      <c r="S85" s="46"/>
      <c r="T85" s="46"/>
      <c r="U85" s="46"/>
      <c r="V85" s="46"/>
      <c r="W85" s="46"/>
    </row>
    <row r="86">
      <c r="A86" s="55" t="s">
        <v>3582</v>
      </c>
      <c r="B86" s="21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5" t="s">
        <v>3583</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3584</v>
      </c>
      <c r="I86" s="183" t="s">
        <v>3585</v>
      </c>
      <c r="J86" s="46"/>
      <c r="K86" s="46"/>
      <c r="L86" s="46"/>
      <c r="M86" s="46"/>
      <c r="N86" s="46"/>
      <c r="O86" s="46"/>
      <c r="P86" s="46"/>
      <c r="Q86" s="46"/>
      <c r="R86" s="46"/>
      <c r="S86" s="46"/>
      <c r="T86" s="46"/>
      <c r="U86" s="46"/>
      <c r="V86" s="46"/>
      <c r="W86" s="46"/>
    </row>
    <row r="87">
      <c r="A87" s="55" t="s">
        <v>3586</v>
      </c>
      <c r="B87" s="213" t="s">
        <v>3587</v>
      </c>
      <c r="C87" s="55" t="s">
        <v>3588</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3589</v>
      </c>
      <c r="F87" s="21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3590</v>
      </c>
      <c r="I87" s="183" t="s">
        <v>3591</v>
      </c>
      <c r="J87" s="46"/>
      <c r="K87" s="46"/>
      <c r="L87" s="46"/>
      <c r="M87" s="46"/>
      <c r="N87" s="46"/>
      <c r="O87" s="46"/>
      <c r="P87" s="46"/>
      <c r="Q87" s="46"/>
      <c r="R87" s="46"/>
      <c r="S87" s="46"/>
      <c r="T87" s="46"/>
      <c r="U87" s="46"/>
      <c r="V87" s="46"/>
      <c r="W87" s="46"/>
    </row>
    <row r="88">
      <c r="A88" s="52" t="s">
        <v>3592</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3593</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has sido derrotado.")</f>
        <v>En el mapa "Sendero del Aventurero: Monumento", el monumento de piedra muestra el número de veces que has sido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3599</v>
      </c>
      <c r="I89" s="183" t="s">
        <v>3600</v>
      </c>
      <c r="J89" s="46"/>
      <c r="K89" s="46"/>
      <c r="L89" s="46"/>
      <c r="M89" s="46"/>
      <c r="N89" s="46"/>
      <c r="O89" s="46"/>
      <c r="P89" s="46"/>
      <c r="Q89" s="46"/>
      <c r="R89" s="46"/>
      <c r="S89" s="46"/>
      <c r="T89" s="46"/>
      <c r="U89" s="46"/>
      <c r="V89" s="46"/>
      <c r="W89" s="46"/>
    </row>
    <row r="90">
      <c r="A90" s="55" t="s">
        <v>3601</v>
      </c>
      <c r="B90" s="213" t="s">
        <v>3602</v>
      </c>
      <c r="C90" s="55" t="s">
        <v>3603</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3604</v>
      </c>
      <c r="I90" s="183" t="s">
        <v>3605</v>
      </c>
      <c r="J90" s="46"/>
      <c r="K90" s="46"/>
      <c r="L90" s="46"/>
      <c r="M90" s="46"/>
      <c r="N90" s="46"/>
      <c r="O90" s="46"/>
      <c r="P90" s="46"/>
      <c r="Q90" s="46"/>
      <c r="R90" s="46"/>
      <c r="S90" s="46"/>
      <c r="T90" s="46"/>
      <c r="U90" s="46"/>
      <c r="V90" s="46"/>
      <c r="W90" s="46"/>
    </row>
    <row r="91">
      <c r="A91" s="52" t="s">
        <v>3606</v>
      </c>
      <c r="B91" s="212" t="s">
        <v>3607</v>
      </c>
      <c r="C91" s="52" t="s">
        <v>3608</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 la vagoneta antes de que empiece a moverse (esto cambiará algunos de los efectos visuales).")</f>
        <v>Puedes saltar de la vagoneta antes de que empiece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3618</v>
      </c>
      <c r="I93" s="183" t="s">
        <v>3619</v>
      </c>
      <c r="J93" s="46"/>
      <c r="K93" s="46"/>
      <c r="L93" s="46"/>
      <c r="M93" s="46"/>
      <c r="N93" s="46"/>
      <c r="O93" s="46"/>
      <c r="P93" s="46"/>
      <c r="Q93" s="46"/>
      <c r="R93" s="46"/>
      <c r="S93" s="46"/>
      <c r="T93" s="46"/>
      <c r="U93" s="46"/>
      <c r="V93" s="46"/>
      <c r="W93" s="46"/>
    </row>
    <row r="94">
      <c r="A94" s="55" t="s">
        <v>3620</v>
      </c>
      <c r="B94" s="212" t="s">
        <v>3621</v>
      </c>
      <c r="C94" s="55" t="s">
        <v>3622</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3623</v>
      </c>
      <c r="I94" s="183" t="s">
        <v>3624</v>
      </c>
      <c r="J94" s="46"/>
      <c r="K94" s="46"/>
      <c r="L94" s="46"/>
      <c r="M94" s="46"/>
      <c r="N94" s="46"/>
      <c r="O94" s="46"/>
      <c r="P94" s="46"/>
      <c r="Q94" s="46"/>
      <c r="R94" s="46"/>
      <c r="S94" s="46"/>
      <c r="T94" s="46"/>
      <c r="U94" s="46"/>
      <c r="V94" s="46"/>
      <c r="W94" s="46"/>
    </row>
    <row r="95">
      <c r="A95" s="55" t="s">
        <v>3625</v>
      </c>
      <c r="B95" s="213" t="s">
        <v>3626</v>
      </c>
      <c r="C95" s="55" t="s">
        <v>3627</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3628</v>
      </c>
      <c r="I95" s="183" t="s">
        <v>3629</v>
      </c>
      <c r="J95" s="46"/>
      <c r="K95" s="46"/>
      <c r="L95" s="46"/>
      <c r="M95" s="46"/>
      <c r="N95" s="46"/>
      <c r="O95" s="46"/>
      <c r="P95" s="46"/>
      <c r="Q95" s="46"/>
      <c r="R95" s="46"/>
      <c r="S95" s="46"/>
      <c r="T95" s="46"/>
      <c r="U95" s="46"/>
      <c r="V95" s="46"/>
      <c r="W95" s="46"/>
    </row>
    <row r="96">
      <c r="A96" s="55" t="s">
        <v>3630</v>
      </c>
      <c r="B96" s="213" t="s">
        <v>3631</v>
      </c>
      <c r="C96" s="55" t="s">
        <v>3632</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 Si el jugador pierde la batalla, se le confiscarán las zanahorias que lleve consigo.")</f>
        <v>El Conejo Blanco en el Jardín en Miniatura - Si el jugador pierde la batalla, se le confiscarán las zanahorias que lleve consigo.</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13" t="s">
        <v>3633</v>
      </c>
      <c r="I96" s="183" t="s">
        <v>3634</v>
      </c>
      <c r="J96" s="46"/>
      <c r="K96" s="46"/>
      <c r="L96" s="46"/>
      <c r="M96" s="46"/>
      <c r="N96" s="46"/>
      <c r="O96" s="46"/>
      <c r="P96" s="46"/>
      <c r="Q96" s="46"/>
      <c r="R96" s="46"/>
      <c r="S96" s="46"/>
      <c r="T96" s="46"/>
      <c r="U96" s="46"/>
      <c r="V96" s="46"/>
      <c r="W96" s="46"/>
    </row>
    <row r="97">
      <c r="A97" s="52" t="s">
        <v>3635</v>
      </c>
      <c r="B97" s="213" t="s">
        <v>3636</v>
      </c>
      <c r="C97" s="55" t="s">
        <v>3637</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7" s="21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3638</v>
      </c>
      <c r="I97" s="183" t="s">
        <v>3639</v>
      </c>
      <c r="J97" s="46"/>
      <c r="K97" s="46"/>
      <c r="L97" s="46"/>
      <c r="M97" s="46"/>
      <c r="N97" s="46"/>
      <c r="O97" s="46"/>
      <c r="P97" s="46"/>
      <c r="Q97" s="46"/>
      <c r="R97" s="46"/>
      <c r="S97" s="46"/>
      <c r="T97" s="46"/>
      <c r="U97" s="46"/>
      <c r="V97" s="46"/>
      <c r="W97" s="46"/>
    </row>
    <row r="98">
      <c r="A98" s="52" t="s">
        <v>3640</v>
      </c>
      <c r="B98" s="213" t="s">
        <v>3641</v>
      </c>
      <c r="C98" s="55" t="s">
        <v>3642</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todavía no han tenido ningún efecto especial en la dieta de la hermana menor y el hermano mayor.")</f>
        <v>Las fresas y zanahorias de ASABA todavía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3648</v>
      </c>
      <c r="I99" s="183" t="s">
        <v>3649</v>
      </c>
      <c r="J99" s="46"/>
      <c r="K99" s="46"/>
      <c r="L99" s="46"/>
      <c r="M99" s="46"/>
      <c r="N99" s="46"/>
      <c r="O99" s="46"/>
      <c r="P99" s="46"/>
      <c r="Q99" s="46"/>
      <c r="R99" s="46"/>
      <c r="S99" s="46"/>
      <c r="T99" s="46"/>
      <c r="U99" s="46"/>
      <c r="V99" s="46"/>
      <c r="W99" s="46"/>
    </row>
    <row r="100">
      <c r="A100" s="52" t="s">
        <v>3650</v>
      </c>
      <c r="B100" s="212" t="s">
        <v>3651</v>
      </c>
      <c r="C100" s="52" t="s">
        <v>3652</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3653</v>
      </c>
      <c r="I100" s="160" t="s">
        <v>3654</v>
      </c>
      <c r="J100" s="46"/>
      <c r="K100" s="46"/>
      <c r="L100" s="46"/>
      <c r="M100" s="46"/>
      <c r="N100" s="46"/>
      <c r="O100" s="46"/>
      <c r="P100" s="46"/>
      <c r="Q100" s="46"/>
      <c r="R100" s="46"/>
      <c r="S100" s="46"/>
      <c r="T100" s="46"/>
      <c r="U100" s="46"/>
      <c r="V100" s="46"/>
      <c r="W100" s="46"/>
    </row>
    <row r="101">
      <c r="A101" s="52" t="s">
        <v>3655</v>
      </c>
      <c r="B101" s="212" t="s">
        <v>3656</v>
      </c>
      <c r="C101" s="52" t="s">
        <v>3657</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0" t="s">
        <v>3658</v>
      </c>
      <c r="J101" s="46"/>
      <c r="K101" s="46"/>
      <c r="L101" s="46"/>
      <c r="M101" s="46"/>
      <c r="N101" s="46"/>
      <c r="O101" s="46"/>
      <c r="P101" s="46"/>
      <c r="Q101" s="46"/>
      <c r="R101" s="46"/>
      <c r="S101" s="46"/>
      <c r="T101" s="46"/>
      <c r="U101" s="46"/>
      <c r="V101" s="46"/>
      <c r="W101" s="46"/>
    </row>
    <row r="102">
      <c r="A102" s="52" t="s">
        <v>3659</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3660</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3661</v>
      </c>
      <c r="J102" s="46"/>
      <c r="K102" s="46"/>
      <c r="L102" s="46"/>
      <c r="M102" s="46"/>
      <c r="N102" s="46"/>
      <c r="O102" s="46"/>
      <c r="P102" s="46"/>
      <c r="Q102" s="46"/>
      <c r="R102" s="46"/>
      <c r="S102" s="46"/>
      <c r="T102" s="46"/>
      <c r="U102" s="46"/>
      <c r="V102" s="46"/>
      <c r="W102" s="46"/>
    </row>
    <row r="103">
      <c r="A103" s="52" t="s">
        <v>3662</v>
      </c>
      <c r="B103" s="212" t="s">
        <v>3663</v>
      </c>
      <c r="C103" s="52" t="s">
        <v>3664</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Servants no tienen efecto.")</f>
        <v>Rabbit Hole solo puede ser atacado con daño explosivo; otros ataques o ataques de Servants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3665</v>
      </c>
      <c r="I103" s="183" t="s">
        <v>3666</v>
      </c>
      <c r="J103" s="46"/>
      <c r="K103" s="46"/>
      <c r="L103" s="46"/>
      <c r="M103" s="46"/>
      <c r="N103" s="46"/>
      <c r="O103" s="46"/>
      <c r="P103" s="46"/>
      <c r="Q103" s="46"/>
      <c r="R103" s="46"/>
      <c r="S103" s="46"/>
      <c r="T103" s="46"/>
      <c r="U103" s="46"/>
      <c r="V103" s="46"/>
      <c r="W103" s="46"/>
    </row>
    <row r="104">
      <c r="A104" s="52" t="s">
        <v>3667</v>
      </c>
      <c r="B104" s="212" t="s">
        <v>3668</v>
      </c>
      <c r="C104" s="52" t="s">
        <v>3669</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3670</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3680</v>
      </c>
      <c r="I106" s="160"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3690</v>
      </c>
      <c r="I108" s="183"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09" s="21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3705</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3706</v>
      </c>
      <c r="B1" s="221"/>
      <c r="C1" s="221"/>
      <c r="D1" s="221"/>
      <c r="E1" s="222"/>
      <c r="F1" s="220"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3707</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3708</v>
      </c>
      <c r="I3" s="229"/>
      <c r="J3" s="228" t="s">
        <v>3709</v>
      </c>
      <c r="M3" s="229"/>
      <c r="N3" s="228" t="s">
        <v>3710</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3711</v>
      </c>
      <c r="B5" s="232"/>
      <c r="C5" s="232"/>
      <c r="D5" s="232"/>
      <c r="E5" s="233"/>
      <c r="F5" s="231" t="str">
        <f>IFERROR(__xludf.DUMMYFUNCTION("GOOGLETRANSLATE(A5,""zh-tw"",""ja"")"),"荒野地域")</f>
        <v>荒野地域</v>
      </c>
      <c r="G5" s="232"/>
      <c r="H5" s="232"/>
      <c r="I5" s="233"/>
      <c r="J5" s="231" t="s">
        <v>3712</v>
      </c>
      <c r="K5" s="232"/>
      <c r="L5" s="232"/>
      <c r="M5" s="233"/>
      <c r="N5" s="234" t="s">
        <v>3713</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3714</v>
      </c>
      <c r="F6" s="239" t="s">
        <v>723</v>
      </c>
      <c r="G6" s="240" t="s">
        <v>723</v>
      </c>
      <c r="H6" s="241" t="s">
        <v>3715</v>
      </c>
      <c r="I6" s="239" t="s">
        <v>723</v>
      </c>
      <c r="J6" s="242" t="s">
        <v>723</v>
      </c>
      <c r="K6" s="243" t="s">
        <v>723</v>
      </c>
      <c r="L6" s="242" t="s">
        <v>723</v>
      </c>
      <c r="M6" s="244" t="s">
        <v>3716</v>
      </c>
      <c r="N6" s="245" t="s">
        <v>723</v>
      </c>
      <c r="O6" s="245" t="s">
        <v>723</v>
      </c>
      <c r="P6" s="246" t="s">
        <v>723</v>
      </c>
      <c r="Q6" s="246" t="s">
        <v>723</v>
      </c>
      <c r="R6" s="247" t="s">
        <v>3717</v>
      </c>
      <c r="S6" s="248"/>
      <c r="T6" s="249"/>
      <c r="U6" s="249"/>
      <c r="V6" s="250"/>
      <c r="W6" s="251"/>
      <c r="X6" s="251"/>
      <c r="Y6" s="251"/>
      <c r="Z6" s="251"/>
      <c r="AA6" s="251"/>
    </row>
    <row r="7" ht="75.0" customHeight="1">
      <c r="A7" s="237" t="s">
        <v>723</v>
      </c>
      <c r="B7" s="237" t="s">
        <v>723</v>
      </c>
      <c r="C7" s="237" t="s">
        <v>3718</v>
      </c>
      <c r="D7" s="252" t="s">
        <v>3719</v>
      </c>
      <c r="E7" s="253" t="s">
        <v>3720</v>
      </c>
      <c r="F7" s="239" t="str">
        <f>IFERROR(__xludf.DUMMYFUNCTION("GOOGLETRANSLATE(B7,""zh-tw"",""ja"")"),"-")</f>
        <v>-</v>
      </c>
      <c r="G7" s="240" t="s">
        <v>3721</v>
      </c>
      <c r="H7" s="254" t="s">
        <v>3722</v>
      </c>
      <c r="I7" s="239" t="str">
        <f>IFERROR(__xludf.DUMMYFUNCTION("GOOGLETRANSLATE(#REF!,""zh-tw"",""ja"")"),"#REF!")</f>
        <v>#REF!</v>
      </c>
      <c r="J7" s="242" t="str">
        <f>IFERROR(__xludf.DUMMYFUNCTION("GOOGLETRANSLATE(B7,""zh-tw"",""en"")"),"-")</f>
        <v>-</v>
      </c>
      <c r="K7" s="243" t="s">
        <v>3723</v>
      </c>
      <c r="L7" s="242" t="str">
        <f>IFERROR(__xludf.DUMMYFUNCTION("GOOGLETRANSLATE(D7,""zh-tw"",""en"")"),"Development Zone (Mine Pit) -2")</f>
        <v>Development Zone (Mine Pit) -2</v>
      </c>
      <c r="M7" s="255" t="s">
        <v>3724</v>
      </c>
      <c r="N7" s="245" t="s">
        <v>723</v>
      </c>
      <c r="O7" s="245" t="str">
        <f>IFERROR(__xludf.DUMMYFUNCTION("GOOGLETRANSLATE(B7,""zh-tw"",""zh"")"),"-")</f>
        <v>-</v>
      </c>
      <c r="P7" s="246" t="s">
        <v>3725</v>
      </c>
      <c r="Q7" s="256" t="s">
        <v>723</v>
      </c>
      <c r="R7" s="257" t="s">
        <v>3726</v>
      </c>
      <c r="S7" s="248"/>
      <c r="T7" s="249"/>
      <c r="U7" s="249"/>
      <c r="V7" s="258"/>
      <c r="W7" s="251"/>
      <c r="X7" s="251"/>
      <c r="Y7" s="251"/>
      <c r="Z7" s="251"/>
      <c r="AA7" s="251"/>
    </row>
    <row r="8">
      <c r="A8" s="237" t="s">
        <v>723</v>
      </c>
      <c r="B8" s="238" t="s">
        <v>3727</v>
      </c>
      <c r="C8" s="238" t="s">
        <v>3728</v>
      </c>
      <c r="D8" s="238" t="s">
        <v>3729</v>
      </c>
      <c r="E8" s="237" t="s">
        <v>3730</v>
      </c>
      <c r="F8" s="241" t="s">
        <v>3731</v>
      </c>
      <c r="G8" s="241" t="s">
        <v>3732</v>
      </c>
      <c r="H8" s="239" t="s">
        <v>3733</v>
      </c>
      <c r="I8" s="239" t="str">
        <f>IFERROR(__xludf.DUMMYFUNCTION("GOOGLETRANSLATE(#REF!,""zh-tw"",""ja"")"),"#REF!")</f>
        <v>#REF!</v>
      </c>
      <c r="J8" s="244" t="s">
        <v>3734</v>
      </c>
      <c r="K8" s="244" t="s">
        <v>3735</v>
      </c>
      <c r="L8" s="242" t="s">
        <v>3736</v>
      </c>
      <c r="M8" s="242" t="s">
        <v>3736</v>
      </c>
      <c r="N8" s="245" t="s">
        <v>723</v>
      </c>
      <c r="O8" s="247" t="s">
        <v>3737</v>
      </c>
      <c r="P8" s="247" t="s">
        <v>3738</v>
      </c>
      <c r="Q8" s="247" t="s">
        <v>3739</v>
      </c>
      <c r="R8" s="245" t="s">
        <v>3740</v>
      </c>
      <c r="S8" s="259"/>
      <c r="T8" s="249"/>
      <c r="U8" s="249"/>
      <c r="V8" s="249"/>
      <c r="W8" s="251"/>
      <c r="X8" s="251"/>
      <c r="Y8" s="251"/>
      <c r="Z8" s="251"/>
      <c r="AA8" s="251"/>
    </row>
    <row r="9">
      <c r="A9" s="237" t="s">
        <v>723</v>
      </c>
      <c r="B9" s="238" t="s">
        <v>3741</v>
      </c>
      <c r="C9" s="238" t="s">
        <v>3742</v>
      </c>
      <c r="D9" s="252" t="s">
        <v>723</v>
      </c>
      <c r="E9" s="260" t="s">
        <v>3743</v>
      </c>
      <c r="F9" s="241" t="s">
        <v>3744</v>
      </c>
      <c r="G9" s="241" t="s">
        <v>3745</v>
      </c>
      <c r="H9" s="241" t="s">
        <v>3746</v>
      </c>
      <c r="I9" s="239" t="s">
        <v>723</v>
      </c>
      <c r="J9" s="244" t="s">
        <v>3747</v>
      </c>
      <c r="K9" s="244" t="s">
        <v>3748</v>
      </c>
      <c r="L9" s="243" t="s">
        <v>723</v>
      </c>
      <c r="M9" s="244" t="s">
        <v>3749</v>
      </c>
      <c r="N9" s="245" t="s">
        <v>723</v>
      </c>
      <c r="O9" s="247" t="s">
        <v>3750</v>
      </c>
      <c r="P9" s="247" t="s">
        <v>3751</v>
      </c>
      <c r="Q9" s="246" t="s">
        <v>723</v>
      </c>
      <c r="R9" s="247" t="s">
        <v>3752</v>
      </c>
      <c r="S9" s="248"/>
      <c r="T9" s="249"/>
      <c r="U9" s="249"/>
      <c r="V9" s="249"/>
      <c r="W9" s="251"/>
      <c r="X9" s="251"/>
      <c r="Y9" s="251"/>
      <c r="Z9" s="251"/>
      <c r="AA9" s="251"/>
    </row>
    <row r="10" ht="60.0" customHeight="1">
      <c r="A10" s="237" t="s">
        <v>723</v>
      </c>
      <c r="B10" s="238" t="s">
        <v>3753</v>
      </c>
      <c r="C10" s="261" t="s">
        <v>3754</v>
      </c>
      <c r="D10" s="238" t="s">
        <v>3755</v>
      </c>
      <c r="E10" s="238" t="s">
        <v>3756</v>
      </c>
      <c r="F10" s="241" t="s">
        <v>3757</v>
      </c>
      <c r="G10" s="262" t="s">
        <v>3758</v>
      </c>
      <c r="H10" s="241" t="s">
        <v>3759</v>
      </c>
      <c r="I10" s="240" t="s">
        <v>723</v>
      </c>
      <c r="J10" s="244" t="s">
        <v>3760</v>
      </c>
      <c r="K10" s="263" t="s">
        <v>3761</v>
      </c>
      <c r="L10" s="244" t="s">
        <v>3762</v>
      </c>
      <c r="M10" s="244" t="s">
        <v>3763</v>
      </c>
      <c r="N10" s="245" t="s">
        <v>723</v>
      </c>
      <c r="O10" s="264" t="s">
        <v>3764</v>
      </c>
      <c r="P10" s="265" t="s">
        <v>3765</v>
      </c>
      <c r="Q10" s="247" t="s">
        <v>3766</v>
      </c>
      <c r="R10" s="266" t="s">
        <v>3767</v>
      </c>
      <c r="S10" s="248"/>
      <c r="T10" s="249"/>
      <c r="U10" s="249"/>
      <c r="V10" s="249"/>
      <c r="W10" s="267"/>
      <c r="X10" s="267"/>
      <c r="Y10" s="267"/>
      <c r="Z10" s="267"/>
      <c r="AA10" s="267"/>
    </row>
    <row r="11" ht="65.25" customHeight="1">
      <c r="A11" s="237" t="s">
        <v>723</v>
      </c>
      <c r="B11" s="238" t="s">
        <v>3768</v>
      </c>
      <c r="C11" s="268"/>
      <c r="D11" s="253" t="s">
        <v>3769</v>
      </c>
      <c r="E11" s="253" t="s">
        <v>3770</v>
      </c>
      <c r="F11" s="241" t="s">
        <v>3771</v>
      </c>
      <c r="G11" s="268"/>
      <c r="H11" s="241" t="s">
        <v>3772</v>
      </c>
      <c r="I11" s="241" t="s">
        <v>3773</v>
      </c>
      <c r="J11" s="244" t="s">
        <v>3774</v>
      </c>
      <c r="K11" s="268"/>
      <c r="L11" s="244" t="s">
        <v>3775</v>
      </c>
      <c r="M11" s="244" t="s">
        <v>3776</v>
      </c>
      <c r="N11" s="245" t="s">
        <v>723</v>
      </c>
      <c r="O11" s="247" t="s">
        <v>3777</v>
      </c>
      <c r="P11" s="268"/>
      <c r="Q11" s="247" t="s">
        <v>3778</v>
      </c>
      <c r="R11" s="247" t="s">
        <v>3779</v>
      </c>
      <c r="S11" s="248"/>
      <c r="T11" s="249"/>
      <c r="U11" s="249"/>
      <c r="V11" s="249"/>
      <c r="W11" s="269"/>
      <c r="X11" s="269"/>
      <c r="Y11" s="269"/>
      <c r="Z11" s="269"/>
      <c r="AA11" s="269"/>
    </row>
    <row r="12">
      <c r="A12" s="237" t="s">
        <v>723</v>
      </c>
      <c r="B12" s="238" t="s">
        <v>3780</v>
      </c>
      <c r="C12" s="237" t="s">
        <v>3781</v>
      </c>
      <c r="D12" s="238" t="s">
        <v>3782</v>
      </c>
      <c r="E12" s="253" t="s">
        <v>3783</v>
      </c>
      <c r="F12" s="241" t="s">
        <v>3784</v>
      </c>
      <c r="G12" s="239" t="s">
        <v>3785</v>
      </c>
      <c r="H12" s="239" t="str">
        <f>IFERROR(__xludf.DUMMYFUNCTION("GOOGLETRANSLATE(D12,""zh-tw"",""ja"")"),"▲ ハンターズロッジ R69
▼")</f>
        <v>▲ ハンターズロッジ R69
▼</v>
      </c>
      <c r="I12" s="239" t="str">
        <f>IFERROR(__xludf.DUMMYFUNCTION("GOOGLETRANSLATE(#REF!,""zh-tw"",""ja"")"),"#REF!")</f>
        <v>#REF!</v>
      </c>
      <c r="J12" s="244" t="s">
        <v>3786</v>
      </c>
      <c r="K12" s="242" t="s">
        <v>3787</v>
      </c>
      <c r="L12" s="242" t="s">
        <v>3788</v>
      </c>
      <c r="M12" s="244" t="s">
        <v>3789</v>
      </c>
      <c r="N12" s="245" t="s">
        <v>723</v>
      </c>
      <c r="O12" s="247" t="s">
        <v>3790</v>
      </c>
      <c r="P12" s="245" t="str">
        <f>IFERROR(__xludf.DUMMYFUNCTION("GOOGLETRANSLATE(C12,""zh-tw"",""zh"")"),"提前回家
R1")</f>
        <v>提前回家
R1</v>
      </c>
      <c r="Q12" s="247" t="s">
        <v>3791</v>
      </c>
      <c r="R12" s="247" t="s">
        <v>3792</v>
      </c>
      <c r="S12" s="248"/>
      <c r="T12" s="249"/>
      <c r="U12" s="249"/>
      <c r="V12" s="249"/>
      <c r="W12" s="251"/>
      <c r="X12" s="251"/>
      <c r="Y12" s="251"/>
      <c r="Z12" s="251"/>
      <c r="AA12" s="251"/>
    </row>
    <row r="13">
      <c r="A13" s="237" t="s">
        <v>723</v>
      </c>
      <c r="B13" s="238" t="s">
        <v>3793</v>
      </c>
      <c r="C13" s="237" t="s">
        <v>3794</v>
      </c>
      <c r="D13" s="238" t="s">
        <v>3795</v>
      </c>
      <c r="E13" s="237" t="s">
        <v>723</v>
      </c>
      <c r="F13" s="240"/>
      <c r="G13" s="239"/>
      <c r="H13" s="239"/>
      <c r="I13" s="239"/>
      <c r="J13" s="244" t="s">
        <v>3796</v>
      </c>
      <c r="K13" s="242" t="s">
        <v>3797</v>
      </c>
      <c r="L13" s="242" t="s">
        <v>3798</v>
      </c>
      <c r="M13" s="242"/>
      <c r="N13" s="245" t="s">
        <v>723</v>
      </c>
      <c r="O13" s="247" t="s">
        <v>3799</v>
      </c>
      <c r="P13" s="245" t="s">
        <v>3800</v>
      </c>
      <c r="Q13" s="247" t="s">
        <v>3801</v>
      </c>
      <c r="R13" s="245" t="s">
        <v>723</v>
      </c>
      <c r="S13" s="248"/>
      <c r="T13" s="249"/>
      <c r="U13" s="249"/>
      <c r="V13" s="270"/>
      <c r="W13" s="251"/>
      <c r="X13" s="251"/>
      <c r="Y13" s="251"/>
      <c r="Z13" s="251"/>
      <c r="AA13" s="251"/>
    </row>
    <row r="14">
      <c r="A14" s="237" t="s">
        <v>723</v>
      </c>
      <c r="B14" s="238" t="s">
        <v>3802</v>
      </c>
      <c r="C14" s="237" t="s">
        <v>2744</v>
      </c>
      <c r="D14" s="237" t="s">
        <v>723</v>
      </c>
      <c r="E14" s="237" t="s">
        <v>723</v>
      </c>
      <c r="F14" s="240"/>
      <c r="G14" s="239"/>
      <c r="H14" s="239"/>
      <c r="I14" s="239"/>
      <c r="J14" s="244" t="s">
        <v>3803</v>
      </c>
      <c r="K14" s="242" t="s">
        <v>2750</v>
      </c>
      <c r="L14" s="242"/>
      <c r="M14" s="242"/>
      <c r="N14" s="245" t="s">
        <v>723</v>
      </c>
      <c r="O14" s="247" t="s">
        <v>3804</v>
      </c>
      <c r="P14" s="245" t="s">
        <v>3805</v>
      </c>
      <c r="Q14" s="245" t="s">
        <v>723</v>
      </c>
      <c r="R14" s="245" t="s">
        <v>723</v>
      </c>
      <c r="S14" s="271"/>
      <c r="T14" s="249"/>
      <c r="U14" s="270"/>
      <c r="V14" s="270"/>
      <c r="W14" s="251"/>
      <c r="X14" s="251"/>
      <c r="Y14" s="251"/>
      <c r="Z14" s="251"/>
      <c r="AA14" s="251"/>
    </row>
    <row r="15">
      <c r="A15" s="237" t="s">
        <v>3806</v>
      </c>
      <c r="B15" s="238" t="s">
        <v>3807</v>
      </c>
      <c r="C15" s="237" t="s">
        <v>3808</v>
      </c>
      <c r="D15" s="237" t="s">
        <v>723</v>
      </c>
      <c r="E15" s="237" t="s">
        <v>723</v>
      </c>
      <c r="F15" s="240"/>
      <c r="G15" s="239"/>
      <c r="H15" s="239"/>
      <c r="I15" s="239"/>
      <c r="J15" s="244" t="s">
        <v>3809</v>
      </c>
      <c r="K15" s="242" t="s">
        <v>3810</v>
      </c>
      <c r="L15" s="242"/>
      <c r="M15" s="242"/>
      <c r="N15" s="245" t="s">
        <v>3811</v>
      </c>
      <c r="O15" s="247" t="s">
        <v>3812</v>
      </c>
      <c r="P15" s="245" t="s">
        <v>3811</v>
      </c>
      <c r="Q15" s="245" t="s">
        <v>723</v>
      </c>
      <c r="R15" s="245" t="s">
        <v>723</v>
      </c>
      <c r="S15" s="248"/>
      <c r="T15" s="249"/>
      <c r="U15" s="270"/>
      <c r="V15" s="270"/>
      <c r="W15" s="251"/>
      <c r="X15" s="251"/>
      <c r="Y15" s="251"/>
      <c r="Z15" s="251"/>
      <c r="AA15" s="251"/>
    </row>
    <row r="16">
      <c r="A16" s="231" t="s">
        <v>3718</v>
      </c>
      <c r="B16" s="232"/>
      <c r="C16" s="232"/>
      <c r="D16" s="232"/>
      <c r="E16" s="233"/>
      <c r="F16" s="231" t="str">
        <f>IFERROR(__xludf.DUMMYFUNCTION("GOOGLETRANSLATE(A16,""zh-tw"",""ja"")"),"遺跡エリア")</f>
        <v>遺跡エリア</v>
      </c>
      <c r="G16" s="232"/>
      <c r="H16" s="232"/>
      <c r="I16" s="233"/>
      <c r="J16" s="231" t="s">
        <v>3813</v>
      </c>
      <c r="K16" s="232"/>
      <c r="L16" s="232"/>
      <c r="M16" s="233"/>
      <c r="N16" s="231" t="s">
        <v>3725</v>
      </c>
      <c r="O16" s="232"/>
      <c r="P16" s="232"/>
      <c r="Q16" s="232"/>
      <c r="R16" s="233"/>
      <c r="S16" s="272"/>
      <c r="T16" s="226"/>
      <c r="U16" s="226"/>
      <c r="V16" s="227"/>
      <c r="W16" s="273"/>
      <c r="X16" s="273"/>
      <c r="Y16" s="273"/>
      <c r="Z16" s="273"/>
      <c r="AA16" s="273"/>
      <c r="AB16" s="273"/>
    </row>
    <row r="17">
      <c r="A17" s="237" t="s">
        <v>723</v>
      </c>
      <c r="B17" s="237" t="s">
        <v>723</v>
      </c>
      <c r="C17" s="238" t="s">
        <v>3814</v>
      </c>
      <c r="D17" s="237" t="s">
        <v>723</v>
      </c>
      <c r="E17" s="237" t="s">
        <v>723</v>
      </c>
      <c r="F17" s="239"/>
      <c r="G17" s="274" t="s">
        <v>3815</v>
      </c>
      <c r="H17" s="275"/>
      <c r="I17" s="275"/>
      <c r="J17" s="276"/>
      <c r="K17" s="277" t="s">
        <v>3816</v>
      </c>
      <c r="L17" s="276"/>
      <c r="M17" s="276"/>
      <c r="N17" s="278" t="s">
        <v>723</v>
      </c>
      <c r="O17" s="278" t="s">
        <v>723</v>
      </c>
      <c r="P17" s="279" t="s">
        <v>3817</v>
      </c>
      <c r="Q17" s="278" t="s">
        <v>723</v>
      </c>
      <c r="R17" s="278" t="s">
        <v>723</v>
      </c>
      <c r="S17" s="280"/>
      <c r="T17" s="281"/>
      <c r="U17" s="270"/>
      <c r="V17" s="270"/>
      <c r="W17" s="282"/>
      <c r="X17" s="282"/>
      <c r="Y17" s="282"/>
      <c r="Z17" s="282"/>
      <c r="AA17" s="282"/>
      <c r="AB17" s="282"/>
    </row>
    <row r="18">
      <c r="A18" s="237" t="s">
        <v>723</v>
      </c>
      <c r="B18" s="238" t="s">
        <v>3818</v>
      </c>
      <c r="C18" s="238" t="s">
        <v>3819</v>
      </c>
      <c r="D18" s="237" t="s">
        <v>723</v>
      </c>
      <c r="E18" s="237" t="s">
        <v>723</v>
      </c>
      <c r="F18" s="241" t="s">
        <v>3820</v>
      </c>
      <c r="G18" s="241" t="s">
        <v>3821</v>
      </c>
      <c r="H18" s="275"/>
      <c r="I18" s="275"/>
      <c r="J18" s="283" t="s">
        <v>3822</v>
      </c>
      <c r="K18" s="284" t="s">
        <v>3823</v>
      </c>
      <c r="L18" s="276"/>
      <c r="M18" s="276"/>
      <c r="N18" s="278" t="s">
        <v>723</v>
      </c>
      <c r="O18" s="285" t="s">
        <v>3824</v>
      </c>
      <c r="P18" s="285" t="s">
        <v>3825</v>
      </c>
      <c r="Q18" s="278" t="s">
        <v>723</v>
      </c>
      <c r="R18" s="278" t="s">
        <v>723</v>
      </c>
      <c r="S18" s="259"/>
      <c r="T18" s="249"/>
      <c r="U18" s="270"/>
      <c r="V18" s="270"/>
      <c r="W18" s="282"/>
      <c r="X18" s="282"/>
      <c r="Y18" s="282"/>
      <c r="Z18" s="282"/>
      <c r="AA18" s="282"/>
      <c r="AB18" s="282"/>
    </row>
    <row r="19">
      <c r="A19" s="237" t="s">
        <v>723</v>
      </c>
      <c r="B19" s="237" t="s">
        <v>723</v>
      </c>
      <c r="C19" s="286" t="s">
        <v>3826</v>
      </c>
      <c r="D19" s="237" t="s">
        <v>3827</v>
      </c>
      <c r="E19" s="237" t="s">
        <v>723</v>
      </c>
      <c r="F19" s="239"/>
      <c r="G19" s="287" t="s">
        <v>3828</v>
      </c>
      <c r="H19" s="275"/>
      <c r="I19" s="275"/>
      <c r="J19" s="276"/>
      <c r="K19" s="288" t="s">
        <v>3829</v>
      </c>
      <c r="L19" s="276"/>
      <c r="M19" s="276"/>
      <c r="N19" s="278" t="s">
        <v>723</v>
      </c>
      <c r="O19" s="278" t="s">
        <v>723</v>
      </c>
      <c r="P19" s="289" t="s">
        <v>3830</v>
      </c>
      <c r="Q19" s="278" t="s">
        <v>3831</v>
      </c>
      <c r="R19" s="278" t="s">
        <v>723</v>
      </c>
      <c r="S19" s="280"/>
      <c r="T19" s="258"/>
      <c r="U19" s="270"/>
      <c r="V19" s="270"/>
      <c r="W19" s="282"/>
      <c r="X19" s="282"/>
      <c r="Y19" s="282"/>
      <c r="Z19" s="282"/>
      <c r="AA19" s="282"/>
      <c r="AB19" s="282"/>
    </row>
    <row r="20">
      <c r="A20" s="237" t="s">
        <v>723</v>
      </c>
      <c r="B20" s="237" t="s">
        <v>723</v>
      </c>
      <c r="C20" s="286" t="s">
        <v>3832</v>
      </c>
      <c r="D20" s="238" t="s">
        <v>3833</v>
      </c>
      <c r="E20" s="237" t="s">
        <v>723</v>
      </c>
      <c r="F20" s="239"/>
      <c r="G20" s="287" t="s">
        <v>3834</v>
      </c>
      <c r="H20" s="241" t="s">
        <v>3835</v>
      </c>
      <c r="I20" s="275"/>
      <c r="J20" s="276"/>
      <c r="K20" s="290" t="s">
        <v>3836</v>
      </c>
      <c r="L20" s="244" t="s">
        <v>3837</v>
      </c>
      <c r="M20" s="276"/>
      <c r="N20" s="278" t="s">
        <v>723</v>
      </c>
      <c r="O20" s="278" t="s">
        <v>723</v>
      </c>
      <c r="P20" s="291" t="s">
        <v>3838</v>
      </c>
      <c r="Q20" s="285" t="s">
        <v>3839</v>
      </c>
      <c r="R20" s="278" t="s">
        <v>723</v>
      </c>
      <c r="S20" s="280"/>
      <c r="T20" s="249"/>
      <c r="U20" s="250"/>
      <c r="V20" s="270"/>
      <c r="W20" s="282"/>
      <c r="X20" s="282"/>
      <c r="Y20" s="282"/>
      <c r="Z20" s="282"/>
      <c r="AA20" s="282"/>
      <c r="AB20" s="282"/>
    </row>
    <row r="21">
      <c r="A21" s="292" t="s">
        <v>723</v>
      </c>
      <c r="B21" s="292" t="s">
        <v>723</v>
      </c>
      <c r="C21" s="238" t="s">
        <v>3840</v>
      </c>
      <c r="D21" s="237" t="s">
        <v>723</v>
      </c>
      <c r="E21" s="237" t="s">
        <v>723</v>
      </c>
      <c r="F21" s="239"/>
      <c r="G21" s="241" t="s">
        <v>3841</v>
      </c>
      <c r="H21" s="275"/>
      <c r="I21" s="275"/>
      <c r="J21" s="276"/>
      <c r="K21" s="284" t="s">
        <v>3842</v>
      </c>
      <c r="L21" s="276"/>
      <c r="M21" s="276"/>
      <c r="N21" s="278" t="s">
        <v>723</v>
      </c>
      <c r="O21" s="278" t="s">
        <v>723</v>
      </c>
      <c r="P21" s="285" t="s">
        <v>3843</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3844</v>
      </c>
      <c r="AB1" s="300"/>
      <c r="AC1" s="300"/>
      <c r="AD1" s="300"/>
      <c r="AE1" s="300"/>
    </row>
    <row r="2" ht="41.25" customHeight="1">
      <c r="AB2" s="300"/>
      <c r="AC2" s="300"/>
      <c r="AD2" s="300"/>
      <c r="AE2" s="300"/>
    </row>
    <row r="3" ht="88.5" customHeight="1">
      <c r="A3" s="70" t="s">
        <v>3845</v>
      </c>
      <c r="B3" s="301" t="s">
        <v>3846</v>
      </c>
      <c r="C3" s="302" t="s">
        <v>3847</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3848</v>
      </c>
      <c r="H3" s="301" t="s">
        <v>3849</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3850</v>
      </c>
      <c r="W3" s="14" t="s">
        <v>3851</v>
      </c>
      <c r="X3" s="309" t="s">
        <v>3852</v>
      </c>
      <c r="Y3" s="145" t="s">
        <v>3853</v>
      </c>
      <c r="Z3" s="310" t="s">
        <v>3854</v>
      </c>
      <c r="AA3" s="311" t="s">
        <v>3855</v>
      </c>
      <c r="AB3" s="312"/>
      <c r="AC3" s="312"/>
      <c r="AD3" s="312"/>
      <c r="AE3" s="312"/>
    </row>
    <row r="4">
      <c r="A4" s="148" t="s">
        <v>3856</v>
      </c>
      <c r="B4" s="161" t="s">
        <v>3857</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3858</v>
      </c>
      <c r="H4" s="317" t="s">
        <v>3859</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3860</v>
      </c>
      <c r="W4" s="317" t="s">
        <v>3861</v>
      </c>
      <c r="X4" s="319" t="s">
        <v>3862</v>
      </c>
      <c r="Y4" s="154" t="s">
        <v>3863</v>
      </c>
      <c r="Z4" s="164" t="s">
        <v>3864</v>
      </c>
      <c r="AA4" s="320" t="s">
        <v>723</v>
      </c>
      <c r="AB4" s="17"/>
      <c r="AC4" s="17"/>
      <c r="AD4" s="17"/>
      <c r="AE4" s="17"/>
    </row>
    <row r="5">
      <c r="A5" s="148" t="s">
        <v>3865</v>
      </c>
      <c r="B5" s="161" t="s">
        <v>3866</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3867</v>
      </c>
      <c r="H5" s="317" t="s">
        <v>3868</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3869</v>
      </c>
      <c r="Q5" s="161" t="s">
        <v>3870</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3871</v>
      </c>
      <c r="W5" s="317" t="s">
        <v>3872</v>
      </c>
      <c r="X5" s="319" t="s">
        <v>3862</v>
      </c>
      <c r="Y5" s="154" t="s">
        <v>3873</v>
      </c>
      <c r="Z5" s="164" t="s">
        <v>3874</v>
      </c>
      <c r="AA5" s="320" t="s">
        <v>723</v>
      </c>
      <c r="AB5" s="17"/>
      <c r="AC5" s="17"/>
      <c r="AD5" s="17"/>
      <c r="AE5" s="17"/>
    </row>
    <row r="6">
      <c r="A6" s="148" t="s">
        <v>3875</v>
      </c>
      <c r="B6" s="161" t="s">
        <v>3876</v>
      </c>
      <c r="C6" s="313" t="s">
        <v>723</v>
      </c>
      <c r="D6" s="314" t="str">
        <f>IFERROR(__xludf.DUMMYFUNCTION("GOOGLETRANSLATE(A6,""zh-tw"",""ja"")"),"猫スライム")</f>
        <v>猫スライム</v>
      </c>
      <c r="E6" s="317" t="s">
        <v>3877</v>
      </c>
      <c r="F6" s="316" t="str">
        <f>IFERROR(__xludf.DUMMYFUNCTION("GOOGLETRANSLATE(C6,""zh-tw"",""ja"")"),"-")</f>
        <v>-</v>
      </c>
      <c r="G6" s="174" t="s">
        <v>3878</v>
      </c>
      <c r="H6" s="317" t="s">
        <v>3879</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3880</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3881</v>
      </c>
      <c r="W6" s="317" t="s">
        <v>3882</v>
      </c>
      <c r="X6" s="319" t="s">
        <v>3862</v>
      </c>
      <c r="Y6" s="154" t="s">
        <v>3883</v>
      </c>
      <c r="Z6" s="164" t="s">
        <v>3884</v>
      </c>
      <c r="AA6" s="320" t="s">
        <v>723</v>
      </c>
      <c r="AB6" s="17"/>
      <c r="AC6" s="17"/>
      <c r="AD6" s="17"/>
      <c r="AE6" s="17"/>
    </row>
    <row r="7">
      <c r="A7" s="148" t="s">
        <v>3885</v>
      </c>
      <c r="B7" s="161" t="s">
        <v>3886</v>
      </c>
      <c r="C7" s="313" t="s">
        <v>723</v>
      </c>
      <c r="D7" s="314" t="str">
        <f>IFERROR(__xludf.DUMMYFUNCTION("GOOGLETRANSLATE(A7,""zh-tw"",""ja"")"),"草食スライム")</f>
        <v>草食スライム</v>
      </c>
      <c r="E7" s="317" t="s">
        <v>3887</v>
      </c>
      <c r="F7" s="316" t="str">
        <f>IFERROR(__xludf.DUMMYFUNCTION("GOOGLETRANSLATE(C7,""zh-tw"",""ja"")"),"-")</f>
        <v>-</v>
      </c>
      <c r="G7" s="174" t="s">
        <v>3888</v>
      </c>
      <c r="H7" s="317" t="s">
        <v>3889</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3890</v>
      </c>
      <c r="Q7" s="161" t="s">
        <v>3891</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3892</v>
      </c>
      <c r="W7" s="317" t="s">
        <v>3893</v>
      </c>
      <c r="X7" s="319" t="s">
        <v>3862</v>
      </c>
      <c r="Y7" s="154" t="s">
        <v>3894</v>
      </c>
      <c r="Z7" s="164" t="s">
        <v>3895</v>
      </c>
      <c r="AA7" s="320" t="s">
        <v>723</v>
      </c>
      <c r="AB7" s="17"/>
      <c r="AC7" s="17"/>
      <c r="AD7" s="17"/>
      <c r="AE7" s="17"/>
    </row>
    <row r="8">
      <c r="A8" s="148" t="s">
        <v>3896</v>
      </c>
      <c r="B8" s="161" t="s">
        <v>3897</v>
      </c>
      <c r="C8" s="313" t="s">
        <v>723</v>
      </c>
      <c r="D8" s="174" t="s">
        <v>3898</v>
      </c>
      <c r="E8" s="317" t="s">
        <v>3899</v>
      </c>
      <c r="F8" s="316" t="str">
        <f>IFERROR(__xludf.DUMMYFUNCTION("GOOGLETRANSLATE(C8,""zh-tw"",""ja"")"),"-")</f>
        <v>-</v>
      </c>
      <c r="G8" s="174" t="s">
        <v>3900</v>
      </c>
      <c r="H8" s="317" t="s">
        <v>3901</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3902</v>
      </c>
      <c r="Q8" s="161" t="s">
        <v>3903</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3904</v>
      </c>
      <c r="W8" s="317" t="s">
        <v>3905</v>
      </c>
      <c r="X8" s="319" t="s">
        <v>3862</v>
      </c>
      <c r="Y8" s="154" t="s">
        <v>3906</v>
      </c>
      <c r="Z8" s="164" t="s">
        <v>3907</v>
      </c>
      <c r="AA8" s="320" t="s">
        <v>723</v>
      </c>
      <c r="AB8" s="17"/>
      <c r="AC8" s="17"/>
      <c r="AD8" s="17"/>
      <c r="AE8" s="17"/>
    </row>
    <row r="9">
      <c r="A9" s="148" t="s">
        <v>3908</v>
      </c>
      <c r="B9" s="161" t="s">
        <v>3909</v>
      </c>
      <c r="C9" s="313" t="s">
        <v>723</v>
      </c>
      <c r="D9" s="314" t="str">
        <f>IFERROR(__xludf.DUMMYFUNCTION("GOOGLETRANSLATE(A9,""zh-tw"",""ja"")"),"ジャックスライム")</f>
        <v>ジャックスライム</v>
      </c>
      <c r="E9" s="317" t="s">
        <v>3910</v>
      </c>
      <c r="F9" s="316" t="str">
        <f>IFERROR(__xludf.DUMMYFUNCTION("GOOGLETRANSLATE(C9,""zh-tw"",""ja"")"),"-")</f>
        <v>-</v>
      </c>
      <c r="G9" s="174" t="s">
        <v>3911</v>
      </c>
      <c r="H9" s="317" t="s">
        <v>3912</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3913</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3914</v>
      </c>
      <c r="W9" s="317" t="s">
        <v>3915</v>
      </c>
      <c r="X9" s="319" t="s">
        <v>3862</v>
      </c>
      <c r="Y9" s="154" t="s">
        <v>3916</v>
      </c>
      <c r="Z9" s="164" t="s">
        <v>3917</v>
      </c>
      <c r="AA9" s="320" t="s">
        <v>723</v>
      </c>
      <c r="AB9" s="17"/>
      <c r="AC9" s="17"/>
      <c r="AD9" s="17"/>
      <c r="AE9" s="17"/>
    </row>
    <row r="10" ht="41.25" customHeight="1">
      <c r="A10" s="148" t="s">
        <v>3918</v>
      </c>
      <c r="B10" s="161" t="s">
        <v>3919</v>
      </c>
      <c r="C10" s="313" t="s">
        <v>723</v>
      </c>
      <c r="D10" s="174" t="s">
        <v>3920</v>
      </c>
      <c r="E10" s="317" t="s">
        <v>3921</v>
      </c>
      <c r="F10" s="316" t="str">
        <f>IFERROR(__xludf.DUMMYFUNCTION("GOOGLETRANSLATE(C10,""zh-tw"",""ja"")"),"-")</f>
        <v>-</v>
      </c>
      <c r="G10" s="174" t="s">
        <v>3922</v>
      </c>
      <c r="H10" s="317" t="s">
        <v>3923</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3924</v>
      </c>
      <c r="Q10" s="161" t="s">
        <v>3925</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3926</v>
      </c>
      <c r="W10" s="317" t="s">
        <v>3927</v>
      </c>
      <c r="X10" s="319" t="s">
        <v>3862</v>
      </c>
      <c r="Y10" s="154" t="s">
        <v>3928</v>
      </c>
      <c r="Z10" s="164" t="s">
        <v>3929</v>
      </c>
      <c r="AA10" s="320" t="s">
        <v>723</v>
      </c>
      <c r="AB10" s="17"/>
      <c r="AC10" s="17"/>
      <c r="AD10" s="17"/>
      <c r="AE10" s="17"/>
    </row>
    <row r="11">
      <c r="A11" s="148" t="s">
        <v>3930</v>
      </c>
      <c r="B11" s="161" t="s">
        <v>3931</v>
      </c>
      <c r="C11" s="313" t="s">
        <v>723</v>
      </c>
      <c r="D11" s="314" t="str">
        <f>IFERROR(__xludf.DUMMYFUNCTION("GOOGLETRANSLATE(A11,""zh-tw"",""ja"")"),"ビリビリスライム")</f>
        <v>ビリビリスライム</v>
      </c>
      <c r="E11" s="317" t="s">
        <v>3932</v>
      </c>
      <c r="F11" s="316" t="str">
        <f>IFERROR(__xludf.DUMMYFUNCTION("GOOGLETRANSLATE(C11,""zh-tw"",""ja"")"),"-")</f>
        <v>-</v>
      </c>
      <c r="G11" s="174" t="s">
        <v>3933</v>
      </c>
      <c r="H11" s="317" t="s">
        <v>3934</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3935</v>
      </c>
      <c r="Q11" s="161" t="s">
        <v>3936</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3937</v>
      </c>
      <c r="W11" s="317" t="s">
        <v>3938</v>
      </c>
      <c r="X11" s="319" t="s">
        <v>3862</v>
      </c>
      <c r="Y11" s="154" t="s">
        <v>3939</v>
      </c>
      <c r="Z11" s="164" t="s">
        <v>3940</v>
      </c>
      <c r="AA11" s="320" t="s">
        <v>723</v>
      </c>
      <c r="AB11" s="17"/>
      <c r="AC11" s="17"/>
      <c r="AD11" s="17"/>
      <c r="AE11" s="17"/>
    </row>
    <row r="12">
      <c r="A12" s="148" t="s">
        <v>3941</v>
      </c>
      <c r="B12" s="161" t="s">
        <v>3942</v>
      </c>
      <c r="C12" s="313" t="s">
        <v>723</v>
      </c>
      <c r="D12" s="174" t="s">
        <v>3943</v>
      </c>
      <c r="E12" s="317" t="s">
        <v>3944</v>
      </c>
      <c r="F12" s="316" t="str">
        <f>IFERROR(__xludf.DUMMYFUNCTION("GOOGLETRANSLATE(C12,""zh-tw"",""ja"")"),"-")</f>
        <v>-</v>
      </c>
      <c r="G12" s="174" t="s">
        <v>3945</v>
      </c>
      <c r="H12" s="317" t="s">
        <v>3946</v>
      </c>
      <c r="I12" s="316" t="str">
        <f>IFERROR(__xludf.DUMMYFUNCTION("GOOGLETRANSLATE(C12,""zh-tw"",""en"")"),"-")</f>
        <v>-</v>
      </c>
      <c r="J12" s="314" t="str">
        <f>IFERROR(__xludf.DUMMYFUNCTION("GOOGLETRANSLATE(A12,""zh-tw"",""zh"")"),"初级兽人")</f>
        <v>初级兽人</v>
      </c>
      <c r="K12" s="317" t="s">
        <v>3947</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3948</v>
      </c>
      <c r="Q12" s="161" t="s">
        <v>3949</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3950</v>
      </c>
      <c r="W12" s="317" t="s">
        <v>3951</v>
      </c>
      <c r="X12" s="319" t="s">
        <v>3862</v>
      </c>
      <c r="Y12" s="154" t="s">
        <v>3952</v>
      </c>
      <c r="Z12" s="164" t="s">
        <v>3953</v>
      </c>
      <c r="AA12" s="320" t="s">
        <v>723</v>
      </c>
      <c r="AB12" s="17"/>
      <c r="AC12" s="17"/>
      <c r="AD12" s="17"/>
      <c r="AE12" s="17"/>
    </row>
    <row r="13">
      <c r="A13" s="148" t="s">
        <v>3954</v>
      </c>
      <c r="B13" s="161" t="s">
        <v>3955</v>
      </c>
      <c r="C13" s="313" t="s">
        <v>723</v>
      </c>
      <c r="D13" s="174" t="s">
        <v>3954</v>
      </c>
      <c r="E13" s="317" t="s">
        <v>3956</v>
      </c>
      <c r="F13" s="316" t="str">
        <f>IFERROR(__xludf.DUMMYFUNCTION("GOOGLETRANSLATE(C13,""zh-tw"",""ja"")"),"-")</f>
        <v>-</v>
      </c>
      <c r="G13" s="174" t="s">
        <v>3957</v>
      </c>
      <c r="H13" s="317" t="s">
        <v>3958</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3959</v>
      </c>
      <c r="Q13" s="161" t="s">
        <v>3960</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3961</v>
      </c>
      <c r="W13" s="317" t="s">
        <v>3962</v>
      </c>
      <c r="X13" s="319" t="s">
        <v>3862</v>
      </c>
      <c r="Y13" s="154" t="s">
        <v>3963</v>
      </c>
      <c r="Z13" s="164" t="s">
        <v>3964</v>
      </c>
      <c r="AA13" s="320" t="s">
        <v>723</v>
      </c>
      <c r="AB13" s="17"/>
      <c r="AC13" s="17"/>
      <c r="AD13" s="17"/>
      <c r="AE13" s="17"/>
    </row>
    <row r="14">
      <c r="A14" s="148" t="s">
        <v>3965</v>
      </c>
      <c r="B14" s="161" t="s">
        <v>3966</v>
      </c>
      <c r="C14" s="313" t="s">
        <v>723</v>
      </c>
      <c r="D14" s="174" t="s">
        <v>3967</v>
      </c>
      <c r="E14" s="317" t="s">
        <v>3968</v>
      </c>
      <c r="F14" s="316" t="str">
        <f>IFERROR(__xludf.DUMMYFUNCTION("GOOGLETRANSLATE(C14,""zh-tw"",""ja"")"),"-")</f>
        <v>-</v>
      </c>
      <c r="G14" s="174" t="s">
        <v>3969</v>
      </c>
      <c r="H14" s="317" t="s">
        <v>3970</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3971</v>
      </c>
      <c r="W14" s="317" t="s">
        <v>3972</v>
      </c>
      <c r="X14" s="319" t="s">
        <v>3862</v>
      </c>
      <c r="Y14" s="154" t="s">
        <v>3973</v>
      </c>
      <c r="Z14" s="164" t="s">
        <v>3974</v>
      </c>
      <c r="AA14" s="320" t="s">
        <v>723</v>
      </c>
      <c r="AB14" s="17"/>
      <c r="AC14" s="17"/>
      <c r="AD14" s="17"/>
      <c r="AE14" s="17"/>
    </row>
    <row r="15">
      <c r="A15" s="148" t="s">
        <v>3975</v>
      </c>
      <c r="B15" s="161" t="s">
        <v>3976</v>
      </c>
      <c r="C15" s="313" t="s">
        <v>723</v>
      </c>
      <c r="D15" s="174" t="s">
        <v>3975</v>
      </c>
      <c r="E15" s="317" t="s">
        <v>3977</v>
      </c>
      <c r="F15" s="316" t="str">
        <f>IFERROR(__xludf.DUMMYFUNCTION("GOOGLETRANSLATE(C15,""zh-tw"",""ja"")"),"-")</f>
        <v>-</v>
      </c>
      <c r="G15" s="174" t="s">
        <v>3978</v>
      </c>
      <c r="H15" s="317" t="s">
        <v>3979</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3980</v>
      </c>
      <c r="Q15" s="161" t="s">
        <v>3981</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3982</v>
      </c>
      <c r="W15" s="317" t="s">
        <v>3983</v>
      </c>
      <c r="X15" s="319" t="s">
        <v>3862</v>
      </c>
      <c r="Y15" s="154" t="s">
        <v>3984</v>
      </c>
      <c r="Z15" s="164" t="s">
        <v>3985</v>
      </c>
      <c r="AA15" s="320" t="s">
        <v>723</v>
      </c>
      <c r="AB15" s="17"/>
      <c r="AC15" s="17"/>
      <c r="AD15" s="17"/>
      <c r="AE15" s="17"/>
    </row>
    <row r="16">
      <c r="A16" s="148" t="s">
        <v>3986</v>
      </c>
      <c r="B16" s="161" t="s">
        <v>3987</v>
      </c>
      <c r="C16" s="313" t="s">
        <v>723</v>
      </c>
      <c r="D16" s="174" t="s">
        <v>3988</v>
      </c>
      <c r="E16" s="317" t="s">
        <v>3989</v>
      </c>
      <c r="F16" s="316" t="str">
        <f>IFERROR(__xludf.DUMMYFUNCTION("GOOGLETRANSLATE(C16,""zh-tw"",""ja"")"),"-")</f>
        <v>-</v>
      </c>
      <c r="G16" s="174" t="s">
        <v>3990</v>
      </c>
      <c r="H16" s="317" t="s">
        <v>3991</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3992</v>
      </c>
      <c r="Q16" s="317" t="s">
        <v>3993</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3994</v>
      </c>
      <c r="W16" s="317" t="s">
        <v>3995</v>
      </c>
      <c r="X16" s="319" t="s">
        <v>3862</v>
      </c>
      <c r="Y16" s="154" t="s">
        <v>3996</v>
      </c>
      <c r="Z16" s="164" t="s">
        <v>3997</v>
      </c>
      <c r="AA16" s="320" t="s">
        <v>723</v>
      </c>
      <c r="AB16" s="17"/>
      <c r="AC16" s="17"/>
      <c r="AD16" s="17"/>
      <c r="AE16" s="17"/>
    </row>
    <row r="17">
      <c r="A17" s="148" t="s">
        <v>3998</v>
      </c>
      <c r="B17" s="161" t="s">
        <v>3999</v>
      </c>
      <c r="C17" s="313" t="s">
        <v>723</v>
      </c>
      <c r="D17" s="174" t="s">
        <v>4000</v>
      </c>
      <c r="E17" s="315" t="str">
        <f>IFERROR(__xludf.DUMMYFUNCTION("GOOGLETRANSLATE(B17,""zh-tw"",""ja"")"),"騎士の剣")</f>
        <v>騎士の剣</v>
      </c>
      <c r="F17" s="316" t="str">
        <f>IFERROR(__xludf.DUMMYFUNCTION("GOOGLETRANSLATE(C17,""zh-tw"",""ja"")"),"-")</f>
        <v>-</v>
      </c>
      <c r="G17" s="174" t="s">
        <v>4001</v>
      </c>
      <c r="H17" s="317" t="s">
        <v>4002</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4003</v>
      </c>
      <c r="Q17" s="161" t="s">
        <v>4004</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4005</v>
      </c>
      <c r="W17" s="317" t="s">
        <v>4006</v>
      </c>
      <c r="X17" s="319" t="s">
        <v>4007</v>
      </c>
      <c r="Y17" s="154" t="s">
        <v>4008</v>
      </c>
      <c r="Z17" s="164" t="s">
        <v>4009</v>
      </c>
      <c r="AA17" s="320" t="s">
        <v>723</v>
      </c>
      <c r="AB17" s="17"/>
      <c r="AC17" s="17"/>
      <c r="AD17" s="17"/>
      <c r="AE17" s="17"/>
    </row>
    <row r="18">
      <c r="A18" s="148" t="s">
        <v>4010</v>
      </c>
      <c r="B18" s="161" t="s">
        <v>4010</v>
      </c>
      <c r="C18" s="313" t="s">
        <v>4011</v>
      </c>
      <c r="D18" s="314" t="str">
        <f>IFERROR(__xludf.DUMMYFUNCTION("GOOGLETRANSLATE(A18,""zh-tw"",""ja"")"),"とても大きな卵")</f>
        <v>とても大きな卵</v>
      </c>
      <c r="E18" s="315" t="str">
        <f>IFERROR(__xludf.DUMMYFUNCTION("GOOGLETRANSLATE(B18,""zh-tw"",""ja"")"),"とても大きな卵")</f>
        <v>とても大きな卵</v>
      </c>
      <c r="F18" s="319" t="s">
        <v>4012</v>
      </c>
      <c r="G18" s="174" t="s">
        <v>4013</v>
      </c>
      <c r="H18" s="317" t="s">
        <v>4013</v>
      </c>
      <c r="I18" s="319" t="s">
        <v>4014</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4015</v>
      </c>
      <c r="Q18" s="161" t="s">
        <v>4015</v>
      </c>
      <c r="R18" s="313" t="s">
        <v>4016</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4017</v>
      </c>
      <c r="W18" s="317" t="s">
        <v>4018</v>
      </c>
      <c r="X18" s="319" t="s">
        <v>4019</v>
      </c>
      <c r="Y18" s="154" t="s">
        <v>4020</v>
      </c>
      <c r="Z18" s="164" t="s">
        <v>4020</v>
      </c>
      <c r="AA18" s="320" t="s">
        <v>4021</v>
      </c>
      <c r="AB18" s="17"/>
      <c r="AC18" s="17"/>
      <c r="AD18" s="17"/>
      <c r="AE18" s="17"/>
    </row>
    <row r="19">
      <c r="A19" s="148" t="s">
        <v>4022</v>
      </c>
      <c r="B19" s="161" t="s">
        <v>4023</v>
      </c>
      <c r="C19" s="313" t="s">
        <v>4024</v>
      </c>
      <c r="D19" s="174" t="s">
        <v>4025</v>
      </c>
      <c r="E19" s="315" t="str">
        <f>IFERROR(__xludf.DUMMYFUNCTION("GOOGLETRANSLATE(B19,""zh-tw"",""ja"")"),"キノコ")</f>
        <v>キノコ</v>
      </c>
      <c r="F19" s="319" t="s">
        <v>4026</v>
      </c>
      <c r="G19" s="174" t="s">
        <v>4027</v>
      </c>
      <c r="H19" s="317" t="s">
        <v>4028</v>
      </c>
      <c r="I19" s="319" t="s">
        <v>4029</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4030</v>
      </c>
      <c r="Q19" s="162" t="str">
        <f>IFERROR(__xludf.DUMMYFUNCTION("GOOGLETRANSLATE(B19,""zh-tw"",""KO"")"),"버섯")</f>
        <v>버섯</v>
      </c>
      <c r="R19" s="313" t="s">
        <v>4031</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4032</v>
      </c>
      <c r="W19" s="317" t="s">
        <v>4033</v>
      </c>
      <c r="X19" s="319" t="s">
        <v>4034</v>
      </c>
      <c r="Y19" s="154" t="s">
        <v>4035</v>
      </c>
      <c r="Z19" s="164" t="s">
        <v>4036</v>
      </c>
      <c r="AA19" s="320" t="s">
        <v>4037</v>
      </c>
      <c r="AB19" s="17"/>
      <c r="AC19" s="17"/>
      <c r="AD19" s="17"/>
      <c r="AE19" s="17"/>
    </row>
    <row r="20">
      <c r="A20" s="148" t="s">
        <v>4038</v>
      </c>
      <c r="B20" s="161" t="s">
        <v>4039</v>
      </c>
      <c r="C20" s="313" t="s">
        <v>4040</v>
      </c>
      <c r="D20" s="174" t="s">
        <v>4041</v>
      </c>
      <c r="E20" s="315" t="str">
        <f>IFERROR(__xludf.DUMMYFUNCTION("GOOGLETRANSLATE(B20,""zh-tw"",""ja"")"),"椎茸 / ヒラタケ / カニタケ / キノコ")</f>
        <v>椎茸 / ヒラタケ / カニタケ / キノコ</v>
      </c>
      <c r="F20" s="319" t="s">
        <v>4042</v>
      </c>
      <c r="G20" s="174" t="s">
        <v>4043</v>
      </c>
      <c r="H20" s="317" t="s">
        <v>4044</v>
      </c>
      <c r="I20" s="319" t="s">
        <v>4045</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4046</v>
      </c>
      <c r="Q20" s="161" t="s">
        <v>4047</v>
      </c>
      <c r="R20" s="313" t="s">
        <v>4048</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4049</v>
      </c>
      <c r="W20" s="317" t="s">
        <v>4050</v>
      </c>
      <c r="X20" s="319" t="s">
        <v>4051</v>
      </c>
      <c r="Y20" s="154" t="s">
        <v>4052</v>
      </c>
      <c r="Z20" s="164" t="s">
        <v>4053</v>
      </c>
      <c r="AA20" s="320" t="s">
        <v>4054</v>
      </c>
      <c r="AB20" s="17"/>
      <c r="AC20" s="17"/>
      <c r="AD20" s="17"/>
      <c r="AE20" s="17"/>
    </row>
    <row r="21">
      <c r="A21" s="148" t="s">
        <v>4055</v>
      </c>
      <c r="B21" s="161" t="s">
        <v>4056</v>
      </c>
      <c r="C21" s="313" t="s">
        <v>4057</v>
      </c>
      <c r="D21" s="174" t="s">
        <v>4058</v>
      </c>
      <c r="E21" s="315" t="str">
        <f>IFERROR(__xludf.DUMMYFUNCTION("GOOGLETRANSLATE(B21,""zh-tw"",""ja"")"),"火の鳥の羽")</f>
        <v>火の鳥の羽</v>
      </c>
      <c r="F21" s="319" t="s">
        <v>4059</v>
      </c>
      <c r="G21" s="174" t="s">
        <v>4060</v>
      </c>
      <c r="H21" s="317" t="s">
        <v>4061</v>
      </c>
      <c r="I21" s="319" t="s">
        <v>4062</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4063</v>
      </c>
      <c r="Q21" s="161" t="s">
        <v>4064</v>
      </c>
      <c r="R21" s="313" t="s">
        <v>4065</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4066</v>
      </c>
      <c r="W21" s="317" t="s">
        <v>4067</v>
      </c>
      <c r="X21" s="319" t="s">
        <v>4068</v>
      </c>
      <c r="Y21" s="154" t="s">
        <v>4069</v>
      </c>
      <c r="Z21" s="164" t="s">
        <v>4070</v>
      </c>
      <c r="AA21" s="320" t="s">
        <v>4071</v>
      </c>
      <c r="AB21" s="17"/>
      <c r="AC21" s="17"/>
      <c r="AD21" s="17"/>
      <c r="AE21" s="17"/>
    </row>
    <row r="22">
      <c r="A22" s="148" t="s">
        <v>4072</v>
      </c>
      <c r="B22" s="161" t="s">
        <v>4073</v>
      </c>
      <c r="C22" s="313" t="s">
        <v>4074</v>
      </c>
      <c r="D22" s="174" t="s">
        <v>4075</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4076</v>
      </c>
      <c r="H22" s="317" t="s">
        <v>4077</v>
      </c>
      <c r="I22" s="319" t="s">
        <v>4078</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4079</v>
      </c>
      <c r="Q22" s="161" t="s">
        <v>4080</v>
      </c>
      <c r="R22" s="313" t="s">
        <v>4081</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4082</v>
      </c>
      <c r="W22" s="317" t="s">
        <v>4083</v>
      </c>
      <c r="X22" s="319" t="s">
        <v>4084</v>
      </c>
      <c r="Y22" s="154" t="s">
        <v>4085</v>
      </c>
      <c r="Z22" s="164" t="s">
        <v>4086</v>
      </c>
      <c r="AA22" s="320" t="s">
        <v>4087</v>
      </c>
      <c r="AB22" s="17"/>
      <c r="AC22" s="17"/>
      <c r="AD22" s="17"/>
      <c r="AE22" s="17"/>
    </row>
    <row r="23">
      <c r="A23" s="148" t="s">
        <v>4088</v>
      </c>
      <c r="B23" s="161" t="s">
        <v>4089</v>
      </c>
      <c r="C23" s="313" t="s">
        <v>4090</v>
      </c>
      <c r="D23" s="174" t="s">
        <v>4091</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4092</v>
      </c>
      <c r="G23" s="174" t="s">
        <v>4093</v>
      </c>
      <c r="H23" s="317" t="s">
        <v>4094</v>
      </c>
      <c r="I23" s="319" t="s">
        <v>4095</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4096</v>
      </c>
      <c r="Q23" s="161" t="s">
        <v>4097</v>
      </c>
      <c r="R23" s="313" t="s">
        <v>4098</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4099</v>
      </c>
      <c r="W23" s="317" t="s">
        <v>4100</v>
      </c>
      <c r="X23" s="319" t="s">
        <v>4101</v>
      </c>
      <c r="Y23" s="158" t="s">
        <v>4102</v>
      </c>
      <c r="Z23" s="186" t="s">
        <v>4103</v>
      </c>
      <c r="AA23" s="321" t="s">
        <v>4104</v>
      </c>
      <c r="AB23" s="17"/>
      <c r="AC23" s="17"/>
      <c r="AD23" s="17"/>
      <c r="AE23" s="17"/>
    </row>
    <row r="24">
      <c r="A24" s="148" t="s">
        <v>4105</v>
      </c>
      <c r="B24" s="161" t="s">
        <v>4089</v>
      </c>
      <c r="C24" s="313" t="s">
        <v>4106</v>
      </c>
      <c r="D24" s="148" t="s">
        <v>4105</v>
      </c>
      <c r="E24" s="317" t="s">
        <v>4107</v>
      </c>
      <c r="F24" s="319" t="s">
        <v>4108</v>
      </c>
      <c r="G24" s="174" t="s">
        <v>4109</v>
      </c>
      <c r="H24" s="317" t="s">
        <v>4094</v>
      </c>
      <c r="I24" s="319" t="s">
        <v>4110</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4111</v>
      </c>
      <c r="Z24" s="186" t="s">
        <v>4112</v>
      </c>
      <c r="AA24" s="321" t="s">
        <v>4113</v>
      </c>
      <c r="AB24" s="17"/>
      <c r="AC24" s="17"/>
      <c r="AD24" s="17"/>
      <c r="AE24" s="17"/>
    </row>
    <row r="25">
      <c r="A25" s="148" t="s">
        <v>4114</v>
      </c>
      <c r="B25" s="161" t="s">
        <v>4115</v>
      </c>
      <c r="C25" s="313" t="s">
        <v>4116</v>
      </c>
      <c r="D25" s="148" t="s">
        <v>4114</v>
      </c>
      <c r="E25" s="317" t="s">
        <v>4117</v>
      </c>
      <c r="F25" s="319" t="s">
        <v>4118</v>
      </c>
      <c r="G25" s="174" t="s">
        <v>4119</v>
      </c>
      <c r="H25" s="317" t="s">
        <v>4120</v>
      </c>
      <c r="I25" s="319" t="s">
        <v>4121</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4122</v>
      </c>
      <c r="Z25" s="186" t="s">
        <v>4123</v>
      </c>
      <c r="AA25" s="321" t="s">
        <v>4124</v>
      </c>
      <c r="AB25" s="17"/>
      <c r="AC25" s="17"/>
      <c r="AD25" s="17"/>
      <c r="AE25" s="17"/>
    </row>
    <row r="26">
      <c r="A26" s="148" t="s">
        <v>4125</v>
      </c>
      <c r="B26" s="161" t="s">
        <v>4126</v>
      </c>
      <c r="C26" s="313" t="s">
        <v>723</v>
      </c>
      <c r="D26" s="174" t="s">
        <v>4127</v>
      </c>
      <c r="E26" s="315" t="str">
        <f>IFERROR(__xludf.DUMMYFUNCTION("GOOGLETRANSLATE(B26,""zh-tw"",""ja"")"),"星月夜/招き猫/タロットカード")</f>
        <v>星月夜/招き猫/タロットカード</v>
      </c>
      <c r="F26" s="316" t="str">
        <f>IFERROR(__xludf.DUMMYFUNCTION("GOOGLETRANSLATE(C26,""zh-tw"",""ja"")"),"-")</f>
        <v>-</v>
      </c>
      <c r="G26" s="174" t="s">
        <v>4128</v>
      </c>
      <c r="H26" s="317" t="s">
        <v>4129</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4130</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4131</v>
      </c>
      <c r="W26" s="317" t="s">
        <v>4132</v>
      </c>
      <c r="X26" s="319" t="s">
        <v>3862</v>
      </c>
      <c r="Y26" s="154" t="s">
        <v>4133</v>
      </c>
      <c r="Z26" s="164" t="s">
        <v>4134</v>
      </c>
      <c r="AA26" s="320" t="s">
        <v>723</v>
      </c>
      <c r="AB26" s="17"/>
      <c r="AC26" s="17"/>
      <c r="AD26" s="17"/>
      <c r="AE26" s="17"/>
    </row>
    <row r="27">
      <c r="A27" s="148" t="s">
        <v>4135</v>
      </c>
      <c r="B27" s="161" t="s">
        <v>4136</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4137</v>
      </c>
      <c r="H27" s="317" t="s">
        <v>4138</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4139</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4140</v>
      </c>
      <c r="W27" s="317" t="s">
        <v>4141</v>
      </c>
      <c r="X27" s="319" t="s">
        <v>3862</v>
      </c>
      <c r="Y27" s="154" t="s">
        <v>4142</v>
      </c>
      <c r="Z27" s="164" t="s">
        <v>4143</v>
      </c>
      <c r="AA27" s="321" t="s">
        <v>723</v>
      </c>
      <c r="AB27" s="17"/>
      <c r="AC27" s="17"/>
      <c r="AD27" s="17"/>
      <c r="AE27" s="17"/>
    </row>
    <row r="28">
      <c r="A28" s="148" t="s">
        <v>4144</v>
      </c>
      <c r="B28" s="161" t="s">
        <v>4145</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4146</v>
      </c>
      <c r="H28" s="317" t="s">
        <v>4147</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4148</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4149</v>
      </c>
      <c r="W28" s="317" t="s">
        <v>4150</v>
      </c>
      <c r="X28" s="319" t="s">
        <v>3862</v>
      </c>
      <c r="Y28" s="154" t="s">
        <v>4146</v>
      </c>
      <c r="Z28" s="164" t="s">
        <v>4151</v>
      </c>
      <c r="AA28" s="320" t="s">
        <v>723</v>
      </c>
      <c r="AB28" s="17"/>
      <c r="AC28" s="17"/>
      <c r="AD28" s="17"/>
      <c r="AE28" s="17"/>
    </row>
    <row r="29">
      <c r="A29" s="148" t="s">
        <v>4152</v>
      </c>
      <c r="B29" s="161" t="s">
        <v>4153</v>
      </c>
      <c r="C29" s="313" t="s">
        <v>723</v>
      </c>
      <c r="D29" s="174" t="s">
        <v>4154</v>
      </c>
      <c r="E29" s="317" t="s">
        <v>4155</v>
      </c>
      <c r="F29" s="316" t="str">
        <f>IFERROR(__xludf.DUMMYFUNCTION("GOOGLETRANSLATE(C29,""zh-tw"",""ja"")"),"-")</f>
        <v>-</v>
      </c>
      <c r="G29" s="314" t="str">
        <f>IFERROR(__xludf.DUMMYFUNCTION("GOOGLETRANSLATE(A29,""zh-tw"",""en"")"),"Maid Bunny")</f>
        <v>Maid Bunny</v>
      </c>
      <c r="H29" s="317" t="s">
        <v>4156</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4157</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4158</v>
      </c>
      <c r="W29" s="317" t="s">
        <v>4159</v>
      </c>
      <c r="X29" s="319" t="s">
        <v>4160</v>
      </c>
      <c r="Y29" s="154" t="s">
        <v>4161</v>
      </c>
      <c r="Z29" s="164" t="s">
        <v>4162</v>
      </c>
      <c r="AA29" s="320" t="s">
        <v>723</v>
      </c>
      <c r="AB29" s="17"/>
      <c r="AC29" s="17"/>
      <c r="AD29" s="17"/>
      <c r="AE29" s="17"/>
    </row>
    <row r="30">
      <c r="A30" s="148" t="s">
        <v>4163</v>
      </c>
      <c r="B30" s="161" t="s">
        <v>4164</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4165</v>
      </c>
      <c r="H30" s="317" t="s">
        <v>4166</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4167</v>
      </c>
      <c r="Q30" s="161" t="s">
        <v>4168</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4169</v>
      </c>
      <c r="W30" s="317" t="s">
        <v>4170</v>
      </c>
      <c r="X30" s="319" t="s">
        <v>4171</v>
      </c>
      <c r="Y30" s="154" t="s">
        <v>4172</v>
      </c>
      <c r="Z30" s="164" t="s">
        <v>4173</v>
      </c>
      <c r="AA30" s="320" t="s">
        <v>723</v>
      </c>
      <c r="AB30" s="17"/>
      <c r="AC30" s="17"/>
      <c r="AD30" s="17"/>
      <c r="AE30" s="17"/>
    </row>
    <row r="31">
      <c r="A31" s="148" t="s">
        <v>4174</v>
      </c>
      <c r="B31" s="161" t="s">
        <v>4175</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4176</v>
      </c>
      <c r="H31" s="317" t="s">
        <v>4177</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4178</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4179</v>
      </c>
      <c r="W31" s="317" t="s">
        <v>4180</v>
      </c>
      <c r="X31" s="319" t="s">
        <v>4181</v>
      </c>
      <c r="Y31" s="154" t="s">
        <v>4182</v>
      </c>
      <c r="Z31" s="164" t="s">
        <v>4183</v>
      </c>
      <c r="AA31" s="320" t="s">
        <v>723</v>
      </c>
      <c r="AB31" s="17"/>
      <c r="AC31" s="17"/>
      <c r="AD31" s="17"/>
      <c r="AE31" s="17"/>
    </row>
    <row r="32">
      <c r="A32" s="148" t="s">
        <v>4184</v>
      </c>
      <c r="B32" s="161" t="s">
        <v>4185</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4186</v>
      </c>
      <c r="H32" s="317" t="s">
        <v>4187</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4188</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4189</v>
      </c>
      <c r="W32" s="317" t="s">
        <v>4190</v>
      </c>
      <c r="X32" s="319" t="s">
        <v>3862</v>
      </c>
      <c r="Y32" s="154" t="s">
        <v>4191</v>
      </c>
      <c r="Z32" s="164" t="s">
        <v>4192</v>
      </c>
      <c r="AA32" s="320" t="s">
        <v>723</v>
      </c>
      <c r="AB32" s="17"/>
      <c r="AC32" s="17"/>
      <c r="AD32" s="17"/>
      <c r="AE32" s="17"/>
    </row>
    <row r="33">
      <c r="A33" s="148" t="s">
        <v>4193</v>
      </c>
      <c r="B33" s="161" t="s">
        <v>4194</v>
      </c>
      <c r="C33" s="313" t="s">
        <v>4195</v>
      </c>
      <c r="D33" s="314" t="str">
        <f>IFERROR(__xludf.DUMMYFUNCTION("GOOGLETRANSLATE(A33,""zh-tw"",""ja"")"),"狂乱の赤い獣")</f>
        <v>狂乱の赤い獣</v>
      </c>
      <c r="E33" s="317" t="s">
        <v>4196</v>
      </c>
      <c r="F33" s="319" t="s">
        <v>4197</v>
      </c>
      <c r="G33" s="174" t="s">
        <v>4198</v>
      </c>
      <c r="H33" s="317" t="s">
        <v>4199</v>
      </c>
      <c r="I33" s="319" t="s">
        <v>4200</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4201</v>
      </c>
      <c r="R33" s="313" t="s">
        <v>4202</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4203</v>
      </c>
      <c r="W33" s="317" t="s">
        <v>4204</v>
      </c>
      <c r="X33" s="319" t="s">
        <v>4205</v>
      </c>
      <c r="Y33" s="154" t="s">
        <v>4206</v>
      </c>
      <c r="Z33" s="164" t="s">
        <v>4207</v>
      </c>
      <c r="AA33" s="320" t="s">
        <v>4208</v>
      </c>
      <c r="AB33" s="17"/>
      <c r="AC33" s="17"/>
      <c r="AD33" s="17"/>
      <c r="AE33" s="17"/>
    </row>
    <row r="34">
      <c r="A34" s="148" t="s">
        <v>4209</v>
      </c>
      <c r="B34" s="161" t="s">
        <v>4210</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4211</v>
      </c>
      <c r="H34" s="317" t="s">
        <v>4212</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4213</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4214</v>
      </c>
      <c r="W34" s="317" t="s">
        <v>4215</v>
      </c>
      <c r="X34" s="319" t="s">
        <v>4216</v>
      </c>
      <c r="Y34" s="154" t="s">
        <v>4217</v>
      </c>
      <c r="Z34" s="164" t="s">
        <v>4218</v>
      </c>
      <c r="AA34" s="320" t="s">
        <v>723</v>
      </c>
      <c r="AB34" s="17"/>
      <c r="AC34" s="17"/>
      <c r="AD34" s="17"/>
      <c r="AE34" s="17"/>
    </row>
    <row r="35">
      <c r="A35" s="148" t="s">
        <v>4219</v>
      </c>
      <c r="B35" s="161" t="s">
        <v>4220</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4221</v>
      </c>
      <c r="H35" s="317" t="s">
        <v>4222</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4223</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4224</v>
      </c>
      <c r="W35" s="317" t="s">
        <v>4225</v>
      </c>
      <c r="X35" s="319" t="s">
        <v>4216</v>
      </c>
      <c r="Y35" s="154" t="s">
        <v>4226</v>
      </c>
      <c r="Z35" s="164" t="s">
        <v>4227</v>
      </c>
      <c r="AA35" s="320" t="s">
        <v>723</v>
      </c>
      <c r="AB35" s="17"/>
      <c r="AC35" s="17"/>
      <c r="AD35" s="17"/>
      <c r="AE35" s="17"/>
    </row>
    <row r="36">
      <c r="A36" s="148" t="s">
        <v>4228</v>
      </c>
      <c r="B36" s="161" t="s">
        <v>4229</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4230</v>
      </c>
      <c r="H36" s="317" t="s">
        <v>4231</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4232</v>
      </c>
      <c r="W36" s="317" t="s">
        <v>4233</v>
      </c>
      <c r="X36" s="319" t="s">
        <v>4216</v>
      </c>
      <c r="Y36" s="154" t="s">
        <v>4234</v>
      </c>
      <c r="Z36" s="164" t="s">
        <v>4235</v>
      </c>
      <c r="AA36" s="320" t="s">
        <v>723</v>
      </c>
      <c r="AB36" s="17"/>
      <c r="AC36" s="17"/>
      <c r="AD36" s="17"/>
      <c r="AE36" s="17"/>
    </row>
    <row r="37">
      <c r="A37" s="148" t="s">
        <v>4236</v>
      </c>
      <c r="B37" s="161" t="s">
        <v>4237</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4238</v>
      </c>
      <c r="H37" s="317" t="s">
        <v>4239</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4240</v>
      </c>
      <c r="W37" s="317" t="s">
        <v>4241</v>
      </c>
      <c r="X37" s="319" t="s">
        <v>4216</v>
      </c>
      <c r="Y37" s="154" t="s">
        <v>4242</v>
      </c>
      <c r="Z37" s="164" t="s">
        <v>4243</v>
      </c>
      <c r="AA37" s="320" t="s">
        <v>723</v>
      </c>
      <c r="AB37" s="17"/>
      <c r="AC37" s="17"/>
      <c r="AD37" s="17"/>
      <c r="AE37" s="17"/>
    </row>
    <row r="38">
      <c r="A38" s="148" t="s">
        <v>4244</v>
      </c>
      <c r="B38" s="161" t="s">
        <v>4245</v>
      </c>
      <c r="C38" s="313" t="s">
        <v>723</v>
      </c>
      <c r="D38" s="314" t="str">
        <f>IFERROR(__xludf.DUMMYFUNCTION("GOOGLETRANSLATE(A38,""zh-tw"",""ja"")"),"角のあるウサギ")</f>
        <v>角のあるウサギ</v>
      </c>
      <c r="E38" s="317" t="s">
        <v>4246</v>
      </c>
      <c r="F38" s="316" t="str">
        <f>IFERROR(__xludf.DUMMYFUNCTION("GOOGLETRANSLATE(C38,""zh-tw"",""ja"")"),"-")</f>
        <v>-</v>
      </c>
      <c r="G38" s="174" t="s">
        <v>4247</v>
      </c>
      <c r="H38" s="317" t="s">
        <v>4248</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4249</v>
      </c>
      <c r="Q38" s="161" t="s">
        <v>4250</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4251</v>
      </c>
      <c r="W38" s="317" t="s">
        <v>4252</v>
      </c>
      <c r="X38" s="319" t="s">
        <v>3862</v>
      </c>
      <c r="Y38" s="154" t="s">
        <v>4253</v>
      </c>
      <c r="Z38" s="164" t="s">
        <v>4254</v>
      </c>
      <c r="AA38" s="320" t="s">
        <v>723</v>
      </c>
      <c r="AB38" s="17"/>
      <c r="AC38" s="17"/>
      <c r="AD38" s="17"/>
      <c r="AE38" s="17"/>
    </row>
    <row r="39">
      <c r="A39" s="148" t="s">
        <v>2696</v>
      </c>
      <c r="B39" s="161" t="s">
        <v>4255</v>
      </c>
      <c r="C39" s="313" t="s">
        <v>4256</v>
      </c>
      <c r="D39" s="314" t="str">
        <f>IFERROR(__xludf.DUMMYFUNCTION("GOOGLETRANSLATE(A39,""zh-tw"",""ja"")"),"かかし")</f>
        <v>かかし</v>
      </c>
      <c r="E39" s="317" t="s">
        <v>4257</v>
      </c>
      <c r="F39" s="319" t="s">
        <v>4258</v>
      </c>
      <c r="G39" s="174" t="s">
        <v>2702</v>
      </c>
      <c r="H39" s="317" t="s">
        <v>4259</v>
      </c>
      <c r="I39" s="319" t="s">
        <v>4260</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4261</v>
      </c>
      <c r="R39" s="313" t="s">
        <v>4262</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4263</v>
      </c>
      <c r="X39" s="319" t="s">
        <v>4264</v>
      </c>
      <c r="Y39" s="154" t="s">
        <v>2708</v>
      </c>
      <c r="Z39" s="164" t="s">
        <v>4265</v>
      </c>
      <c r="AA39" s="320" t="s">
        <v>4266</v>
      </c>
      <c r="AB39" s="17"/>
      <c r="AC39" s="17"/>
      <c r="AD39" s="17"/>
      <c r="AE39" s="17"/>
    </row>
    <row r="40">
      <c r="A40" s="148" t="s">
        <v>4267</v>
      </c>
      <c r="B40" s="161" t="s">
        <v>4268</v>
      </c>
      <c r="C40" s="313" t="s">
        <v>4269</v>
      </c>
      <c r="D40" s="314" t="str">
        <f>IFERROR(__xludf.DUMMYFUNCTION("GOOGLETRANSLATE(A40,""zh-tw"",""ja"")"),"浅羽")</f>
        <v>浅羽</v>
      </c>
      <c r="E40" s="317" t="s">
        <v>4270</v>
      </c>
      <c r="F40" s="319" t="s">
        <v>4271</v>
      </c>
      <c r="G40" s="174" t="s">
        <v>4272</v>
      </c>
      <c r="H40" s="317" t="s">
        <v>4273</v>
      </c>
      <c r="I40" s="319" t="s">
        <v>4274</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4275</v>
      </c>
      <c r="R40" s="313" t="s">
        <v>4276</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4272</v>
      </c>
      <c r="W40" s="317" t="s">
        <v>4277</v>
      </c>
      <c r="X40" s="319" t="s">
        <v>4278</v>
      </c>
      <c r="Y40" s="154" t="s">
        <v>4272</v>
      </c>
      <c r="Z40" s="164" t="s">
        <v>4279</v>
      </c>
      <c r="AA40" s="320" t="s">
        <v>4280</v>
      </c>
      <c r="AB40" s="17"/>
      <c r="AC40" s="17"/>
      <c r="AD40" s="17"/>
      <c r="AE40" s="17"/>
    </row>
    <row r="41">
      <c r="A41" s="148" t="s">
        <v>4281</v>
      </c>
      <c r="B41" s="161" t="s">
        <v>4282</v>
      </c>
      <c r="C41" s="313" t="s">
        <v>723</v>
      </c>
      <c r="D41" s="148" t="s">
        <v>4283</v>
      </c>
      <c r="E41" s="161" t="s">
        <v>4284</v>
      </c>
      <c r="F41" s="316" t="str">
        <f>IFERROR(__xludf.DUMMYFUNCTION("GOOGLETRANSLATE(C41,""zh-tw"",""ja"")"),"-")</f>
        <v>-</v>
      </c>
      <c r="G41" s="148" t="s">
        <v>4285</v>
      </c>
      <c r="H41" s="161" t="s">
        <v>4286</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4287</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4288</v>
      </c>
      <c r="W41" s="317" t="s">
        <v>4289</v>
      </c>
      <c r="X41" s="319" t="s">
        <v>3862</v>
      </c>
      <c r="Y41" s="154" t="s">
        <v>4290</v>
      </c>
      <c r="Z41" s="164" t="s">
        <v>4291</v>
      </c>
      <c r="AA41" s="320" t="s">
        <v>723</v>
      </c>
      <c r="AB41" s="17"/>
      <c r="AC41" s="17"/>
      <c r="AD41" s="17"/>
      <c r="AE41" s="17"/>
    </row>
    <row r="42">
      <c r="A42" s="148" t="s">
        <v>4292</v>
      </c>
      <c r="B42" s="161" t="s">
        <v>4293</v>
      </c>
      <c r="C42" s="313" t="s">
        <v>723</v>
      </c>
      <c r="D42" s="148" t="s">
        <v>4294</v>
      </c>
      <c r="E42" s="161" t="s">
        <v>4295</v>
      </c>
      <c r="F42" s="316" t="str">
        <f>IFERROR(__xludf.DUMMYFUNCTION("GOOGLETRANSLATE(C42,""zh-tw"",""ja"")"),"-")</f>
        <v>-</v>
      </c>
      <c r="G42" s="148" t="s">
        <v>4296</v>
      </c>
      <c r="H42" s="161" t="s">
        <v>4297</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4298</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4299</v>
      </c>
      <c r="W42" s="317" t="s">
        <v>4300</v>
      </c>
      <c r="X42" s="319" t="s">
        <v>3862</v>
      </c>
      <c r="Y42" s="154" t="s">
        <v>4301</v>
      </c>
      <c r="Z42" s="164" t="s">
        <v>4302</v>
      </c>
      <c r="AA42" s="320" t="s">
        <v>723</v>
      </c>
      <c r="AB42" s="17"/>
      <c r="AC42" s="17"/>
      <c r="AD42" s="17"/>
      <c r="AE42" s="17"/>
    </row>
    <row r="43">
      <c r="A43" s="148" t="s">
        <v>4303</v>
      </c>
      <c r="B43" s="161" t="s">
        <v>4304</v>
      </c>
      <c r="C43" s="313" t="s">
        <v>723</v>
      </c>
      <c r="D43" s="148" t="s">
        <v>4303</v>
      </c>
      <c r="E43" s="161" t="s">
        <v>4305</v>
      </c>
      <c r="F43" s="316" t="str">
        <f>IFERROR(__xludf.DUMMYFUNCTION("GOOGLETRANSLATE(C43,""zh-tw"",""ja"")"),"-")</f>
        <v>-</v>
      </c>
      <c r="G43" s="148" t="s">
        <v>4306</v>
      </c>
      <c r="H43" s="161" t="s">
        <v>4307</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4306</v>
      </c>
      <c r="W43" s="317" t="s">
        <v>4308</v>
      </c>
      <c r="X43" s="319" t="s">
        <v>3862</v>
      </c>
      <c r="Y43" s="154" t="s">
        <v>4306</v>
      </c>
      <c r="Z43" s="164" t="s">
        <v>4309</v>
      </c>
      <c r="AA43" s="320" t="s">
        <v>723</v>
      </c>
      <c r="AB43" s="17"/>
      <c r="AC43" s="17"/>
      <c r="AD43" s="17"/>
      <c r="AE43" s="17"/>
    </row>
    <row r="44">
      <c r="A44" s="149" t="s">
        <v>4310</v>
      </c>
      <c r="B44" s="161" t="s">
        <v>4311</v>
      </c>
      <c r="C44" s="313" t="s">
        <v>4312</v>
      </c>
      <c r="D44" s="149" t="s">
        <v>4313</v>
      </c>
      <c r="E44" s="161" t="s">
        <v>4314</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4315</v>
      </c>
      <c r="H44" s="161" t="s">
        <v>4316</v>
      </c>
      <c r="I44" s="313" t="s">
        <v>4317</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4318</v>
      </c>
      <c r="W44" s="162" t="s">
        <v>4319</v>
      </c>
      <c r="X44" s="313" t="s">
        <v>723</v>
      </c>
      <c r="Y44" s="180" t="s">
        <v>4320</v>
      </c>
      <c r="Z44" s="164" t="s">
        <v>4321</v>
      </c>
      <c r="AA44" s="320" t="s">
        <v>4322</v>
      </c>
      <c r="AB44" s="200"/>
      <c r="AC44" s="200"/>
      <c r="AD44" s="200"/>
      <c r="AE44" s="200"/>
    </row>
    <row r="45">
      <c r="A45" s="148" t="s">
        <v>4323</v>
      </c>
      <c r="B45" s="161" t="s">
        <v>4324</v>
      </c>
      <c r="C45" s="313" t="s">
        <v>4325</v>
      </c>
      <c r="D45" s="148" t="s">
        <v>4323</v>
      </c>
      <c r="E45" s="161" t="s">
        <v>4326</v>
      </c>
      <c r="F45" s="313" t="s">
        <v>4327</v>
      </c>
      <c r="G45" s="148" t="s">
        <v>4323</v>
      </c>
      <c r="H45" s="161" t="s">
        <v>4328</v>
      </c>
      <c r="I45" s="313" t="s">
        <v>4329</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4323</v>
      </c>
      <c r="W45" s="161" t="s">
        <v>4330</v>
      </c>
      <c r="X45" s="313" t="s">
        <v>4331</v>
      </c>
      <c r="Y45" s="154" t="s">
        <v>4332</v>
      </c>
      <c r="Z45" s="164" t="s">
        <v>4333</v>
      </c>
      <c r="AA45" s="320" t="s">
        <v>4334</v>
      </c>
      <c r="AB45" s="17"/>
      <c r="AC45" s="17"/>
      <c r="AD45" s="17"/>
      <c r="AE45" s="17"/>
    </row>
    <row r="46">
      <c r="A46" s="148" t="s">
        <v>4335</v>
      </c>
      <c r="B46" s="161" t="s">
        <v>4336</v>
      </c>
      <c r="C46" s="313" t="s">
        <v>4337</v>
      </c>
      <c r="D46" s="148" t="s">
        <v>4338</v>
      </c>
      <c r="E46" s="161" t="s">
        <v>4339</v>
      </c>
      <c r="F46" s="313" t="s">
        <v>4337</v>
      </c>
      <c r="G46" s="148" t="s">
        <v>4340</v>
      </c>
      <c r="H46" s="161" t="s">
        <v>4341</v>
      </c>
      <c r="I46" s="313" t="s">
        <v>4337</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4337</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4337</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4337</v>
      </c>
      <c r="V46" s="148"/>
      <c r="W46" s="161" t="s">
        <v>4342</v>
      </c>
      <c r="X46" s="313" t="s">
        <v>4337</v>
      </c>
      <c r="Y46" s="154" t="s">
        <v>4332</v>
      </c>
      <c r="Z46" s="164" t="s">
        <v>4343</v>
      </c>
      <c r="AA46" s="320" t="s">
        <v>4337</v>
      </c>
      <c r="AB46" s="17"/>
      <c r="AC46" s="17"/>
      <c r="AD46" s="17"/>
      <c r="AE46" s="17"/>
    </row>
    <row r="47">
      <c r="A47" s="149" t="s">
        <v>4344</v>
      </c>
      <c r="B47" s="162" t="s">
        <v>4345</v>
      </c>
      <c r="C47" s="313" t="s">
        <v>4337</v>
      </c>
      <c r="D47" s="149" t="s">
        <v>4346</v>
      </c>
      <c r="E47" s="162" t="s">
        <v>4347</v>
      </c>
      <c r="F47" s="313" t="s">
        <v>4337</v>
      </c>
      <c r="G47" s="149" t="s">
        <v>4348</v>
      </c>
      <c r="H47" s="161" t="s">
        <v>4349</v>
      </c>
      <c r="I47" s="313" t="s">
        <v>4337</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4350</v>
      </c>
      <c r="P47" s="149" t="str">
        <f>IFERROR(__xludf.DUMMYFUNCTION("GOOGLETRANSLATE(A47,""zh-tw"",""KO"")"),"작은 정원의 흰 토끼")</f>
        <v>작은 정원의 흰 토끼</v>
      </c>
      <c r="Q47" s="162" t="str">
        <f>IFERROR(__xludf.DUMMYFUNCTION("GOOGLETRANSLATE(B47,""zh-tw"",""KO"")"),"당근 검 / 당근")</f>
        <v>당근 검 / 당근</v>
      </c>
      <c r="R47" s="313" t="s">
        <v>4337</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4337</v>
      </c>
      <c r="V47" s="149" t="s">
        <v>4351</v>
      </c>
      <c r="W47" s="162" t="s">
        <v>4352</v>
      </c>
      <c r="X47" s="313" t="s">
        <v>4350</v>
      </c>
      <c r="Y47" s="180" t="s">
        <v>4353</v>
      </c>
      <c r="Z47" s="182" t="s">
        <v>4354</v>
      </c>
      <c r="AA47" s="320" t="s">
        <v>4337</v>
      </c>
      <c r="AB47" s="17"/>
      <c r="AC47" s="17"/>
      <c r="AD47" s="17"/>
      <c r="AE47" s="17"/>
    </row>
    <row r="48">
      <c r="A48" s="148" t="s">
        <v>4355</v>
      </c>
      <c r="B48" s="161" t="s">
        <v>4356</v>
      </c>
      <c r="C48" s="313" t="s">
        <v>723</v>
      </c>
      <c r="D48" s="148" t="s">
        <v>4357</v>
      </c>
      <c r="E48" s="161" t="s">
        <v>4358</v>
      </c>
      <c r="F48" s="318"/>
      <c r="G48" s="148" t="s">
        <v>4359</v>
      </c>
      <c r="H48" s="161" t="s">
        <v>4360</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4361</v>
      </c>
      <c r="W48" s="161" t="s">
        <v>4362</v>
      </c>
      <c r="X48" s="313" t="s">
        <v>723</v>
      </c>
      <c r="Y48" s="154" t="s">
        <v>4363</v>
      </c>
      <c r="Z48" s="186" t="s">
        <v>4364</v>
      </c>
      <c r="AA48" s="320" t="s">
        <v>723</v>
      </c>
      <c r="AB48" s="17"/>
      <c r="AC48" s="17"/>
      <c r="AD48" s="17"/>
      <c r="AE48" s="17"/>
    </row>
    <row r="49">
      <c r="A49" s="148" t="s">
        <v>4365</v>
      </c>
      <c r="B49" s="322" t="s">
        <v>4366</v>
      </c>
      <c r="C49" s="313" t="s">
        <v>4367</v>
      </c>
      <c r="D49" s="148" t="s">
        <v>4368</v>
      </c>
      <c r="E49" s="161" t="s">
        <v>4369</v>
      </c>
      <c r="F49" s="313" t="s">
        <v>4370</v>
      </c>
      <c r="G49" s="148" t="s">
        <v>4371</v>
      </c>
      <c r="H49" s="161" t="s">
        <v>4372</v>
      </c>
      <c r="I49" s="313" t="s">
        <v>4373</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4374</v>
      </c>
      <c r="W49" s="323" t="s">
        <v>4375</v>
      </c>
      <c r="X49" s="313" t="s">
        <v>4376</v>
      </c>
      <c r="Y49" s="154" t="s">
        <v>4377</v>
      </c>
      <c r="Z49" s="164" t="s">
        <v>4378</v>
      </c>
      <c r="AA49" s="320" t="s">
        <v>4379</v>
      </c>
      <c r="AB49" s="17"/>
      <c r="AC49" s="17"/>
      <c r="AD49" s="17"/>
      <c r="AE49" s="17"/>
    </row>
    <row r="50">
      <c r="A50" s="148" t="s">
        <v>4380</v>
      </c>
      <c r="B50" s="162" t="s">
        <v>4381</v>
      </c>
      <c r="C50" s="313" t="s">
        <v>4367</v>
      </c>
      <c r="D50" s="148" t="s">
        <v>4382</v>
      </c>
      <c r="E50" s="161" t="s">
        <v>4383</v>
      </c>
      <c r="F50" s="313" t="s">
        <v>4370</v>
      </c>
      <c r="G50" s="148" t="s">
        <v>4384</v>
      </c>
      <c r="H50" s="161" t="s">
        <v>4385</v>
      </c>
      <c r="I50" s="313" t="s">
        <v>4373</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4386</v>
      </c>
      <c r="W50" s="323" t="s">
        <v>4387</v>
      </c>
      <c r="X50" s="313" t="s">
        <v>4376</v>
      </c>
      <c r="Y50" s="154" t="s">
        <v>4388</v>
      </c>
      <c r="Z50" s="182" t="s">
        <v>4389</v>
      </c>
      <c r="AA50" s="320" t="s">
        <v>4379</v>
      </c>
      <c r="AB50" s="17"/>
      <c r="AC50" s="17"/>
      <c r="AD50" s="17"/>
      <c r="AE50" s="17"/>
    </row>
    <row r="51">
      <c r="A51" s="148" t="s">
        <v>4390</v>
      </c>
      <c r="B51" s="161" t="s">
        <v>4391</v>
      </c>
      <c r="C51" s="313" t="s">
        <v>4392</v>
      </c>
      <c r="D51" s="148" t="s">
        <v>4393</v>
      </c>
      <c r="E51" s="161" t="s">
        <v>4394</v>
      </c>
      <c r="F51" s="313" t="s">
        <v>4395</v>
      </c>
      <c r="G51" s="148" t="s">
        <v>4396</v>
      </c>
      <c r="H51" s="161" t="s">
        <v>4397</v>
      </c>
      <c r="I51" s="313" t="s">
        <v>4398</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4399</v>
      </c>
      <c r="W51" s="323" t="s">
        <v>4400</v>
      </c>
      <c r="X51" s="313" t="s">
        <v>4401</v>
      </c>
      <c r="Y51" s="154" t="s">
        <v>4402</v>
      </c>
      <c r="Z51" s="164" t="s">
        <v>4403</v>
      </c>
      <c r="AA51" s="320" t="s">
        <v>4404</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4405</v>
      </c>
      <c r="B3" s="72" t="s">
        <v>4406</v>
      </c>
      <c r="C3" s="328" t="str">
        <f>IFERROR(__xludf.DUMMYFUNCTION("GOOGLETRANSLATE(A3,""zh-tw"",""ja"")"),"武器プロジェクト")</f>
        <v>武器プロジェクト</v>
      </c>
      <c r="D3" s="72" t="str">
        <f>IFERROR(__xludf.DUMMYFUNCTION("GOOGLETRANSLATE(B3,""zh-tw"",""ja"")"),"武器の属性")</f>
        <v>武器の属性</v>
      </c>
      <c r="E3" s="328" t="s">
        <v>4407</v>
      </c>
      <c r="F3" s="72" t="s">
        <v>4408</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4409</v>
      </c>
      <c r="P3" s="72" t="s">
        <v>4410</v>
      </c>
      <c r="Q3" s="331" t="s">
        <v>4411</v>
      </c>
      <c r="R3" s="332" t="s">
        <v>4412</v>
      </c>
      <c r="S3" s="312"/>
      <c r="T3" s="312"/>
    </row>
    <row r="4">
      <c r="A4" s="333" t="s">
        <v>4413</v>
      </c>
      <c r="B4" s="161" t="s">
        <v>4414</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4415</v>
      </c>
      <c r="F4" s="317" t="s">
        <v>4416</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4417</v>
      </c>
      <c r="L4" s="161" t="s">
        <v>4418</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34" t="s">
        <v>4419</v>
      </c>
      <c r="P4" s="317" t="s">
        <v>4420</v>
      </c>
      <c r="Q4" s="337" t="s">
        <v>4421</v>
      </c>
      <c r="R4" s="338" t="s">
        <v>4422</v>
      </c>
      <c r="S4" s="17"/>
      <c r="T4" s="17"/>
    </row>
    <row r="5">
      <c r="A5" s="334" t="s">
        <v>4423</v>
      </c>
      <c r="B5" s="317" t="s">
        <v>4424</v>
      </c>
      <c r="C5" s="334" t="s">
        <v>4425</v>
      </c>
      <c r="D5" s="317" t="str">
        <f>IFERROR(__xludf.DUMMYFUNCTION("GOOGLETRANSLATE(B5,""zh-tw"",""ja"")"),"物理攻撃力: 15")</f>
        <v>物理攻撃力: 15</v>
      </c>
      <c r="E5" s="334" t="s">
        <v>4426</v>
      </c>
      <c r="F5" s="317" t="s">
        <v>4427</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4428</v>
      </c>
      <c r="L5" s="161" t="s">
        <v>4429</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4430</v>
      </c>
      <c r="P5" s="317" t="s">
        <v>4431</v>
      </c>
      <c r="Q5" s="337" t="s">
        <v>4432</v>
      </c>
      <c r="R5" s="338" t="s">
        <v>4433</v>
      </c>
      <c r="S5" s="205"/>
      <c r="T5" s="205"/>
    </row>
    <row r="6">
      <c r="A6" s="334" t="s">
        <v>4434</v>
      </c>
      <c r="B6" s="317" t="s">
        <v>4435</v>
      </c>
      <c r="C6" s="334" t="s">
        <v>4436</v>
      </c>
      <c r="D6" s="317" t="str">
        <f>IFERROR(__xludf.DUMMYFUNCTION("GOOGLETRANSLATE(B6,""zh-tw"",""ja"")"),"物理攻撃力: 14")</f>
        <v>物理攻撃力: 14</v>
      </c>
      <c r="E6" s="334" t="s">
        <v>4437</v>
      </c>
      <c r="F6" s="317" t="s">
        <v>4438</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4439</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4440</v>
      </c>
      <c r="P6" s="317" t="s">
        <v>4441</v>
      </c>
      <c r="Q6" s="337" t="s">
        <v>4442</v>
      </c>
      <c r="R6" s="338" t="s">
        <v>4443</v>
      </c>
      <c r="S6" s="205"/>
      <c r="T6" s="205"/>
    </row>
    <row r="7">
      <c r="A7" s="334" t="s">
        <v>4444</v>
      </c>
      <c r="B7" s="317" t="s">
        <v>4445</v>
      </c>
      <c r="C7" s="334" t="str">
        <f>IFERROR(__xludf.DUMMYFUNCTION("GOOGLETRANSLATE(A7,""zh-tw"",""ja"")"),"伐採斧")</f>
        <v>伐採斧</v>
      </c>
      <c r="D7" s="317" t="str">
        <f>IFERROR(__xludf.DUMMYFUNCTION("GOOGLETRANSLATE(B7,""zh-tw"",""ja"")"),"物理攻撃力: 24")</f>
        <v>物理攻撃力: 24</v>
      </c>
      <c r="E7" s="334" t="s">
        <v>4446</v>
      </c>
      <c r="F7" s="317" t="s">
        <v>4447</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4448</v>
      </c>
      <c r="L7" s="161" t="s">
        <v>4449</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4450</v>
      </c>
      <c r="P7" s="317" t="s">
        <v>4451</v>
      </c>
      <c r="Q7" s="337" t="s">
        <v>4452</v>
      </c>
      <c r="R7" s="338" t="s">
        <v>4453</v>
      </c>
      <c r="S7" s="205"/>
      <c r="T7" s="205"/>
    </row>
    <row r="8">
      <c r="A8" s="334" t="s">
        <v>4454</v>
      </c>
      <c r="B8" s="317" t="s">
        <v>4455</v>
      </c>
      <c r="C8" s="334" t="str">
        <f>IFERROR(__xludf.DUMMYFUNCTION("GOOGLETRANSLATE(A8,""zh-tw"",""ja"")"),"騎士の剣")</f>
        <v>騎士の剣</v>
      </c>
      <c r="D8" s="317" t="str">
        <f>IFERROR(__xludf.DUMMYFUNCTION("GOOGLETRANSLATE(B8,""zh-tw"",""ja"")"),"物理攻撃力：30（条件を満たすと2倍）")</f>
        <v>物理攻撃力：30（条件を満たすと2倍）</v>
      </c>
      <c r="E8" s="334" t="s">
        <v>4002</v>
      </c>
      <c r="F8" s="317" t="s">
        <v>4456</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4457</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4006</v>
      </c>
      <c r="P8" s="317" t="s">
        <v>4458</v>
      </c>
      <c r="Q8" s="337" t="s">
        <v>4459</v>
      </c>
      <c r="R8" s="338" t="s">
        <v>4460</v>
      </c>
      <c r="S8" s="205"/>
      <c r="T8" s="205"/>
    </row>
    <row r="9">
      <c r="A9" s="334" t="s">
        <v>4461</v>
      </c>
      <c r="B9" s="317" t="s">
        <v>4462</v>
      </c>
      <c r="C9" s="334" t="s">
        <v>4463</v>
      </c>
      <c r="D9" s="317" t="str">
        <f>IFERROR(__xludf.DUMMYFUNCTION("GOOGLETRANSLATE(B9,""zh-tw"",""ja"")"),"物理攻撃力: 42")</f>
        <v>物理攻撃力: 42</v>
      </c>
      <c r="E9" s="334" t="s">
        <v>4464</v>
      </c>
      <c r="F9" s="317" t="s">
        <v>4465</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4466</v>
      </c>
      <c r="L9" s="161" t="s">
        <v>4467</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4468</v>
      </c>
      <c r="P9" s="317" t="s">
        <v>4469</v>
      </c>
      <c r="Q9" s="337" t="s">
        <v>4470</v>
      </c>
      <c r="R9" s="338" t="s">
        <v>4471</v>
      </c>
      <c r="S9" s="205"/>
      <c r="T9" s="205"/>
    </row>
    <row r="10">
      <c r="A10" s="335" t="s">
        <v>4472</v>
      </c>
      <c r="B10" s="162" t="s">
        <v>4473</v>
      </c>
      <c r="C10" s="335" t="s">
        <v>4474</v>
      </c>
      <c r="D10" s="322" t="s">
        <v>4475</v>
      </c>
      <c r="E10" s="339" t="s">
        <v>4476</v>
      </c>
      <c r="F10" s="322" t="s">
        <v>4477</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4478</v>
      </c>
      <c r="P10" s="322" t="s">
        <v>4479</v>
      </c>
      <c r="Q10" s="337" t="s">
        <v>4480</v>
      </c>
      <c r="R10" s="338" t="s">
        <v>4481</v>
      </c>
      <c r="S10" s="17"/>
      <c r="T10" s="17"/>
    </row>
    <row r="11">
      <c r="A11" s="334" t="s">
        <v>4482</v>
      </c>
      <c r="B11" s="317" t="s">
        <v>4483</v>
      </c>
      <c r="C11" s="334" t="s">
        <v>4484</v>
      </c>
      <c r="D11" s="317" t="str">
        <f>IFERROR(__xludf.DUMMYFUNCTION("GOOGLETRANSLATE(B11,""zh-tw"",""ja"")"),"物理攻撃: 20 飛び道具を反射する")</f>
        <v>物理攻撃: 20 飛び道具を反射する</v>
      </c>
      <c r="E11" s="334" t="s">
        <v>4485</v>
      </c>
      <c r="F11" s="317" t="s">
        <v>4486</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4487</v>
      </c>
      <c r="L11" s="161" t="s">
        <v>4488</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4489</v>
      </c>
      <c r="P11" s="317" t="s">
        <v>4490</v>
      </c>
      <c r="Q11" s="337" t="s">
        <v>4491</v>
      </c>
      <c r="R11" s="338" t="s">
        <v>4492</v>
      </c>
      <c r="S11" s="205"/>
      <c r="T11" s="205"/>
    </row>
    <row r="12">
      <c r="A12" s="334" t="s">
        <v>4493</v>
      </c>
      <c r="B12" s="317" t="s">
        <v>4494</v>
      </c>
      <c r="C12" s="334" t="s">
        <v>4495</v>
      </c>
      <c r="D12" s="317" t="str">
        <f>IFERROR(__xludf.DUMMYFUNCTION("GOOGLETRANSLATE(B12,""zh-tw"",""ja"")"),"物理攻撃力: 14 悪臭を放つ")</f>
        <v>物理攻撃力: 14 悪臭を放つ</v>
      </c>
      <c r="E12" s="334" t="s">
        <v>4496</v>
      </c>
      <c r="F12" s="317" t="s">
        <v>4497</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4498</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4499</v>
      </c>
      <c r="P12" s="317" t="s">
        <v>4500</v>
      </c>
      <c r="Q12" s="337" t="s">
        <v>4501</v>
      </c>
      <c r="R12" s="338" t="s">
        <v>4502</v>
      </c>
      <c r="S12" s="205"/>
      <c r="T12" s="205"/>
    </row>
    <row r="13">
      <c r="A13" s="334" t="s">
        <v>4503</v>
      </c>
      <c r="B13" s="317" t="s">
        <v>4504</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4505</v>
      </c>
      <c r="F13" s="317" t="s">
        <v>4506</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4507</v>
      </c>
      <c r="L13" s="161" t="s">
        <v>4508</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4509</v>
      </c>
      <c r="P13" s="317" t="s">
        <v>4510</v>
      </c>
      <c r="Q13" s="337" t="s">
        <v>4511</v>
      </c>
      <c r="R13" s="323" t="s">
        <v>4512</v>
      </c>
      <c r="S13" s="205"/>
      <c r="T13" s="205"/>
    </row>
    <row r="14">
      <c r="A14" s="334" t="s">
        <v>4513</v>
      </c>
      <c r="B14" s="317" t="s">
        <v>4514</v>
      </c>
      <c r="C14" s="334" t="s">
        <v>4513</v>
      </c>
      <c r="D14" s="317" t="str">
        <f>IFERROR(__xludf.DUMMYFUNCTION("GOOGLETRANSLATE(B14,""zh-tw"",""ja"")"),"物理攻撃力：20
魔法攻撃力：14
氷属性")</f>
        <v>物理攻撃力：20
魔法攻撃力：14
氷属性</v>
      </c>
      <c r="E14" s="334" t="s">
        <v>4515</v>
      </c>
      <c r="F14" s="317" t="s">
        <v>4516</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4517</v>
      </c>
      <c r="L14" s="161" t="s">
        <v>4518</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4519</v>
      </c>
      <c r="P14" s="317" t="s">
        <v>4520</v>
      </c>
      <c r="Q14" s="337" t="s">
        <v>4521</v>
      </c>
      <c r="R14" s="338" t="s">
        <v>4522</v>
      </c>
      <c r="S14" s="205"/>
      <c r="T14" s="205"/>
    </row>
    <row r="15">
      <c r="A15" s="334" t="s">
        <v>4523</v>
      </c>
      <c r="B15" s="317" t="s">
        <v>4524</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4525</v>
      </c>
      <c r="F15" s="317" t="s">
        <v>4526</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4527</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4528</v>
      </c>
      <c r="P15" s="317" t="s">
        <v>4529</v>
      </c>
      <c r="Q15" s="337" t="s">
        <v>4530</v>
      </c>
      <c r="R15" s="323" t="s">
        <v>4531</v>
      </c>
      <c r="S15" s="205"/>
      <c r="T15" s="205"/>
    </row>
    <row r="16">
      <c r="A16" s="334" t="s">
        <v>4532</v>
      </c>
      <c r="B16" s="317" t="s">
        <v>4533</v>
      </c>
      <c r="C16" s="334" t="s">
        <v>4534</v>
      </c>
      <c r="D16" s="317" t="str">
        <f>IFERROR(__xludf.DUMMYFUNCTION("GOOGLETRANSLATE(B16,""zh-tw"",""ja"")"),"物理攻撃：毒属性14")</f>
        <v>物理攻撃：毒属性14</v>
      </c>
      <c r="E16" s="334" t="s">
        <v>4535</v>
      </c>
      <c r="F16" s="317" t="s">
        <v>4536</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4537</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4538</v>
      </c>
      <c r="P16" s="317" t="s">
        <v>4539</v>
      </c>
      <c r="Q16" s="337" t="s">
        <v>4540</v>
      </c>
      <c r="R16" s="338" t="s">
        <v>4541</v>
      </c>
      <c r="S16" s="205"/>
      <c r="T16" s="205"/>
    </row>
    <row r="17">
      <c r="A17" s="334" t="s">
        <v>4542</v>
      </c>
      <c r="B17" s="317" t="s">
        <v>4543</v>
      </c>
      <c r="C17" s="334" t="s">
        <v>4544</v>
      </c>
      <c r="D17" s="317" t="str">
        <f>IFERROR(__xludf.DUMMYFUNCTION("GOOGLETRANSLATE(B17,""zh-tw"",""ja"")"),"物理攻撃：32 分割攻撃")</f>
        <v>物理攻撃：32 分割攻撃</v>
      </c>
      <c r="E17" s="333" t="s">
        <v>4545</v>
      </c>
      <c r="F17" s="161" t="s">
        <v>4546</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4547</v>
      </c>
      <c r="P17" s="317" t="s">
        <v>4548</v>
      </c>
      <c r="Q17" s="337" t="s">
        <v>4549</v>
      </c>
      <c r="R17" s="323" t="s">
        <v>4550</v>
      </c>
      <c r="S17" s="205"/>
      <c r="T17" s="205"/>
    </row>
    <row r="18" ht="49.5" customHeight="1">
      <c r="A18" s="334" t="s">
        <v>4551</v>
      </c>
      <c r="B18" s="317" t="s">
        <v>4552</v>
      </c>
      <c r="C18" s="334" t="s">
        <v>4553</v>
      </c>
      <c r="D18" s="317" t="str">
        <f>IFERROR(__xludf.DUMMYFUNCTION("GOOGLETRANSLATE(B18,""zh-tw"",""ja"")"),"物理攻撃力：48
魔法耐性：20
条件を満たす武器種")</f>
        <v>物理攻撃力：48
魔法耐性：20
条件を満たす武器種</v>
      </c>
      <c r="E18" s="334" t="s">
        <v>4554</v>
      </c>
      <c r="F18" s="317" t="s">
        <v>4555</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4556</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4557</v>
      </c>
      <c r="P18" s="317" t="s">
        <v>4558</v>
      </c>
      <c r="Q18" s="337" t="s">
        <v>4559</v>
      </c>
      <c r="R18" s="338" t="s">
        <v>4560</v>
      </c>
      <c r="S18" s="205"/>
      <c r="T18" s="205"/>
    </row>
    <row r="19">
      <c r="A19" s="334" t="s">
        <v>4561</v>
      </c>
      <c r="B19" s="317" t="s">
        <v>4562</v>
      </c>
      <c r="C19" s="334" t="s">
        <v>4563</v>
      </c>
      <c r="D19" s="317" t="str">
        <f>IFERROR(__xludf.DUMMYFUNCTION("GOOGLETRANSLATE(B19,""zh-tw"",""ja"")"),"物理攻撃力：1（累積ダメージ型武器）")</f>
        <v>物理攻撃力：1（累積ダメージ型武器）</v>
      </c>
      <c r="E19" s="334" t="s">
        <v>4564</v>
      </c>
      <c r="F19" s="317" t="s">
        <v>4565</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(Daño acumulativo tipo arma)")</f>
        <v>Ataque físico: 1 (Daño acumulativo tipo arma)</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4566</v>
      </c>
      <c r="P19" s="317" t="s">
        <v>4567</v>
      </c>
      <c r="Q19" s="337" t="s">
        <v>4568</v>
      </c>
      <c r="R19" s="338" t="s">
        <v>4569</v>
      </c>
      <c r="S19" s="205"/>
      <c r="T19" s="205"/>
    </row>
    <row r="20">
      <c r="A20" s="334" t="s">
        <v>4570</v>
      </c>
      <c r="B20" s="317" t="s">
        <v>4571</v>
      </c>
      <c r="C20" s="334" t="s">
        <v>4572</v>
      </c>
      <c r="D20" s="317" t="str">
        <f>IFERROR(__xludf.DUMMYFUNCTION("GOOGLETRANSLATE(B20,""zh-tw"",""ja"")"),"物理攻撃力：20
物理耐性：2
累積ステータスベースの武器")</f>
        <v>物理攻撃力：20
物理耐性：2
累積ステータスベースの武器</v>
      </c>
      <c r="E20" s="334" t="s">
        <v>4573</v>
      </c>
      <c r="F20" s="317" t="s">
        <v>4574</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4575</v>
      </c>
      <c r="P20" s="317" t="s">
        <v>4576</v>
      </c>
      <c r="Q20" s="337" t="s">
        <v>4577</v>
      </c>
      <c r="R20" s="338" t="s">
        <v>4578</v>
      </c>
      <c r="S20" s="205"/>
      <c r="T20" s="205"/>
    </row>
    <row r="21">
      <c r="A21" s="334" t="s">
        <v>4579</v>
      </c>
      <c r="B21" s="317" t="s">
        <v>4580</v>
      </c>
      <c r="C21" s="334" t="s">
        <v>4581</v>
      </c>
      <c r="D21" s="317" t="str">
        <f>IFERROR(__xludf.DUMMYFUNCTION("GOOGLETRANSLATE(B21,""zh-tw"",""ja"")"),"物理攻撃力：40 剣波を発射する")</f>
        <v>物理攻撃力：40 剣波を発射する</v>
      </c>
      <c r="E21" s="334" t="s">
        <v>4582</v>
      </c>
      <c r="F21" s="317" t="s">
        <v>4583</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4584</v>
      </c>
      <c r="P21" s="317" t="s">
        <v>4585</v>
      </c>
      <c r="Q21" s="337" t="s">
        <v>4586</v>
      </c>
      <c r="R21" s="338" t="s">
        <v>4587</v>
      </c>
      <c r="S21" s="205"/>
      <c r="T21" s="205"/>
    </row>
    <row r="22">
      <c r="A22" s="334" t="s">
        <v>4588</v>
      </c>
      <c r="B22" s="317" t="s">
        <v>4589</v>
      </c>
      <c r="C22" s="334" t="s">
        <v>4590</v>
      </c>
      <c r="D22" s="317" t="str">
        <f>IFERROR(__xludf.DUMMYFUNCTION("GOOGLETRANSLATE(B22,""zh-tw"",""ja"")"),"物理攻撃：出血30")</f>
        <v>物理攻撃：出血30</v>
      </c>
      <c r="E22" s="334" t="s">
        <v>4591</v>
      </c>
      <c r="F22" s="317" t="s">
        <v>4592</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4593</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4594</v>
      </c>
      <c r="P22" s="317" t="s">
        <v>4595</v>
      </c>
      <c r="Q22" s="337" t="s">
        <v>4596</v>
      </c>
      <c r="R22" s="338" t="s">
        <v>4597</v>
      </c>
      <c r="S22" s="205"/>
      <c r="T22" s="205"/>
    </row>
    <row r="23">
      <c r="A23" s="334" t="s">
        <v>4598</v>
      </c>
      <c r="B23" s="317" t="s">
        <v>4599</v>
      </c>
      <c r="C23" s="334" t="s">
        <v>4600</v>
      </c>
      <c r="D23" s="317" t="str">
        <f>IFERROR(__xludf.DUMMYFUNCTION("GOOGLETRANSLATE(B23,""zh-tw"",""ja"")"),"物理攻撃：ノックダウン回復32")</f>
        <v>物理攻撃：ノックダウン回復32</v>
      </c>
      <c r="E23" s="334" t="s">
        <v>4601</v>
      </c>
      <c r="F23" s="317" t="s">
        <v>4602</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4603</v>
      </c>
      <c r="L23" s="161" t="s">
        <v>4604</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4605</v>
      </c>
      <c r="P23" s="317" t="s">
        <v>4606</v>
      </c>
      <c r="Q23" s="337" t="s">
        <v>4607</v>
      </c>
      <c r="R23" s="338" t="s">
        <v>4608</v>
      </c>
      <c r="S23" s="205"/>
      <c r="T23" s="205"/>
    </row>
    <row r="24">
      <c r="A24" s="339" t="s">
        <v>4609</v>
      </c>
      <c r="B24" s="322" t="s">
        <v>4610</v>
      </c>
      <c r="C24" s="339" t="s">
        <v>4611</v>
      </c>
      <c r="D24" s="322" t="s">
        <v>4612</v>
      </c>
      <c r="E24" s="339" t="s">
        <v>4613</v>
      </c>
      <c r="F24" s="322" t="s">
        <v>4614</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4615</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4616</v>
      </c>
      <c r="P24" s="322" t="s">
        <v>4617</v>
      </c>
      <c r="Q24" s="337" t="s">
        <v>4618</v>
      </c>
      <c r="R24" s="338" t="s">
        <v>4619</v>
      </c>
      <c r="S24" s="205"/>
      <c r="T24" s="205"/>
    </row>
    <row r="25">
      <c r="A25" s="339" t="s">
        <v>4620</v>
      </c>
      <c r="B25" s="161" t="s">
        <v>4621</v>
      </c>
      <c r="C25" s="339" t="s">
        <v>4622</v>
      </c>
      <c r="D25" s="161" t="s">
        <v>4623</v>
      </c>
      <c r="E25" s="339" t="s">
        <v>4624</v>
      </c>
      <c r="F25" s="161" t="s">
        <v>4625</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4626</v>
      </c>
      <c r="P25" s="161" t="s">
        <v>4627</v>
      </c>
      <c r="Q25" s="337" t="s">
        <v>4628</v>
      </c>
      <c r="R25" s="323" t="s">
        <v>4629</v>
      </c>
      <c r="S25" s="205"/>
      <c r="T25" s="205"/>
    </row>
    <row r="26">
      <c r="A26" s="334" t="s">
        <v>4630</v>
      </c>
      <c r="B26" s="317" t="s">
        <v>4631</v>
      </c>
      <c r="C26" s="334" t="s">
        <v>4632</v>
      </c>
      <c r="D26" s="317" t="s">
        <v>4633</v>
      </c>
      <c r="E26" s="334" t="s">
        <v>4634</v>
      </c>
      <c r="F26" s="317" t="s">
        <v>4635</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4636</v>
      </c>
      <c r="P26" s="317" t="s">
        <v>4637</v>
      </c>
      <c r="Q26" s="337" t="s">
        <v>4638</v>
      </c>
      <c r="R26" s="338" t="s">
        <v>4639</v>
      </c>
      <c r="S26" s="205"/>
      <c r="T26" s="205"/>
    </row>
    <row r="27">
      <c r="A27" s="334" t="s">
        <v>4640</v>
      </c>
      <c r="B27" s="317" t="s">
        <v>4641</v>
      </c>
      <c r="C27" s="334" t="s">
        <v>4642</v>
      </c>
      <c r="D27" s="317" t="str">
        <f>IFERROR(__xludf.DUMMYFUNCTION("GOOGLETRANSLATE(B27,""zh-tw"",""ja"")"),"物理攻撃力：32
魔法攻撃力：36
防御力無視、不可視の刃
*レアガチャアイテム")</f>
        <v>物理攻撃力：32
魔法攻撃力：36
防御力無視、不可視の刃
*レアガチャアイテム</v>
      </c>
      <c r="E27" s="334" t="s">
        <v>4643</v>
      </c>
      <c r="F27" s="317" t="s">
        <v>4644</v>
      </c>
      <c r="G27" s="334" t="str">
        <f>IFERROR(__xludf.DUMMYFUNCTION("GOOGLETRANSLATE(A27,""zh-tw"",""zh"")"),"克里乌之光")</f>
        <v>克里乌之光</v>
      </c>
      <c r="H27" s="317" t="s">
        <v>4645</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4646</v>
      </c>
      <c r="P27" s="317" t="s">
        <v>4647</v>
      </c>
      <c r="Q27" s="337" t="s">
        <v>4648</v>
      </c>
      <c r="R27" s="338" t="s">
        <v>4649</v>
      </c>
      <c r="S27" s="205"/>
      <c r="T27" s="205"/>
    </row>
    <row r="28">
      <c r="A28" s="334" t="s">
        <v>4650</v>
      </c>
      <c r="B28" s="317" t="s">
        <v>4651</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4652</v>
      </c>
      <c r="F28" s="317" t="s">
        <v>4653</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4654</v>
      </c>
      <c r="P28" s="317" t="s">
        <v>4655</v>
      </c>
      <c r="Q28" s="337" t="s">
        <v>4656</v>
      </c>
      <c r="R28" s="338" t="s">
        <v>4657</v>
      </c>
      <c r="S28" s="205"/>
      <c r="T28" s="205"/>
    </row>
    <row r="29">
      <c r="A29" s="334" t="s">
        <v>4658</v>
      </c>
      <c r="B29" s="317" t="s">
        <v>4659</v>
      </c>
      <c r="C29" s="334" t="s">
        <v>4660</v>
      </c>
      <c r="D29" s="317" t="str">
        <f>IFERROR(__xludf.DUMMYFUNCTION("GOOGLETRANSLATE(B29,""zh-tw"",""ja"")"),"物理攻撃：貫通力24")</f>
        <v>物理攻撃：貫通力24</v>
      </c>
      <c r="E29" s="334" t="s">
        <v>4661</v>
      </c>
      <c r="F29" s="317" t="s">
        <v>4662</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4663</v>
      </c>
      <c r="P29" s="317" t="s">
        <v>4664</v>
      </c>
      <c r="Q29" s="337" t="s">
        <v>4665</v>
      </c>
      <c r="R29" s="338" t="s">
        <v>4666</v>
      </c>
      <c r="S29" s="205"/>
      <c r="T29" s="205"/>
    </row>
    <row r="30">
      <c r="A30" s="334" t="s">
        <v>4667</v>
      </c>
      <c r="B30" s="317" t="s">
        <v>4668</v>
      </c>
      <c r="C30" s="334" t="s">
        <v>4669</v>
      </c>
      <c r="D30" s="317" t="str">
        <f>IFERROR(__xludf.DUMMYFUNCTION("GOOGLETRANSLATE(B30,""zh-tw"",""ja"")"),"物理攻撃力：18
魔法攻撃力：18
火属性")</f>
        <v>物理攻撃力：18
魔法攻撃力：18
火属性</v>
      </c>
      <c r="E30" s="334" t="s">
        <v>4670</v>
      </c>
      <c r="F30" s="317" t="s">
        <v>4671</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4672</v>
      </c>
      <c r="P30" s="317" t="s">
        <v>4673</v>
      </c>
      <c r="Q30" s="337" t="s">
        <v>4674</v>
      </c>
      <c r="R30" s="338" t="s">
        <v>4675</v>
      </c>
      <c r="S30" s="205"/>
      <c r="T30" s="205"/>
    </row>
    <row r="31">
      <c r="A31" s="334" t="s">
        <v>4676</v>
      </c>
      <c r="B31" s="317" t="s">
        <v>4677</v>
      </c>
      <c r="C31" s="334" t="s">
        <v>4676</v>
      </c>
      <c r="D31" s="317" t="str">
        <f>IFERROR(__xludf.DUMMYFUNCTION("GOOGLETRANSLATE(B31,""zh-tw"",""ja"")"),"物理攻撃力：16
魔法攻撃力：16
氷属性")</f>
        <v>物理攻撃力：16
魔法攻撃力：16
氷属性</v>
      </c>
      <c r="E31" s="334" t="s">
        <v>4678</v>
      </c>
      <c r="F31" s="317" t="s">
        <v>4679</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4680</v>
      </c>
      <c r="P31" s="317" t="s">
        <v>4681</v>
      </c>
      <c r="Q31" s="337" t="s">
        <v>4682</v>
      </c>
      <c r="R31" s="338" t="s">
        <v>4683</v>
      </c>
      <c r="S31" s="205"/>
      <c r="T31" s="205"/>
    </row>
    <row r="32">
      <c r="A32" s="334" t="s">
        <v>4684</v>
      </c>
      <c r="B32" s="317" t="s">
        <v>4685</v>
      </c>
      <c r="C32" s="334" t="str">
        <f>IFERROR(__xludf.DUMMYFUNCTION("GOOGLETRANSLATE(A32,""zh-tw"",""ja"")"),"千鳥")</f>
        <v>千鳥</v>
      </c>
      <c r="D32" s="317" t="str">
        <f>IFERROR(__xludf.DUMMYFUNCTION("GOOGLETRANSLATE(B32,""zh-tw"",""ja"")"),"物理攻撃力：16
魔法攻撃力：16
雷属性")</f>
        <v>物理攻撃力：16
魔法攻撃力：16
雷属性</v>
      </c>
      <c r="E32" s="334" t="s">
        <v>4686</v>
      </c>
      <c r="F32" s="317" t="s">
        <v>4687</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4688</v>
      </c>
      <c r="P32" s="317" t="s">
        <v>4689</v>
      </c>
      <c r="Q32" s="337" t="s">
        <v>4690</v>
      </c>
      <c r="R32" s="338" t="s">
        <v>4691</v>
      </c>
      <c r="S32" s="205"/>
      <c r="T32" s="205"/>
    </row>
    <row r="33">
      <c r="A33" s="334" t="s">
        <v>4692</v>
      </c>
      <c r="B33" s="317" t="s">
        <v>4693</v>
      </c>
      <c r="C33" s="334" t="s">
        <v>4694</v>
      </c>
      <c r="D33" s="317" t="str">
        <f>IFERROR(__xludf.DUMMYFUNCTION("GOOGLETRANSLATE(B33,""zh-tw"",""ja"")"),"物理攻撃力：32（連射）")</f>
        <v>物理攻撃力：32（連射）</v>
      </c>
      <c r="E33" s="334" t="s">
        <v>4695</v>
      </c>
      <c r="F33" s="317" t="s">
        <v>4696</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4697</v>
      </c>
      <c r="P33" s="317" t="s">
        <v>4698</v>
      </c>
      <c r="Q33" s="337" t="s">
        <v>4699</v>
      </c>
      <c r="R33" s="338" t="s">
        <v>4700</v>
      </c>
      <c r="S33" s="205"/>
      <c r="T33" s="205"/>
    </row>
    <row r="34">
      <c r="A34" s="334" t="s">
        <v>4282</v>
      </c>
      <c r="B34" s="317" t="s">
        <v>4701</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4286</v>
      </c>
      <c r="F34" s="317" t="s">
        <v>4702</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4289</v>
      </c>
      <c r="P34" s="317" t="s">
        <v>4703</v>
      </c>
      <c r="Q34" s="337" t="s">
        <v>4704</v>
      </c>
      <c r="R34" s="323" t="s">
        <v>4705</v>
      </c>
      <c r="S34" s="205"/>
      <c r="T34" s="205"/>
    </row>
    <row r="35">
      <c r="A35" s="334" t="s">
        <v>4706</v>
      </c>
      <c r="B35" s="317" t="s">
        <v>4707</v>
      </c>
      <c r="C35" s="334" t="s">
        <v>4708</v>
      </c>
      <c r="D35" s="317" t="str">
        <f>IFERROR(__xludf.DUMMYFUNCTION("GOOGLETRANSLATE(B35,""zh-tw"",""ja"")"),"物理攻撃: 1 魔法攻撃: 55 氷属性")</f>
        <v>物理攻撃: 1 魔法攻撃: 55 氷属性</v>
      </c>
      <c r="E35" s="334" t="s">
        <v>4709</v>
      </c>
      <c r="F35" s="317" t="s">
        <v>4710</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4711</v>
      </c>
      <c r="P35" s="317" t="s">
        <v>4712</v>
      </c>
      <c r="Q35" s="337" t="s">
        <v>4713</v>
      </c>
      <c r="R35" s="338" t="s">
        <v>4714</v>
      </c>
      <c r="S35" s="205"/>
      <c r="T35" s="205"/>
    </row>
    <row r="36">
      <c r="A36" s="334" t="s">
        <v>4715</v>
      </c>
      <c r="B36" s="317" t="s">
        <v>4716</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4717</v>
      </c>
      <c r="F36" s="317" t="s">
        <v>4718</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4719</v>
      </c>
      <c r="P36" s="317" t="s">
        <v>4720</v>
      </c>
      <c r="Q36" s="337" t="s">
        <v>4721</v>
      </c>
      <c r="R36" s="338" t="s">
        <v>4722</v>
      </c>
      <c r="S36" s="205"/>
      <c r="T36" s="205"/>
    </row>
    <row r="37">
      <c r="A37" s="334" t="s">
        <v>4723</v>
      </c>
      <c r="B37" s="317" t="s">
        <v>4724</v>
      </c>
      <c r="C37" s="334" t="str">
        <f>IFERROR(__xludf.DUMMYFUNCTION("GOOGLETRANSLATE(A37,""zh-tw"",""ja"")"),"バナナ？")</f>
        <v>バナナ？</v>
      </c>
      <c r="D37" s="317" t="str">
        <f>IFERROR(__xludf.DUMMYFUNCTION("GOOGLETRANSLATE(B37,""zh-tw"",""ja"")"),"物理攻撃力：10爆発")</f>
        <v>物理攻撃力：10爆発</v>
      </c>
      <c r="E37" s="334" t="s">
        <v>4725</v>
      </c>
      <c r="F37" s="317" t="s">
        <v>4726</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4727</v>
      </c>
      <c r="P37" s="317" t="s">
        <v>4728</v>
      </c>
      <c r="Q37" s="337" t="s">
        <v>4729</v>
      </c>
      <c r="R37" s="338" t="s">
        <v>4730</v>
      </c>
      <c r="S37" s="205"/>
      <c r="T37" s="205"/>
    </row>
    <row r="38" ht="68.25" customHeight="1">
      <c r="A38" s="334" t="s">
        <v>4731</v>
      </c>
      <c r="B38" s="317" t="s">
        <v>4732</v>
      </c>
      <c r="C38" s="334" t="s">
        <v>4733</v>
      </c>
      <c r="D38" s="317" t="str">
        <f>IFERROR(__xludf.DUMMYFUNCTION("GOOGLETRANSLATE(B38,""zh-tw"",""ja"")"),"物理攻撃力：1
魔法攻撃力：1
アイテム吸収")</f>
        <v>物理攻撃力：1
魔法攻撃力：1
アイテム吸収</v>
      </c>
      <c r="E38" s="334" t="s">
        <v>4734</v>
      </c>
      <c r="F38" s="317" t="s">
        <v>4735</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4736</v>
      </c>
      <c r="P38" s="317" t="s">
        <v>4737</v>
      </c>
      <c r="Q38" s="337" t="s">
        <v>4738</v>
      </c>
      <c r="R38" s="338" t="s">
        <v>4739</v>
      </c>
      <c r="S38" s="205"/>
      <c r="T38" s="205"/>
    </row>
    <row r="39">
      <c r="A39" s="334" t="s">
        <v>4740</v>
      </c>
      <c r="B39" s="317" t="s">
        <v>4741</v>
      </c>
      <c r="C39" s="334" t="s">
        <v>4742</v>
      </c>
      <c r="D39" s="317" t="str">
        <f>IFERROR(__xludf.DUMMYFUNCTION("GOOGLETRANSLATE(B39,""zh-tw"",""ja"")"),"物理攻撃: 15 ターゲットをクランプする")</f>
        <v>物理攻撃: 15 ターゲットをクランプする</v>
      </c>
      <c r="E39" s="334" t="s">
        <v>4743</v>
      </c>
      <c r="F39" s="317" t="s">
        <v>4744</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Sujetar al objetivo")</f>
        <v>Ataque físico: 15 Sujetar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4745</v>
      </c>
      <c r="P39" s="317" t="s">
        <v>4746</v>
      </c>
      <c r="Q39" s="337" t="s">
        <v>4747</v>
      </c>
      <c r="R39" s="338" t="s">
        <v>4748</v>
      </c>
      <c r="S39" s="205"/>
      <c r="T39" s="205"/>
    </row>
    <row r="40">
      <c r="A40" s="333" t="s">
        <v>4749</v>
      </c>
      <c r="B40" s="161" t="s">
        <v>4750</v>
      </c>
      <c r="C40" s="334" t="s">
        <v>4749</v>
      </c>
      <c r="D40" s="317" t="str">
        <f>IFERROR(__xludf.DUMMYFUNCTION("GOOGLETRANSLATE(B40,""zh-tw"",""ja"")"),"物理攻撃：スタンの確率36%")</f>
        <v>物理攻撃：スタンの確率36%</v>
      </c>
      <c r="E40" s="334" t="s">
        <v>4751</v>
      </c>
      <c r="F40" s="317" t="s">
        <v>4752</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4753</v>
      </c>
      <c r="P40" s="317" t="s">
        <v>4754</v>
      </c>
      <c r="Q40" s="337" t="s">
        <v>4755</v>
      </c>
      <c r="R40" s="338" t="s">
        <v>4756</v>
      </c>
      <c r="S40" s="17"/>
      <c r="T40" s="17"/>
    </row>
    <row r="41">
      <c r="A41" s="335" t="s">
        <v>4757</v>
      </c>
      <c r="B41" s="162" t="s">
        <v>4758</v>
      </c>
      <c r="C41" s="335" t="s">
        <v>4757</v>
      </c>
      <c r="D41" s="162" t="s">
        <v>4759</v>
      </c>
      <c r="E41" s="335" t="s">
        <v>4760</v>
      </c>
      <c r="F41" s="161" t="s">
        <v>4761</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4762</v>
      </c>
      <c r="P41" s="322" t="s">
        <v>4763</v>
      </c>
      <c r="Q41" s="337" t="s">
        <v>4764</v>
      </c>
      <c r="R41" s="338" t="s">
        <v>4765</v>
      </c>
      <c r="S41" s="17"/>
      <c r="T41" s="17"/>
    </row>
    <row r="42">
      <c r="A42" s="335" t="s">
        <v>4766</v>
      </c>
      <c r="B42" s="161" t="s">
        <v>4767</v>
      </c>
      <c r="C42" s="335" t="s">
        <v>4768</v>
      </c>
      <c r="D42" s="162" t="s">
        <v>4769</v>
      </c>
      <c r="E42" s="335" t="s">
        <v>4770</v>
      </c>
      <c r="F42" s="162" t="s">
        <v>4771</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4772</v>
      </c>
      <c r="P42" s="322" t="s">
        <v>4773</v>
      </c>
      <c r="Q42" s="337" t="s">
        <v>4774</v>
      </c>
      <c r="R42" s="338" t="s">
        <v>4775</v>
      </c>
      <c r="S42" s="17"/>
      <c r="T42" s="17"/>
    </row>
    <row r="43">
      <c r="A43" s="333" t="s">
        <v>4776</v>
      </c>
      <c r="B43" s="161" t="s">
        <v>4777</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4778</v>
      </c>
      <c r="F43" s="161" t="s">
        <v>4779</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4780</v>
      </c>
      <c r="P43" s="161" t="s">
        <v>4781</v>
      </c>
      <c r="Q43" s="337" t="s">
        <v>4782</v>
      </c>
      <c r="R43" s="338" t="s">
        <v>4783</v>
      </c>
      <c r="S43" s="17"/>
      <c r="T43" s="17"/>
    </row>
    <row r="44">
      <c r="A44" s="333" t="s">
        <v>4784</v>
      </c>
      <c r="B44" s="161" t="s">
        <v>4785</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4786</v>
      </c>
      <c r="F44" s="161" t="s">
        <v>4787</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4788</v>
      </c>
      <c r="P44" s="161" t="s">
        <v>4789</v>
      </c>
      <c r="Q44" s="337" t="s">
        <v>4790</v>
      </c>
      <c r="R44" s="338" t="s">
        <v>4791</v>
      </c>
      <c r="S44" s="17"/>
      <c r="T44" s="17"/>
    </row>
    <row r="45">
      <c r="A45" s="334" t="s">
        <v>4792</v>
      </c>
      <c r="B45" s="317" t="s">
        <v>4793</v>
      </c>
      <c r="C45" s="334" t="s">
        <v>4794</v>
      </c>
      <c r="D45" s="317"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34" t="s">
        <v>4795</v>
      </c>
      <c r="F45" s="317" t="s">
        <v>4796</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4797</v>
      </c>
      <c r="P45" s="317" t="s">
        <v>4798</v>
      </c>
      <c r="Q45" s="337" t="s">
        <v>4799</v>
      </c>
      <c r="R45" s="338" t="s">
        <v>4800</v>
      </c>
      <c r="S45" s="205"/>
      <c r="T45" s="205"/>
    </row>
    <row r="46">
      <c r="A46" s="333" t="s">
        <v>4801</v>
      </c>
      <c r="B46" s="161" t="s">
        <v>4802</v>
      </c>
      <c r="C46" s="333" t="s">
        <v>4803</v>
      </c>
      <c r="D46" s="161" t="s">
        <v>4804</v>
      </c>
      <c r="E46" s="333" t="s">
        <v>4805</v>
      </c>
      <c r="F46" s="161" t="s">
        <v>4806</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4807</v>
      </c>
      <c r="P46" s="161" t="s">
        <v>4808</v>
      </c>
      <c r="Q46" s="340" t="s">
        <v>4809</v>
      </c>
      <c r="R46" s="164" t="s">
        <v>4810</v>
      </c>
      <c r="S46" s="17"/>
      <c r="T46" s="17"/>
    </row>
    <row r="47">
      <c r="A47" s="339" t="s">
        <v>4811</v>
      </c>
      <c r="B47" s="161" t="s">
        <v>4812</v>
      </c>
      <c r="C47" s="333" t="s">
        <v>3194</v>
      </c>
      <c r="D47" s="161" t="s">
        <v>4813</v>
      </c>
      <c r="E47" s="333" t="s">
        <v>3207</v>
      </c>
      <c r="F47" s="161" t="s">
        <v>4814</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4815</v>
      </c>
      <c r="S47" s="17"/>
      <c r="T47" s="17"/>
    </row>
    <row r="48">
      <c r="A48" s="333" t="s">
        <v>4816</v>
      </c>
      <c r="B48" s="161" t="s">
        <v>4817</v>
      </c>
      <c r="C48" s="333" t="s">
        <v>4818</v>
      </c>
      <c r="D48" s="161" t="s">
        <v>4819</v>
      </c>
      <c r="E48" s="333" t="s">
        <v>3196</v>
      </c>
      <c r="F48" s="161" t="s">
        <v>4820</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4821</v>
      </c>
      <c r="R48" s="182" t="s">
        <v>4822</v>
      </c>
      <c r="S48" s="17"/>
      <c r="T48" s="17"/>
    </row>
    <row r="49">
      <c r="A49" s="333" t="s">
        <v>4823</v>
      </c>
      <c r="B49" s="161" t="s">
        <v>4824</v>
      </c>
      <c r="C49" s="333" t="s">
        <v>4825</v>
      </c>
      <c r="D49" s="161" t="s">
        <v>4826</v>
      </c>
      <c r="E49" s="333" t="s">
        <v>4827</v>
      </c>
      <c r="F49" s="161" t="s">
        <v>4828</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 칼")</f>
        <v>곰팡이 핀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4829</v>
      </c>
      <c r="R49" s="182" t="s">
        <v>4830</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4831</v>
      </c>
      <c r="B3" s="72" t="s">
        <v>4832</v>
      </c>
      <c r="C3" s="343" t="str">
        <f>IFERROR(__xludf.DUMMYFUNCTION("GOOGLETRANSLATE(A3,""zh-tw"",""ja"")"),"設備プロジェクト")</f>
        <v>設備プロジェクト</v>
      </c>
      <c r="D3" s="344" t="str">
        <f>IFERROR(__xludf.DUMMYFUNCTION("GOOGLETRANSLATE(B3,""zh-tw"",""ja"")"),"装備の属性")</f>
        <v>装備の属性</v>
      </c>
      <c r="E3" s="345" t="s">
        <v>4833</v>
      </c>
      <c r="F3" s="14" t="s">
        <v>4408</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4834</v>
      </c>
      <c r="P3" s="72" t="s">
        <v>4835</v>
      </c>
      <c r="Q3" s="331" t="s">
        <v>4836</v>
      </c>
      <c r="R3" s="332" t="s">
        <v>4412</v>
      </c>
      <c r="S3" s="17"/>
      <c r="T3" s="17"/>
      <c r="U3" s="17"/>
      <c r="V3" s="17"/>
      <c r="W3" s="17"/>
      <c r="X3" s="17"/>
      <c r="Y3" s="17"/>
      <c r="Z3" s="17"/>
    </row>
    <row r="4">
      <c r="A4" s="334" t="s">
        <v>4837</v>
      </c>
      <c r="B4" s="317" t="s">
        <v>4838</v>
      </c>
      <c r="C4" s="346" t="s">
        <v>4839</v>
      </c>
      <c r="D4" s="185" t="s">
        <v>4840</v>
      </c>
      <c r="E4" s="333" t="s">
        <v>4841</v>
      </c>
      <c r="F4" s="161" t="s">
        <v>4842</v>
      </c>
      <c r="G4" s="335" t="str">
        <f>IFERROR(__xludf.DUMMYFUNCTION("GOOGLETRANSLATE(A4,""zh-tw"",""zh"")"),"妹妹脱下的内裤")</f>
        <v>妹妹脱下的内裤</v>
      </c>
      <c r="H4" s="162" t="str">
        <f>IFERROR(__xludf.DUMMYFUNCTION("GOOGLETRANSLATE(B4,""zh-tw"",""zh"")"),"低体力回复")</f>
        <v>低体力回复</v>
      </c>
      <c r="I4" s="333" t="s">
        <v>4843</v>
      </c>
      <c r="J4" s="161" t="s">
        <v>4844</v>
      </c>
      <c r="K4" s="333" t="s">
        <v>4845</v>
      </c>
      <c r="L4" s="161" t="s">
        <v>4846</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4847</v>
      </c>
      <c r="P4" s="317" t="s">
        <v>4848</v>
      </c>
      <c r="Q4" s="337" t="s">
        <v>4849</v>
      </c>
      <c r="R4" s="338" t="s">
        <v>4850</v>
      </c>
      <c r="S4" s="17"/>
      <c r="T4" s="17"/>
      <c r="U4" s="17"/>
      <c r="V4" s="17"/>
      <c r="W4" s="17"/>
      <c r="X4" s="17"/>
      <c r="Y4" s="17"/>
      <c r="Z4" s="17"/>
    </row>
    <row r="5">
      <c r="A5" s="334" t="s">
        <v>4851</v>
      </c>
      <c r="B5" s="317" t="s">
        <v>4852</v>
      </c>
      <c r="C5" s="346" t="s">
        <v>4853</v>
      </c>
      <c r="D5" s="347" t="str">
        <f>IFERROR(__xludf.DUMMYFUNCTION("GOOGLETRANSLATE(B5,""zh-tw"",""ja"")"),"性欲が増し、全属性が10%増加します。")</f>
        <v>性欲が増し、全属性が10%増加します。</v>
      </c>
      <c r="E5" s="333" t="s">
        <v>4854</v>
      </c>
      <c r="F5" s="161" t="s">
        <v>4855</v>
      </c>
      <c r="G5" s="335" t="str">
        <f>IFERROR(__xludf.DUMMYFUNCTION("GOOGLETRANSLATE(A5,""zh-tw"",""zh"")"),"少女的笑容")</f>
        <v>少女的笑容</v>
      </c>
      <c r="H5" s="162" t="str">
        <f>IFERROR(__xludf.DUMMYFUNCTION("GOOGLETRANSLATE(B5,""zh-tw"",""zh"")"),"性欲上升，全属性上升10%")</f>
        <v>性欲上升，全属性上升10%</v>
      </c>
      <c r="I5" s="333" t="s">
        <v>4856</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4857</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4858</v>
      </c>
      <c r="P5" s="317" t="s">
        <v>4859</v>
      </c>
      <c r="Q5" s="337" t="s">
        <v>4860</v>
      </c>
      <c r="R5" s="338" t="s">
        <v>4861</v>
      </c>
      <c r="S5" s="17"/>
      <c r="T5" s="17"/>
      <c r="U5" s="17"/>
      <c r="V5" s="17"/>
      <c r="W5" s="17"/>
      <c r="X5" s="17"/>
      <c r="Y5" s="17"/>
      <c r="Z5" s="17"/>
    </row>
    <row r="6">
      <c r="A6" s="334" t="s">
        <v>4862</v>
      </c>
      <c r="B6" s="317" t="s">
        <v>723</v>
      </c>
      <c r="C6" s="348" t="str">
        <f>IFERROR(__xludf.DUMMYFUNCTION("GOOGLETRANSLATE(A6,""zh-tw"",""ja"")"),"フライドポテト")</f>
        <v>フライドポテト</v>
      </c>
      <c r="D6" s="347" t="str">
        <f>IFERROR(__xludf.DUMMYFUNCTION("GOOGLETRANSLATE(B6,""zh-tw"",""ja"")"),"-")</f>
        <v>-</v>
      </c>
      <c r="E6" s="333" t="s">
        <v>4863</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4864</v>
      </c>
      <c r="P6" s="317" t="s">
        <v>4865</v>
      </c>
      <c r="Q6" s="337" t="s">
        <v>4866</v>
      </c>
      <c r="R6" s="338" t="s">
        <v>723</v>
      </c>
      <c r="S6" s="17"/>
      <c r="T6" s="17"/>
      <c r="U6" s="17"/>
      <c r="V6" s="17"/>
      <c r="W6" s="17"/>
      <c r="X6" s="17"/>
      <c r="Y6" s="17"/>
      <c r="Z6" s="17"/>
    </row>
    <row r="7">
      <c r="A7" s="334" t="s">
        <v>4867</v>
      </c>
      <c r="B7" s="317" t="s">
        <v>4868</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4869</v>
      </c>
      <c r="F7" s="161" t="s">
        <v>4870</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4871</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4872</v>
      </c>
      <c r="P7" s="317" t="s">
        <v>4873</v>
      </c>
      <c r="Q7" s="337" t="s">
        <v>4874</v>
      </c>
      <c r="R7" s="323" t="s">
        <v>4875</v>
      </c>
      <c r="S7" s="17"/>
      <c r="T7" s="17"/>
      <c r="U7" s="17"/>
      <c r="V7" s="17"/>
      <c r="W7" s="17"/>
      <c r="X7" s="17"/>
      <c r="Y7" s="17"/>
      <c r="Z7" s="17"/>
    </row>
    <row r="8">
      <c r="A8" s="334" t="s">
        <v>4876</v>
      </c>
      <c r="B8" s="317" t="s">
        <v>4877</v>
      </c>
      <c r="C8" s="346" t="s">
        <v>4878</v>
      </c>
      <c r="D8" s="347" t="str">
        <f>IFERROR(__xludf.DUMMYFUNCTION("GOOGLETRANSLATE(B8,""zh-tw"",""ja"")"),"運：10（回復確率）")</f>
        <v>運：10（回復確率）</v>
      </c>
      <c r="E8" s="333" t="s">
        <v>4879</v>
      </c>
      <c r="F8" s="161" t="s">
        <v>4880</v>
      </c>
      <c r="G8" s="335" t="str">
        <f>IFERROR(__xludf.DUMMYFUNCTION("GOOGLETRANSLATE(A8,""zh-tw"",""zh"")"),"苹果头套")</f>
        <v>苹果头套</v>
      </c>
      <c r="H8" s="162" t="str">
        <f>IFERROR(__xludf.DUMMYFUNCTION("GOOGLETRANSLATE(B8,""zh-tw"",""zh"")"),"幸运：10
概率回复")</f>
        <v>幸运：10
概率回复</v>
      </c>
      <c r="I8" s="333" t="s">
        <v>4881</v>
      </c>
      <c r="J8" s="161" t="s">
        <v>4882</v>
      </c>
      <c r="K8" s="333" t="s">
        <v>4883</v>
      </c>
      <c r="L8" s="161" t="s">
        <v>4884</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4885</v>
      </c>
      <c r="P8" s="317" t="s">
        <v>4886</v>
      </c>
      <c r="Q8" s="337" t="s">
        <v>4887</v>
      </c>
      <c r="R8" s="338" t="s">
        <v>4888</v>
      </c>
      <c r="S8" s="17"/>
      <c r="T8" s="17"/>
      <c r="U8" s="17"/>
      <c r="V8" s="17"/>
      <c r="W8" s="17"/>
      <c r="X8" s="17"/>
      <c r="Y8" s="17"/>
      <c r="Z8" s="17"/>
    </row>
    <row r="9">
      <c r="A9" s="334" t="s">
        <v>4889</v>
      </c>
      <c r="B9" s="317" t="s">
        <v>4890</v>
      </c>
      <c r="C9" s="346" t="s">
        <v>4891</v>
      </c>
      <c r="D9" s="347" t="str">
        <f>IFERROR(__xludf.DUMMYFUNCTION("GOOGLETRANSLATE(B9,""zh-tw"",""ja"")"),"物理攻撃：5。攻撃力と攻撃速度が向上します。")</f>
        <v>物理攻撃：5。攻撃力と攻撃速度が向上します。</v>
      </c>
      <c r="E9" s="333" t="s">
        <v>4892</v>
      </c>
      <c r="F9" s="161" t="s">
        <v>4893</v>
      </c>
      <c r="G9" s="335" t="str">
        <f>IFERROR(__xludf.DUMMYFUNCTION("GOOGLETRANSLATE(A9,""zh-tw"",""zh"")"),"借来的猫爪")</f>
        <v>借来的猫爪</v>
      </c>
      <c r="H9" s="162" t="str">
        <f>IFERROR(__xludf.DUMMYFUNCTION("GOOGLETRANSLATE(B9,""zh-tw"",""zh"")"),"物攻：5
攻击力、攻速上升")</f>
        <v>物攻：5
攻击力、攻速上升</v>
      </c>
      <c r="I9" s="333" t="s">
        <v>4894</v>
      </c>
      <c r="J9" s="162" t="str">
        <f>IFERROR(__xludf.DUMMYFUNCTION("GOOGLETRANSLATE(B9,""zh-tw"",""es-MX"")"),"Ataque físico: 5. Aumenta el poder de ataque y la velocidad de ataque.")</f>
        <v>Ataque físico: 5. Aumenta el poder de ataque y la velocidad de ataque.</v>
      </c>
      <c r="K9" s="333" t="s">
        <v>4895</v>
      </c>
      <c r="L9" s="161" t="s">
        <v>4896</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4897</v>
      </c>
      <c r="P9" s="317" t="s">
        <v>4898</v>
      </c>
      <c r="Q9" s="337" t="s">
        <v>4899</v>
      </c>
      <c r="R9" s="338" t="s">
        <v>4900</v>
      </c>
      <c r="S9" s="17"/>
      <c r="T9" s="17"/>
      <c r="U9" s="17"/>
      <c r="V9" s="17"/>
      <c r="W9" s="17"/>
      <c r="X9" s="17"/>
      <c r="Y9" s="17"/>
      <c r="Z9" s="17"/>
    </row>
    <row r="10">
      <c r="A10" s="334" t="s">
        <v>4901</v>
      </c>
      <c r="B10" s="317" t="s">
        <v>4902</v>
      </c>
      <c r="C10" s="346" t="s">
        <v>4903</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4904</v>
      </c>
      <c r="F10" s="161" t="s">
        <v>4905</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4906</v>
      </c>
      <c r="L10" s="161" t="s">
        <v>4907</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4908</v>
      </c>
      <c r="P10" s="317" t="s">
        <v>4909</v>
      </c>
      <c r="Q10" s="337" t="s">
        <v>4910</v>
      </c>
      <c r="R10" s="338" t="s">
        <v>4911</v>
      </c>
      <c r="S10" s="17"/>
      <c r="T10" s="17"/>
      <c r="U10" s="17"/>
      <c r="V10" s="17"/>
      <c r="W10" s="17"/>
      <c r="X10" s="17"/>
      <c r="Y10" s="17"/>
      <c r="Z10" s="17"/>
    </row>
    <row r="11">
      <c r="A11" s="334" t="s">
        <v>4912</v>
      </c>
      <c r="B11" s="317" t="s">
        <v>4913</v>
      </c>
      <c r="C11" s="346" t="s">
        <v>4270</v>
      </c>
      <c r="D11" s="347" t="str">
        <f>IFERROR(__xludf.DUMMYFUNCTION("GOOGLETRANSLATE(B11,""zh-tw"",""ja"")"),"攻撃速度と攻撃回数を1増加します。")</f>
        <v>攻撃速度と攻撃回数を1増加します。</v>
      </c>
      <c r="E11" s="333" t="s">
        <v>4273</v>
      </c>
      <c r="F11" s="161" t="s">
        <v>4914</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4275</v>
      </c>
      <c r="L11" s="161" t="s">
        <v>4915</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4277</v>
      </c>
      <c r="P11" s="317" t="s">
        <v>4916</v>
      </c>
      <c r="Q11" s="337" t="s">
        <v>4917</v>
      </c>
      <c r="R11" s="338" t="s">
        <v>4918</v>
      </c>
      <c r="S11" s="17"/>
      <c r="T11" s="17"/>
      <c r="U11" s="17"/>
      <c r="V11" s="17"/>
      <c r="W11" s="17"/>
      <c r="X11" s="17"/>
      <c r="Y11" s="17"/>
      <c r="Z11" s="17"/>
    </row>
    <row r="12">
      <c r="A12" s="334" t="s">
        <v>4919</v>
      </c>
      <c r="B12" s="317" t="s">
        <v>4920</v>
      </c>
      <c r="C12" s="346" t="s">
        <v>4921</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4922</v>
      </c>
      <c r="F12" s="161" t="s">
        <v>4923</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4924</v>
      </c>
      <c r="L12" s="161" t="s">
        <v>4925</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4926</v>
      </c>
      <c r="P12" s="317" t="s">
        <v>4927</v>
      </c>
      <c r="Q12" s="337" t="s">
        <v>4928</v>
      </c>
      <c r="R12" s="338" t="s">
        <v>4929</v>
      </c>
      <c r="S12" s="17"/>
      <c r="T12" s="17"/>
      <c r="U12" s="17"/>
      <c r="V12" s="17"/>
      <c r="W12" s="17"/>
      <c r="X12" s="17"/>
      <c r="Y12" s="17"/>
      <c r="Z12" s="17"/>
    </row>
    <row r="13">
      <c r="A13" s="334" t="s">
        <v>4930</v>
      </c>
      <c r="B13" s="317" t="s">
        <v>4931</v>
      </c>
      <c r="C13" s="348" t="str">
        <f>IFERROR(__xludf.DUMMYFUNCTION("GOOGLETRANSLATE(A13,""zh-tw"",""ja"")"),"招き猫")</f>
        <v>招き猫</v>
      </c>
      <c r="D13" s="185" t="s">
        <v>4932</v>
      </c>
      <c r="E13" s="333" t="s">
        <v>4933</v>
      </c>
      <c r="F13" s="161" t="s">
        <v>4934</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4935</v>
      </c>
      <c r="L13" s="161" t="s">
        <v>4936</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4937</v>
      </c>
      <c r="P13" s="317" t="s">
        <v>4938</v>
      </c>
      <c r="Q13" s="337" t="s">
        <v>4939</v>
      </c>
      <c r="R13" s="338" t="s">
        <v>4940</v>
      </c>
      <c r="S13" s="17"/>
      <c r="T13" s="17"/>
      <c r="U13" s="17"/>
      <c r="V13" s="17"/>
      <c r="W13" s="17"/>
      <c r="X13" s="17"/>
      <c r="Y13" s="17"/>
      <c r="Z13" s="17"/>
    </row>
    <row r="14">
      <c r="A14" s="334" t="s">
        <v>4941</v>
      </c>
      <c r="B14" s="317" t="s">
        <v>4942</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4943</v>
      </c>
      <c r="F14" s="161" t="s">
        <v>4944</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4945</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4946</v>
      </c>
      <c r="P14" s="317" t="s">
        <v>4947</v>
      </c>
      <c r="Q14" s="337" t="s">
        <v>4948</v>
      </c>
      <c r="R14" s="323" t="s">
        <v>4949</v>
      </c>
      <c r="S14" s="17"/>
      <c r="T14" s="17"/>
      <c r="U14" s="17"/>
      <c r="V14" s="17"/>
      <c r="W14" s="17"/>
      <c r="X14" s="17"/>
      <c r="Y14" s="17"/>
      <c r="Z14" s="17"/>
    </row>
    <row r="15">
      <c r="A15" s="334" t="s">
        <v>4950</v>
      </c>
      <c r="B15" s="317" t="s">
        <v>4942</v>
      </c>
      <c r="C15" s="346" t="s">
        <v>4951</v>
      </c>
      <c r="D15" s="185" t="s">
        <v>4952</v>
      </c>
      <c r="E15" s="333" t="s">
        <v>4953</v>
      </c>
      <c r="F15" s="161" t="s">
        <v>4954</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4955</v>
      </c>
      <c r="L15" s="161" t="s">
        <v>4945</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4956</v>
      </c>
      <c r="P15" s="317" t="s">
        <v>4957</v>
      </c>
      <c r="Q15" s="337" t="s">
        <v>4958</v>
      </c>
      <c r="R15" s="323" t="s">
        <v>4959</v>
      </c>
      <c r="S15" s="17"/>
      <c r="T15" s="17"/>
      <c r="U15" s="17"/>
      <c r="V15" s="17"/>
      <c r="W15" s="17"/>
      <c r="X15" s="17"/>
      <c r="Y15" s="17"/>
      <c r="Z15" s="17"/>
    </row>
    <row r="16">
      <c r="A16" s="334" t="s">
        <v>4056</v>
      </c>
      <c r="B16" s="317" t="s">
        <v>4960</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4061</v>
      </c>
      <c r="F16" s="161" t="s">
        <v>4961</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4064</v>
      </c>
      <c r="L16" s="161" t="s">
        <v>4962</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4067</v>
      </c>
      <c r="P16" s="317" t="s">
        <v>4963</v>
      </c>
      <c r="Q16" s="337" t="s">
        <v>4070</v>
      </c>
      <c r="R16" s="323" t="s">
        <v>4964</v>
      </c>
      <c r="S16" s="17"/>
      <c r="T16" s="17"/>
      <c r="U16" s="17"/>
      <c r="V16" s="17"/>
      <c r="W16" s="17"/>
      <c r="X16" s="17"/>
      <c r="Y16" s="17"/>
      <c r="Z16" s="17"/>
    </row>
    <row r="17">
      <c r="A17" s="334" t="s">
        <v>4965</v>
      </c>
      <c r="B17" s="317" t="s">
        <v>4966</v>
      </c>
      <c r="C17" s="346" t="s">
        <v>4967</v>
      </c>
      <c r="D17" s="347" t="str">
        <f>IFERROR(__xludf.DUMMYFUNCTION("GOOGLETRANSLATE(B17,""zh-tw"",""ja"")"),"物理防御力: 2
魔法耐性: 15
落下ダメージ軽減")</f>
        <v>物理防御力: 2
魔法耐性: 15
落下ダメージ軽減</v>
      </c>
      <c r="E17" s="333" t="s">
        <v>4968</v>
      </c>
      <c r="F17" s="161" t="s">
        <v>4969</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4970</v>
      </c>
      <c r="L17" s="161" t="s">
        <v>4971</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4972</v>
      </c>
      <c r="P17" s="317" t="s">
        <v>4973</v>
      </c>
      <c r="Q17" s="337" t="s">
        <v>4974</v>
      </c>
      <c r="R17" s="323" t="s">
        <v>4975</v>
      </c>
      <c r="S17" s="17"/>
      <c r="T17" s="17"/>
      <c r="U17" s="17"/>
      <c r="V17" s="17"/>
      <c r="W17" s="17"/>
      <c r="X17" s="17"/>
      <c r="Y17" s="17"/>
      <c r="Z17" s="17"/>
    </row>
    <row r="18">
      <c r="A18" s="333" t="s">
        <v>4976</v>
      </c>
      <c r="B18" s="161" t="s">
        <v>4977</v>
      </c>
      <c r="C18" s="346" t="s">
        <v>4978</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4979</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4980</v>
      </c>
      <c r="P18" s="317" t="s">
        <v>4981</v>
      </c>
      <c r="Q18" s="337" t="s">
        <v>4982</v>
      </c>
      <c r="R18" s="323" t="s">
        <v>4983</v>
      </c>
      <c r="S18" s="17"/>
      <c r="T18" s="17"/>
      <c r="U18" s="17"/>
      <c r="V18" s="17"/>
      <c r="W18" s="17"/>
      <c r="X18" s="17"/>
      <c r="Y18" s="17"/>
      <c r="Z18" s="17"/>
    </row>
    <row r="19">
      <c r="A19" s="334" t="s">
        <v>4984</v>
      </c>
      <c r="B19" s="317" t="s">
        <v>4985</v>
      </c>
      <c r="C19" s="346" t="s">
        <v>4986</v>
      </c>
      <c r="D19" s="347" t="str">
        <f>IFERROR(__xludf.DUMMYFUNCTION("GOOGLETRANSLATE(B19,""zh-tw"",""ja"")"),"物理防御力：2
魔法耐性：10
フラッシュステップ効果強化")</f>
        <v>物理防御力：2
魔法耐性：10
フラッシュステップ効果強化</v>
      </c>
      <c r="E19" s="333" t="s">
        <v>4987</v>
      </c>
      <c r="F19" s="161" t="s">
        <v>4988</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4989</v>
      </c>
      <c r="P19" s="317" t="s">
        <v>4990</v>
      </c>
      <c r="Q19" s="337" t="s">
        <v>4991</v>
      </c>
      <c r="R19" s="323" t="s">
        <v>4992</v>
      </c>
      <c r="S19" s="17"/>
      <c r="T19" s="17"/>
      <c r="U19" s="17"/>
      <c r="V19" s="17"/>
      <c r="W19" s="17"/>
      <c r="X19" s="17"/>
      <c r="Y19" s="17"/>
      <c r="Z19" s="17"/>
    </row>
    <row r="20">
      <c r="A20" s="334" t="s">
        <v>4993</v>
      </c>
      <c r="B20" s="317" t="s">
        <v>4994</v>
      </c>
      <c r="C20" s="346" t="s">
        <v>4995</v>
      </c>
      <c r="D20" s="347" t="str">
        <f>IFERROR(__xludf.DUMMYFUNCTION("GOOGLETRANSLATE(B20,""zh-tw"",""ja"")"),"物理防御力: 1
幸運: 60
アイテムドロップ率アップ")</f>
        <v>物理防御力: 1
幸運: 60
アイテムドロップ率アップ</v>
      </c>
      <c r="E20" s="333" t="s">
        <v>4996</v>
      </c>
      <c r="F20" s="161" t="s">
        <v>4997</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4998</v>
      </c>
      <c r="P20" s="317" t="s">
        <v>4999</v>
      </c>
      <c r="Q20" s="337" t="s">
        <v>5000</v>
      </c>
      <c r="R20" s="323" t="s">
        <v>5001</v>
      </c>
      <c r="S20" s="17"/>
      <c r="T20" s="17"/>
      <c r="U20" s="17"/>
      <c r="V20" s="17"/>
      <c r="W20" s="17"/>
      <c r="X20" s="17"/>
      <c r="Y20" s="17"/>
      <c r="Z20" s="17"/>
    </row>
    <row r="21">
      <c r="A21" s="334" t="s">
        <v>5002</v>
      </c>
      <c r="B21" s="317" t="s">
        <v>5003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5004</v>
      </c>
      <c r="F21" s="161" t="s">
        <v>5005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5006</v>
      </c>
      <c r="L21" s="161" t="s">
        <v>5007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5008</v>
      </c>
      <c r="P21" s="317" t="s">
        <v>5009</v>
      </c>
      <c r="Q21" s="337" t="s">
        <v>5010</v>
      </c>
      <c r="R21" s="338" t="s">
        <v>5011</v>
      </c>
      <c r="S21" s="17"/>
      <c r="T21" s="17"/>
      <c r="U21" s="17"/>
      <c r="V21" s="17"/>
      <c r="W21" s="17"/>
      <c r="X21" s="17"/>
      <c r="Y21" s="17"/>
      <c r="Z21" s="17"/>
    </row>
    <row r="22">
      <c r="A22" s="334" t="s">
        <v>5012</v>
      </c>
      <c r="B22" s="317" t="s">
        <v>5013</v>
      </c>
      <c r="C22" s="346" t="s">
        <v>5014</v>
      </c>
      <c r="D22" s="347" t="str">
        <f>IFERROR(__xludf.DUMMYFUNCTION("GOOGLETRANSLATE(B22,""zh-tw"",""ja"")"),"魔法攻撃力：20
魔法耐性：10
詠唱速度が上昇し、最大魔法威力が上昇")</f>
        <v>魔法攻撃力：20
魔法耐性：10
詠唱速度が上昇し、最大魔法威力が上昇</v>
      </c>
      <c r="E22" s="333" t="s">
        <v>5015</v>
      </c>
      <c r="F22" s="161" t="s">
        <v>5016</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5017</v>
      </c>
      <c r="L22" s="161" t="s">
        <v>5018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5019</v>
      </c>
      <c r="P22" s="317" t="s">
        <v>5020</v>
      </c>
      <c r="Q22" s="337" t="s">
        <v>5021</v>
      </c>
      <c r="R22" s="323" t="s">
        <v>5022</v>
      </c>
      <c r="S22" s="17"/>
      <c r="T22" s="17"/>
      <c r="U22" s="17"/>
      <c r="V22" s="17"/>
      <c r="W22" s="17"/>
      <c r="X22" s="17"/>
      <c r="Y22" s="17"/>
      <c r="Z22" s="17"/>
    </row>
    <row r="23">
      <c r="A23" s="334" t="s">
        <v>5023</v>
      </c>
      <c r="B23" s="317" t="s">
        <v>5024</v>
      </c>
      <c r="C23" s="346" t="s">
        <v>5025</v>
      </c>
      <c r="D23" s="347" t="str">
        <f>IFERROR(__xludf.DUMMYFUNCTION("GOOGLETRANSLATE(B23,""zh-tw"",""ja"")"),"魔法攻撃力：35
魔法耐性：20
詠唱速度が上昇し、最大魔法威力が上昇")</f>
        <v>魔法攻撃力：35
魔法耐性：20
詠唱速度が上昇し、最大魔法威力が上昇</v>
      </c>
      <c r="E23" s="333" t="s">
        <v>5026</v>
      </c>
      <c r="F23" s="161" t="s">
        <v>5027</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5028</v>
      </c>
      <c r="L23" s="161" t="s">
        <v>5029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5030</v>
      </c>
      <c r="P23" s="317" t="s">
        <v>5031</v>
      </c>
      <c r="Q23" s="337" t="s">
        <v>5032</v>
      </c>
      <c r="R23" s="323" t="s">
        <v>5033</v>
      </c>
      <c r="S23" s="17"/>
      <c r="T23" s="17"/>
      <c r="U23" s="17"/>
      <c r="V23" s="17"/>
      <c r="W23" s="17"/>
      <c r="X23" s="17"/>
      <c r="Y23" s="17"/>
      <c r="Z23" s="17"/>
    </row>
    <row r="24">
      <c r="A24" s="334" t="s">
        <v>5034</v>
      </c>
      <c r="B24" s="317" t="s">
        <v>5035</v>
      </c>
      <c r="C24" s="346" t="s">
        <v>5036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5037</v>
      </c>
      <c r="F24" s="161" t="s">
        <v>5038</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5039</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5040</v>
      </c>
      <c r="P24" s="317" t="s">
        <v>5041</v>
      </c>
      <c r="Q24" s="337" t="s">
        <v>5042</v>
      </c>
      <c r="R24" s="338" t="s">
        <v>5043</v>
      </c>
      <c r="S24" s="17"/>
      <c r="T24" s="17"/>
      <c r="U24" s="17"/>
      <c r="V24" s="17"/>
      <c r="W24" s="17"/>
      <c r="X24" s="17"/>
      <c r="Y24" s="17"/>
      <c r="Z24" s="17"/>
    </row>
    <row r="25">
      <c r="A25" s="334" t="s">
        <v>5044</v>
      </c>
      <c r="B25" s="317" t="s">
        <v>5045</v>
      </c>
      <c r="C25" s="346" t="s">
        <v>5046</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5047</v>
      </c>
      <c r="F25" s="161" t="s">
        <v>5048</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5049</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5050</v>
      </c>
      <c r="P25" s="317" t="s">
        <v>5051</v>
      </c>
      <c r="Q25" s="337" t="s">
        <v>5052</v>
      </c>
      <c r="R25" s="323" t="s">
        <v>5053</v>
      </c>
      <c r="S25" s="17"/>
      <c r="T25" s="17"/>
      <c r="U25" s="17"/>
      <c r="V25" s="17"/>
      <c r="W25" s="17"/>
      <c r="X25" s="17"/>
      <c r="Y25" s="17"/>
      <c r="Z25" s="17"/>
    </row>
    <row r="26">
      <c r="A26" s="333" t="s">
        <v>5054</v>
      </c>
      <c r="B26" s="161" t="s">
        <v>5055</v>
      </c>
      <c r="C26" s="346" t="s">
        <v>5056</v>
      </c>
      <c r="D26" s="185" t="s">
        <v>5057</v>
      </c>
      <c r="E26" s="333" t="s">
        <v>5058</v>
      </c>
      <c r="F26" s="161" t="s">
        <v>5059</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5060</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5061</v>
      </c>
      <c r="P26" s="317" t="s">
        <v>5062</v>
      </c>
      <c r="Q26" s="337" t="s">
        <v>5063</v>
      </c>
      <c r="R26" s="186" t="s">
        <v>5064</v>
      </c>
      <c r="S26" s="17"/>
      <c r="T26" s="17"/>
      <c r="U26" s="17"/>
      <c r="V26" s="17"/>
      <c r="W26" s="17"/>
      <c r="X26" s="17"/>
      <c r="Y26" s="17"/>
      <c r="Z26" s="17"/>
    </row>
    <row r="27">
      <c r="A27" s="333" t="s">
        <v>5065</v>
      </c>
      <c r="B27" s="161" t="s">
        <v>5066</v>
      </c>
      <c r="C27" s="346" t="s">
        <v>5067</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5068</v>
      </c>
      <c r="F27" s="161" t="s">
        <v>5069</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5070</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5071</v>
      </c>
      <c r="L27" s="161" t="s">
        <v>5072</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5073</v>
      </c>
      <c r="P27" s="317" t="s">
        <v>5074</v>
      </c>
      <c r="Q27" s="337" t="s">
        <v>5075</v>
      </c>
      <c r="R27" s="338" t="s">
        <v>5076</v>
      </c>
      <c r="S27" s="17"/>
      <c r="T27" s="17"/>
      <c r="U27" s="17"/>
      <c r="V27" s="17"/>
      <c r="W27" s="17"/>
      <c r="X27" s="17"/>
      <c r="Y27" s="17"/>
      <c r="Z27" s="17"/>
    </row>
    <row r="28">
      <c r="A28" s="333" t="s">
        <v>5077</v>
      </c>
      <c r="B28" s="161" t="s">
        <v>5078</v>
      </c>
      <c r="C28" s="346" t="s">
        <v>5079</v>
      </c>
      <c r="D28" s="347" t="str">
        <f>IFERROR(__xludf.DUMMYFUNCTION("GOOGLETRANSLATE(B28,""zh-tw"",""ja"")"),"爆発効果または爆発軽減を発動する確率が低い。")</f>
        <v>爆発効果または爆発軽減を発動する確率が低い。</v>
      </c>
      <c r="E28" s="333" t="s">
        <v>5080</v>
      </c>
      <c r="F28" s="161" t="s">
        <v>5081</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5082</v>
      </c>
      <c r="L28" s="161" t="s">
        <v>5083</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5084</v>
      </c>
      <c r="P28" s="317" t="s">
        <v>5085</v>
      </c>
      <c r="Q28" s="337" t="s">
        <v>5086</v>
      </c>
      <c r="R28" s="338" t="s">
        <v>5087</v>
      </c>
      <c r="S28" s="17"/>
      <c r="T28" s="17"/>
      <c r="U28" s="17"/>
      <c r="V28" s="17"/>
      <c r="W28" s="17"/>
      <c r="X28" s="17"/>
      <c r="Y28" s="17"/>
      <c r="Z28" s="17"/>
    </row>
    <row r="29">
      <c r="A29" s="333" t="s">
        <v>5088</v>
      </c>
      <c r="B29" s="161" t="s">
        <v>5089</v>
      </c>
      <c r="C29" s="346" t="s">
        <v>5090</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5091</v>
      </c>
      <c r="F29" s="161" t="s">
        <v>5092</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una bomba)")</f>
        <v>Ataque físico: 4
Resistencia mágica: 8
Suerte: 4
Efecto de bomba mejorado
(Posibilidad de explosión en cadena al lanzar una bomba)</v>
      </c>
      <c r="K29" s="333" t="s">
        <v>5093</v>
      </c>
      <c r="L29" s="161" t="s">
        <v>5094</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5095</v>
      </c>
      <c r="P29" s="317" t="s">
        <v>5096</v>
      </c>
      <c r="Q29" s="337" t="s">
        <v>5097</v>
      </c>
      <c r="R29" s="323" t="s">
        <v>5098</v>
      </c>
      <c r="S29" s="17"/>
      <c r="T29" s="17"/>
      <c r="U29" s="17"/>
      <c r="V29" s="17"/>
      <c r="W29" s="17"/>
      <c r="X29" s="17"/>
      <c r="Y29" s="17"/>
      <c r="Z29" s="17"/>
    </row>
    <row r="30">
      <c r="A30" s="334" t="s">
        <v>5099</v>
      </c>
      <c r="B30" s="317" t="s">
        <v>5100</v>
      </c>
      <c r="C30" s="346" t="s">
        <v>5101</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5102</v>
      </c>
      <c r="F30" s="161" t="s">
        <v>5103</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5104</v>
      </c>
      <c r="L30" s="161" t="s">
        <v>5105</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5106</v>
      </c>
      <c r="P30" s="317" t="s">
        <v>5107</v>
      </c>
      <c r="Q30" s="337" t="s">
        <v>5108</v>
      </c>
      <c r="R30" s="323" t="s">
        <v>5109</v>
      </c>
      <c r="S30" s="17"/>
      <c r="T30" s="17"/>
      <c r="U30" s="17"/>
      <c r="V30" s="17"/>
      <c r="W30" s="17"/>
      <c r="X30" s="17"/>
      <c r="Y30" s="17"/>
      <c r="Z30" s="17"/>
    </row>
    <row r="31">
      <c r="A31" s="334" t="s">
        <v>5110</v>
      </c>
      <c r="B31" s="317" t="s">
        <v>5111</v>
      </c>
      <c r="C31" s="346" t="s">
        <v>5112</v>
      </c>
      <c r="D31" s="347" t="str">
        <f>IFERROR(__xludf.DUMMYFUNCTION("GOOGLETRANSLATE(B31,""zh-tw"",""ja"")"),"物理攻撃: 2 物理防御: 6 ダメージを与えるアーマー")</f>
        <v>物理攻撃: 2 物理防御: 6 ダメージを与えるアーマー</v>
      </c>
      <c r="E31" s="333" t="s">
        <v>5113</v>
      </c>
      <c r="F31" s="161" t="s">
        <v>5114</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5115</v>
      </c>
      <c r="L31" s="161" t="s">
        <v>5116</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5117</v>
      </c>
      <c r="P31" s="317" t="s">
        <v>5118</v>
      </c>
      <c r="Q31" s="337" t="s">
        <v>5119</v>
      </c>
      <c r="R31" s="338" t="s">
        <v>5120</v>
      </c>
      <c r="S31" s="17"/>
      <c r="T31" s="17"/>
      <c r="U31" s="17"/>
      <c r="V31" s="17"/>
      <c r="W31" s="17"/>
      <c r="X31" s="17"/>
      <c r="Y31" s="17"/>
      <c r="Z31" s="17"/>
    </row>
    <row r="32">
      <c r="A32" s="334" t="s">
        <v>5121</v>
      </c>
      <c r="B32" s="317" t="s">
        <v>5122</v>
      </c>
      <c r="C32" s="346" t="s">
        <v>5123</v>
      </c>
      <c r="D32" s="347" t="str">
        <f>IFERROR(__xludf.DUMMYFUNCTION("GOOGLETRANSLATE(B32,""zh-tw"",""ja"")"),"物理攻撃力：4
物理防御力：2
ダメージを与えるアーマー")</f>
        <v>物理攻撃力：4
物理防御力：2
ダメージを与えるアーマー</v>
      </c>
      <c r="E32" s="333" t="s">
        <v>5124</v>
      </c>
      <c r="F32" s="161" t="s">
        <v>5125</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5126</v>
      </c>
      <c r="L32" s="161" t="s">
        <v>5127</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5128</v>
      </c>
      <c r="P32" s="317" t="s">
        <v>5129</v>
      </c>
      <c r="Q32" s="337" t="s">
        <v>5130</v>
      </c>
      <c r="R32" s="338" t="s">
        <v>5131</v>
      </c>
      <c r="S32" s="17"/>
      <c r="T32" s="17"/>
      <c r="U32" s="17"/>
      <c r="V32" s="17"/>
      <c r="W32" s="17"/>
      <c r="X32" s="17"/>
      <c r="Y32" s="17"/>
      <c r="Z32" s="17"/>
    </row>
    <row r="33">
      <c r="A33" s="334" t="s">
        <v>5132</v>
      </c>
      <c r="B33" s="317" t="s">
        <v>5133</v>
      </c>
      <c r="C33" s="346" t="s">
        <v>5134</v>
      </c>
      <c r="D33" s="347" t="str">
        <f>IFERROR(__xludf.DUMMYFUNCTION("GOOGLETRANSLATE(B33,""zh-tw"",""ja"")"),"物理攻撃: 2 物理防御: 2 ダメージを与えるアーマー")</f>
        <v>物理攻撃: 2 物理防御: 2 ダメージを与えるアーマー</v>
      </c>
      <c r="E33" s="333" t="s">
        <v>5135</v>
      </c>
      <c r="F33" s="161" t="s">
        <v>5136</v>
      </c>
      <c r="G33" s="335" t="str">
        <f>IFERROR(__xludf.DUMMYFUNCTION("GOOGLETRANSLATE(A33,""zh-tw"",""zh"")"),"穿刺钉鞋")</f>
        <v>穿刺钉鞋</v>
      </c>
      <c r="H33" s="162" t="str">
        <f>IFERROR(__xludf.DUMMYFUNCTION("GOOGLETRANSLATE(B33,""zh-tw"",""zh"")"),"物攻：2
物防：2
伤害型防具")</f>
        <v>物攻：2
物防：2
伤害型防具</v>
      </c>
      <c r="I33" s="333" t="s">
        <v>5137</v>
      </c>
      <c r="J33" s="162" t="str">
        <f>IFERROR(__xludf.DUMMYFUNCTION("GOOGLETRANSLATE(B33,""zh-tw"",""es-MX"")"),"Ataque físico: 2 Defensa física: 2 Armadura que inflige daño")</f>
        <v>Ataque físico: 2 Defensa física: 2 Armadura que inflige daño</v>
      </c>
      <c r="K33" s="333" t="s">
        <v>5138</v>
      </c>
      <c r="L33" s="161" t="s">
        <v>5139</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5140</v>
      </c>
      <c r="P33" s="317" t="s">
        <v>5141</v>
      </c>
      <c r="Q33" s="337" t="s">
        <v>5142</v>
      </c>
      <c r="R33" s="338" t="s">
        <v>5143</v>
      </c>
      <c r="S33" s="17"/>
      <c r="T33" s="17"/>
      <c r="U33" s="17"/>
      <c r="V33" s="17"/>
      <c r="W33" s="17"/>
      <c r="X33" s="17"/>
      <c r="Y33" s="17"/>
      <c r="Z33" s="17"/>
    </row>
    <row r="34">
      <c r="A34" s="334" t="s">
        <v>5144</v>
      </c>
      <c r="B34" s="317" t="s">
        <v>5145</v>
      </c>
      <c r="C34" s="346" t="s">
        <v>5146</v>
      </c>
      <c r="D34" s="347" t="str">
        <f>IFERROR(__xludf.DUMMYFUNCTION("GOOGLETRANSLATE(B34,""zh-tw"",""ja"")"),"物理攻撃力：5
物理防御力：1
ダメージを与えるアーマー")</f>
        <v>物理攻撃力：5
物理防御力：1
ダメージを与えるアーマー</v>
      </c>
      <c r="E34" s="333" t="s">
        <v>5147</v>
      </c>
      <c r="F34" s="161" t="s">
        <v>5148</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5149</v>
      </c>
      <c r="L34" s="161" t="s">
        <v>5150</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5151</v>
      </c>
      <c r="P34" s="317" t="s">
        <v>5152</v>
      </c>
      <c r="Q34" s="337" t="s">
        <v>5153</v>
      </c>
      <c r="R34" s="338" t="s">
        <v>5154</v>
      </c>
      <c r="S34" s="17"/>
      <c r="T34" s="17"/>
      <c r="U34" s="17"/>
      <c r="V34" s="17"/>
      <c r="W34" s="17"/>
      <c r="X34" s="17"/>
      <c r="Y34" s="17"/>
      <c r="Z34" s="17"/>
    </row>
    <row r="35">
      <c r="A35" s="334" t="s">
        <v>5155</v>
      </c>
      <c r="B35" s="317" t="s">
        <v>5156</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5157</v>
      </c>
      <c r="F35" s="161" t="s">
        <v>5158</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5159</v>
      </c>
      <c r="L35" s="161" t="s">
        <v>5160</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5161</v>
      </c>
      <c r="P35" s="317" t="s">
        <v>5162</v>
      </c>
      <c r="Q35" s="337" t="s">
        <v>5163</v>
      </c>
      <c r="R35" s="323" t="s">
        <v>5164</v>
      </c>
      <c r="S35" s="17"/>
      <c r="T35" s="17"/>
      <c r="U35" s="17"/>
      <c r="V35" s="17"/>
      <c r="W35" s="17"/>
      <c r="X35" s="17"/>
      <c r="Y35" s="17"/>
      <c r="Z35" s="17"/>
    </row>
    <row r="36">
      <c r="A36" s="334" t="s">
        <v>5165</v>
      </c>
      <c r="B36" s="317" t="s">
        <v>5166</v>
      </c>
      <c r="C36" s="346" t="s">
        <v>5167</v>
      </c>
      <c r="D36" s="347" t="str">
        <f>IFERROR(__xludf.DUMMYFUNCTION("GOOGLETRANSLATE(B36,""zh-tw"",""ja"")"),"物理攻撃：3 物理防御：3 HPが少ないときに攻撃力と防御力が上昇します。")</f>
        <v>物理攻撃：3 物理防御：3 HPが少ないときに攻撃力と防御力が上昇します。</v>
      </c>
      <c r="E36" s="333" t="s">
        <v>5168</v>
      </c>
      <c r="F36" s="161" t="s">
        <v>5169</v>
      </c>
      <c r="G36" s="335" t="str">
        <f>IFERROR(__xludf.DUMMYFUNCTION("GOOGLETRANSLATE(A36,""zh-tw"",""zh"")"),"骑士护臂")</f>
        <v>骑士护臂</v>
      </c>
      <c r="H36" s="162" t="str">
        <f>IFERROR(__xludf.DUMMYFUNCTION("GOOGLETRANSLATE(B36,""zh-tw"",""zh"")"),"物攻：3
物防：3
低体力加攻击、防御")</f>
        <v>物攻：3
物防：3
低体力加攻击、防御</v>
      </c>
      <c r="I36" s="333" t="s">
        <v>5170</v>
      </c>
      <c r="J36" s="162" t="str">
        <f>IFERROR(__xludf.DUMMYFUNCTION("GOOGLETRANSLATE(B36,""zh-tw"",""es-MX"")"),"Ataque físico: 3 Defensa física: 3 Aumenta el ataque y la defensa cuando los PV son bajos.")</f>
        <v>Ataque físico: 3 Defensa física: 3 Aumenta el ataque y la defensa cuando los PV son bajos.</v>
      </c>
      <c r="K36" s="334" t="s">
        <v>5171</v>
      </c>
      <c r="L36" s="161" t="s">
        <v>5172</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5173</v>
      </c>
      <c r="P36" s="317" t="s">
        <v>5174</v>
      </c>
      <c r="Q36" s="337" t="s">
        <v>5175</v>
      </c>
      <c r="R36" s="186" t="s">
        <v>5176</v>
      </c>
      <c r="S36" s="17"/>
      <c r="T36" s="17"/>
      <c r="U36" s="17"/>
      <c r="V36" s="17"/>
      <c r="W36" s="17"/>
      <c r="X36" s="17"/>
      <c r="Y36" s="17"/>
      <c r="Z36" s="17"/>
    </row>
    <row r="37">
      <c r="A37" s="334" t="s">
        <v>5177</v>
      </c>
      <c r="B37" s="317" t="s">
        <v>5178</v>
      </c>
      <c r="C37" s="346" t="s">
        <v>5179</v>
      </c>
      <c r="D37" s="347" t="str">
        <f>IFERROR(__xludf.DUMMYFUNCTION("GOOGLETRANSLATE(B37,""zh-tw"",""ja"")"),"物理防御力：2
魔法耐性：2
スタミナ低下、移動速度上昇")</f>
        <v>物理防御力：2
魔法耐性：2
スタミナ低下、移動速度上昇</v>
      </c>
      <c r="E37" s="333" t="s">
        <v>5180</v>
      </c>
      <c r="F37" s="161" t="s">
        <v>5181</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5182</v>
      </c>
      <c r="L37" s="161" t="s">
        <v>5183</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5184</v>
      </c>
      <c r="P37" s="317" t="s">
        <v>5185</v>
      </c>
      <c r="Q37" s="337" t="s">
        <v>5186</v>
      </c>
      <c r="R37" s="323" t="s">
        <v>5187</v>
      </c>
      <c r="S37" s="17"/>
      <c r="T37" s="17"/>
      <c r="U37" s="17"/>
      <c r="V37" s="17"/>
      <c r="W37" s="17"/>
      <c r="X37" s="17"/>
      <c r="Y37" s="17"/>
      <c r="Z37" s="17"/>
    </row>
    <row r="38">
      <c r="A38" s="334" t="s">
        <v>5188</v>
      </c>
      <c r="B38" s="317" t="s">
        <v>5189</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5190</v>
      </c>
      <c r="F38" s="161" t="s">
        <v>5191</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5192</v>
      </c>
      <c r="L38" s="161" t="s">
        <v>5193</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5194</v>
      </c>
      <c r="P38" s="317" t="s">
        <v>5195</v>
      </c>
      <c r="Q38" s="337" t="s">
        <v>5196</v>
      </c>
      <c r="R38" s="323" t="s">
        <v>5197</v>
      </c>
      <c r="S38" s="17"/>
      <c r="T38" s="17"/>
      <c r="U38" s="17"/>
      <c r="V38" s="17"/>
      <c r="W38" s="17"/>
      <c r="X38" s="17"/>
      <c r="Y38" s="17"/>
      <c r="Z38" s="17"/>
    </row>
    <row r="39">
      <c r="A39" s="339" t="s">
        <v>5198</v>
      </c>
      <c r="B39" s="161" t="s">
        <v>5199</v>
      </c>
      <c r="C39" s="346" t="s">
        <v>5200</v>
      </c>
      <c r="D39" s="185" t="s">
        <v>5201</v>
      </c>
      <c r="E39" s="333" t="s">
        <v>5202</v>
      </c>
      <c r="F39" s="161" t="s">
        <v>5203</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5204</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5205</v>
      </c>
      <c r="P39" s="317" t="s">
        <v>5206</v>
      </c>
      <c r="Q39" s="337" t="s">
        <v>5207</v>
      </c>
      <c r="R39" s="325" t="s">
        <v>5208</v>
      </c>
      <c r="S39" s="17"/>
      <c r="T39" s="17"/>
      <c r="U39" s="17"/>
      <c r="V39" s="17"/>
      <c r="W39" s="17"/>
      <c r="X39" s="17"/>
      <c r="Y39" s="17"/>
      <c r="Z39" s="17"/>
    </row>
    <row r="40">
      <c r="A40" s="333" t="s">
        <v>5209</v>
      </c>
      <c r="B40" s="161" t="s">
        <v>5210</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5211</v>
      </c>
      <c r="F40" s="161" t="s">
        <v>5212</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5213</v>
      </c>
      <c r="L40" s="161" t="s">
        <v>5214</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5215</v>
      </c>
      <c r="P40" s="317" t="s">
        <v>5216</v>
      </c>
      <c r="Q40" s="337" t="s">
        <v>5217</v>
      </c>
      <c r="R40" s="338" t="s">
        <v>5218</v>
      </c>
      <c r="S40" s="17"/>
      <c r="T40" s="17"/>
      <c r="U40" s="17"/>
      <c r="V40" s="17"/>
      <c r="W40" s="17"/>
      <c r="X40" s="17"/>
      <c r="Y40" s="17"/>
      <c r="Z40" s="17"/>
    </row>
    <row r="41">
      <c r="A41" s="333" t="s">
        <v>5219</v>
      </c>
      <c r="B41" s="161" t="s">
        <v>5220</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5221</v>
      </c>
      <c r="F41" s="161" t="s">
        <v>5222</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5223</v>
      </c>
      <c r="L41" s="161" t="s">
        <v>5224</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5225</v>
      </c>
      <c r="P41" s="317" t="s">
        <v>5226</v>
      </c>
      <c r="Q41" s="337" t="s">
        <v>5227</v>
      </c>
      <c r="R41" s="338" t="s">
        <v>5228</v>
      </c>
      <c r="S41" s="17"/>
      <c r="T41" s="17"/>
      <c r="U41" s="17"/>
      <c r="V41" s="17"/>
      <c r="W41" s="17"/>
      <c r="X41" s="17"/>
      <c r="Y41" s="17"/>
      <c r="Z41" s="17"/>
    </row>
    <row r="42">
      <c r="A42" s="339" t="s">
        <v>5229</v>
      </c>
      <c r="B42" s="161" t="s">
        <v>5230</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5231</v>
      </c>
      <c r="F42" s="161" t="s">
        <v>5232</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5233</v>
      </c>
      <c r="L42" s="161" t="s">
        <v>5234</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5235</v>
      </c>
      <c r="P42" s="317" t="s">
        <v>5236</v>
      </c>
      <c r="Q42" s="337" t="s">
        <v>5237</v>
      </c>
      <c r="R42" s="323" t="s">
        <v>5238</v>
      </c>
      <c r="S42" s="17"/>
      <c r="T42" s="17"/>
      <c r="U42" s="17"/>
      <c r="V42" s="17"/>
      <c r="W42" s="17"/>
      <c r="X42" s="17"/>
      <c r="Y42" s="17"/>
      <c r="Z42" s="17"/>
    </row>
    <row r="43">
      <c r="A43" s="333" t="s">
        <v>5239</v>
      </c>
      <c r="B43" s="161" t="s">
        <v>5240</v>
      </c>
      <c r="C43" s="346" t="s">
        <v>5241</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5242</v>
      </c>
      <c r="F43" s="161" t="s">
        <v>5243</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5244</v>
      </c>
      <c r="L43" s="161" t="s">
        <v>5245</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5246</v>
      </c>
      <c r="P43" s="317" t="s">
        <v>5247</v>
      </c>
      <c r="Q43" s="337" t="s">
        <v>5248</v>
      </c>
      <c r="R43" s="323" t="s">
        <v>5249</v>
      </c>
      <c r="S43" s="17"/>
      <c r="T43" s="17"/>
      <c r="U43" s="17"/>
      <c r="V43" s="17"/>
      <c r="W43" s="17"/>
      <c r="X43" s="17"/>
      <c r="Y43" s="17"/>
      <c r="Z43" s="17"/>
    </row>
    <row r="44">
      <c r="A44" s="333" t="s">
        <v>5250</v>
      </c>
      <c r="B44" s="161" t="s">
        <v>5251</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5252</v>
      </c>
      <c r="F44" s="161" t="s">
        <v>5253</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5254</v>
      </c>
      <c r="L44" s="161" t="s">
        <v>5255</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5256</v>
      </c>
      <c r="P44" s="317" t="s">
        <v>5257</v>
      </c>
      <c r="Q44" s="337" t="s">
        <v>5258</v>
      </c>
      <c r="R44" s="338" t="s">
        <v>5259</v>
      </c>
      <c r="S44" s="17"/>
      <c r="T44" s="17"/>
      <c r="U44" s="17"/>
      <c r="V44" s="17"/>
      <c r="W44" s="17"/>
      <c r="X44" s="17"/>
      <c r="Y44" s="17"/>
      <c r="Z44" s="17"/>
    </row>
    <row r="45">
      <c r="A45" s="333" t="s">
        <v>5260</v>
      </c>
      <c r="B45" s="161" t="s">
        <v>5261</v>
      </c>
      <c r="C45" s="346" t="s">
        <v>5262</v>
      </c>
      <c r="D45" s="185" t="s">
        <v>5263</v>
      </c>
      <c r="E45" s="333" t="s">
        <v>5264</v>
      </c>
      <c r="F45" s="161" t="s">
        <v>5265</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5266</v>
      </c>
      <c r="L45" s="161" t="s">
        <v>5267</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5268</v>
      </c>
      <c r="P45" s="317" t="s">
        <v>5269</v>
      </c>
      <c r="Q45" s="337" t="s">
        <v>5270</v>
      </c>
      <c r="R45" s="338" t="s">
        <v>5271</v>
      </c>
      <c r="S45" s="17"/>
      <c r="T45" s="17"/>
      <c r="U45" s="17"/>
      <c r="V45" s="17"/>
      <c r="W45" s="17"/>
      <c r="X45" s="17"/>
      <c r="Y45" s="17"/>
      <c r="Z45" s="17"/>
    </row>
    <row r="46">
      <c r="A46" s="334" t="s">
        <v>5272</v>
      </c>
      <c r="B46" s="317" t="s">
        <v>5273</v>
      </c>
      <c r="C46" s="346" t="s">
        <v>5274</v>
      </c>
      <c r="D46" s="185" t="s">
        <v>5275</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9" t="s">
        <v>5282</v>
      </c>
      <c r="R46" s="338" t="s">
        <v>5283</v>
      </c>
      <c r="S46" s="17"/>
      <c r="T46" s="17"/>
      <c r="U46" s="17"/>
      <c r="V46" s="17"/>
      <c r="W46" s="17"/>
      <c r="X46" s="17"/>
      <c r="Y46" s="17"/>
      <c r="Z46" s="17"/>
    </row>
    <row r="47">
      <c r="A47" s="334" t="s">
        <v>5284</v>
      </c>
      <c r="B47" s="317" t="s">
        <v>5285</v>
      </c>
      <c r="C47" s="346" t="s">
        <v>5286</v>
      </c>
      <c r="D47" s="185" t="s">
        <v>5287</v>
      </c>
      <c r="E47" s="333" t="s">
        <v>5288</v>
      </c>
      <c r="F47" s="161" t="s">
        <v>5289</v>
      </c>
      <c r="G47" s="335" t="str">
        <f>IFERROR(__xludf.DUMMYFUNCTION("GOOGLETRANSLATE(A47,""zh-tw"",""zh"")"),"阴天娃娃")</f>
        <v>阴天娃娃</v>
      </c>
      <c r="H47" s="162" t="str">
        <f>IFERROR(__xludf.DUMMYFUNCTION("GOOGLETRANSLATE(B47,""zh-tw"",""zh"")"),"魔抗：10
幸运：10
第二天阴天")</f>
        <v>魔抗：10
幸运：10
第二天阴天</v>
      </c>
      <c r="I47" s="333" t="s">
        <v>5288</v>
      </c>
      <c r="J47" s="162" t="str">
        <f>IFERROR(__xludf.DUMMYFUNCTION("GOOGLETRANSLATE(B47,""zh-tw"",""es-MX"")"),"Resistencia mágica: 10
Suerte: 10
El segundo día estuvo nublado.")</f>
        <v>Resistencia mágica: 10
Suerte: 10
El segundo día estuvo nublado.</v>
      </c>
      <c r="K47" s="334" t="s">
        <v>5290</v>
      </c>
      <c r="L47" s="161" t="s">
        <v>5291</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5292</v>
      </c>
      <c r="P47" s="317" t="s">
        <v>5293</v>
      </c>
      <c r="Q47" s="349" t="s">
        <v>5294</v>
      </c>
      <c r="R47" s="338" t="s">
        <v>5295</v>
      </c>
      <c r="S47" s="17"/>
      <c r="T47" s="17"/>
      <c r="U47" s="17"/>
      <c r="V47" s="17"/>
      <c r="W47" s="17"/>
      <c r="X47" s="17"/>
      <c r="Y47" s="17"/>
      <c r="Z47" s="17"/>
    </row>
    <row r="48">
      <c r="A48" s="334" t="s">
        <v>5296</v>
      </c>
      <c r="B48" s="317" t="s">
        <v>5297</v>
      </c>
      <c r="C48" s="346" t="s">
        <v>5298</v>
      </c>
      <c r="D48" s="185" t="s">
        <v>5299</v>
      </c>
      <c r="E48" s="333" t="s">
        <v>5300</v>
      </c>
      <c r="F48" s="161" t="s">
        <v>5301</v>
      </c>
      <c r="G48" s="335" t="str">
        <f>IFERROR(__xludf.DUMMYFUNCTION("GOOGLETRANSLATE(A48,""zh-tw"",""zh"")"),"雨天娃娃")</f>
        <v>雨天娃娃</v>
      </c>
      <c r="H48" s="162" t="str">
        <f>IFERROR(__xludf.DUMMYFUNCTION("GOOGLETRANSLATE(B48,""zh-tw"",""zh"")"),"魔抗：10
幸运：10
第二天雨天")</f>
        <v>魔抗：10
幸运：10
第二天雨天</v>
      </c>
      <c r="I48" s="333" t="s">
        <v>5300</v>
      </c>
      <c r="J48" s="162" t="str">
        <f>IFERROR(__xludf.DUMMYFUNCTION("GOOGLETRANSLATE(B48,""zh-tw"",""es-MX"")"),"Resistencia mágica: 10
Suerte: 10
Al día siguiente llovió.")</f>
        <v>Resistencia mágica: 10
Suerte: 10
Al día siguiente llovió.</v>
      </c>
      <c r="K48" s="333" t="s">
        <v>5302</v>
      </c>
      <c r="L48" s="161" t="s">
        <v>5303</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5304</v>
      </c>
      <c r="P48" s="317" t="s">
        <v>5305</v>
      </c>
      <c r="Q48" s="349" t="s">
        <v>5306</v>
      </c>
      <c r="R48" s="338" t="s">
        <v>5307</v>
      </c>
      <c r="S48" s="17"/>
      <c r="T48" s="17"/>
      <c r="U48" s="17"/>
      <c r="V48" s="17"/>
      <c r="W48" s="17"/>
      <c r="X48" s="17"/>
      <c r="Y48" s="17"/>
      <c r="Z48" s="17"/>
    </row>
    <row r="49">
      <c r="A49" s="333" t="s">
        <v>5308</v>
      </c>
      <c r="B49" s="161" t="s">
        <v>5309</v>
      </c>
      <c r="C49" s="346" t="s">
        <v>5308</v>
      </c>
      <c r="D49" s="347" t="str">
        <f>IFERROR(__xludf.DUMMYFUNCTION("GOOGLETRANSLATE(B49,""zh-tw"",""ja"")"),"物理防御力：1
魔法耐性：10
幸運：5
最大HPを増加")</f>
        <v>物理防御力：1
魔法耐性：10
幸運：5
最大HPを増加</v>
      </c>
      <c r="E49" s="333" t="s">
        <v>5310</v>
      </c>
      <c r="F49" s="161" t="s">
        <v>5311</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5312</v>
      </c>
      <c r="L49" s="161" t="s">
        <v>5313</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5314</v>
      </c>
      <c r="P49" s="317" t="s">
        <v>5315</v>
      </c>
      <c r="Q49" s="337" t="s">
        <v>5316</v>
      </c>
      <c r="R49" s="338" t="s">
        <v>5317</v>
      </c>
      <c r="S49" s="17"/>
      <c r="T49" s="17"/>
      <c r="U49" s="17"/>
      <c r="V49" s="17"/>
      <c r="W49" s="17"/>
      <c r="X49" s="17"/>
      <c r="Y49" s="17"/>
      <c r="Z49" s="17"/>
    </row>
    <row r="50">
      <c r="A50" s="333" t="s">
        <v>4255</v>
      </c>
      <c r="B50" s="161" t="s">
        <v>5318</v>
      </c>
      <c r="C50" s="346" t="s">
        <v>4257</v>
      </c>
      <c r="D50" s="347" t="str">
        <f>IFERROR(__xludf.DUMMYFUNCTION("GOOGLETRANSLATE(B50,""zh-tw"",""ja"")"),"魔法耐性: 30 回復不能、7秒間無敵")</f>
        <v>魔法耐性: 30 回復不能、7秒間無敵</v>
      </c>
      <c r="E50" s="333" t="s">
        <v>4259</v>
      </c>
      <c r="F50" s="161" t="s">
        <v>5319</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4261</v>
      </c>
      <c r="L50" s="161" t="s">
        <v>5320</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4263</v>
      </c>
      <c r="P50" s="317" t="s">
        <v>5321</v>
      </c>
      <c r="Q50" s="337" t="s">
        <v>4265</v>
      </c>
      <c r="R50" s="338" t="s">
        <v>5322</v>
      </c>
      <c r="S50" s="17"/>
      <c r="T50" s="17"/>
      <c r="U50" s="17"/>
      <c r="V50" s="17"/>
      <c r="W50" s="17"/>
      <c r="X50" s="17"/>
      <c r="Y50" s="17"/>
      <c r="Z50" s="17"/>
    </row>
    <row r="51">
      <c r="A51" s="333" t="s">
        <v>5323</v>
      </c>
      <c r="B51" s="161" t="s">
        <v>5324</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5325</v>
      </c>
      <c r="F51" s="161" t="s">
        <v>5326</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5327</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5328</v>
      </c>
      <c r="P51" s="317" t="s">
        <v>5329</v>
      </c>
      <c r="Q51" s="337" t="s">
        <v>5330</v>
      </c>
      <c r="R51" s="338" t="s">
        <v>5331</v>
      </c>
      <c r="S51" s="17"/>
      <c r="T51" s="17"/>
      <c r="U51" s="17"/>
      <c r="V51" s="17"/>
      <c r="W51" s="17"/>
      <c r="X51" s="17"/>
      <c r="Y51" s="17"/>
      <c r="Z51" s="17"/>
    </row>
    <row r="52">
      <c r="A52" s="333" t="s">
        <v>5332</v>
      </c>
      <c r="B52" s="161" t="s">
        <v>5333</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5335</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5336</v>
      </c>
      <c r="P52" s="317" t="s">
        <v>5337</v>
      </c>
      <c r="Q52" s="337" t="s">
        <v>5338</v>
      </c>
      <c r="R52" s="338" t="s">
        <v>5339</v>
      </c>
      <c r="S52" s="17"/>
      <c r="T52" s="17"/>
      <c r="U52" s="17"/>
      <c r="V52" s="17"/>
      <c r="W52" s="17"/>
      <c r="X52" s="17"/>
      <c r="Y52" s="17"/>
      <c r="Z52" s="17"/>
    </row>
    <row r="53">
      <c r="A53" s="333" t="s">
        <v>5340</v>
      </c>
      <c r="B53" s="161" t="s">
        <v>5341</v>
      </c>
      <c r="C53" s="346" t="s">
        <v>5342</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5343</v>
      </c>
      <c r="F53" s="161" t="s">
        <v>5344</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5345</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5346</v>
      </c>
      <c r="P53" s="317" t="s">
        <v>5347</v>
      </c>
      <c r="Q53" s="337" t="s">
        <v>5348</v>
      </c>
      <c r="R53" s="164" t="s">
        <v>5349</v>
      </c>
      <c r="S53" s="17"/>
      <c r="T53" s="17"/>
      <c r="U53" s="17"/>
      <c r="V53" s="17"/>
      <c r="W53" s="17"/>
      <c r="X53" s="17"/>
      <c r="Y53" s="17"/>
      <c r="Z53" s="17"/>
    </row>
    <row r="54">
      <c r="A54" s="333" t="s">
        <v>5350</v>
      </c>
      <c r="B54" s="161" t="s">
        <v>5351</v>
      </c>
      <c r="C54" s="346" t="s">
        <v>5352</v>
      </c>
      <c r="D54" s="161" t="s">
        <v>5353</v>
      </c>
      <c r="E54" s="333" t="s">
        <v>5354</v>
      </c>
      <c r="F54" s="161" t="s">
        <v>5355</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5356</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5357</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5358</v>
      </c>
      <c r="P54" s="317" t="s">
        <v>5359</v>
      </c>
      <c r="Q54" s="337" t="s">
        <v>5360</v>
      </c>
      <c r="R54" s="338" t="s">
        <v>5361</v>
      </c>
      <c r="S54" s="17"/>
      <c r="T54" s="17"/>
      <c r="U54" s="17"/>
      <c r="V54" s="17"/>
      <c r="W54" s="17"/>
      <c r="X54" s="17"/>
      <c r="Y54" s="17"/>
      <c r="Z54" s="17"/>
    </row>
    <row r="55">
      <c r="A55" s="333" t="s">
        <v>4293</v>
      </c>
      <c r="B55" s="161" t="s">
        <v>5362</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4297</v>
      </c>
      <c r="F55" s="161" t="s">
        <v>5363</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4298</v>
      </c>
      <c r="L55" s="161" t="s">
        <v>5364</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4300</v>
      </c>
      <c r="P55" s="317" t="s">
        <v>5365</v>
      </c>
      <c r="Q55" s="337" t="s">
        <v>5366</v>
      </c>
      <c r="R55" s="338" t="s">
        <v>5367</v>
      </c>
      <c r="S55" s="17"/>
      <c r="T55" s="17"/>
      <c r="U55" s="17"/>
      <c r="V55" s="17"/>
      <c r="W55" s="17"/>
      <c r="X55" s="17"/>
      <c r="Y55" s="17"/>
      <c r="Z55" s="17"/>
    </row>
    <row r="56">
      <c r="A56" s="333" t="s">
        <v>5368</v>
      </c>
      <c r="B56" s="317" t="s">
        <v>5369</v>
      </c>
      <c r="C56" s="346" t="s">
        <v>5370</v>
      </c>
      <c r="D56" s="185" t="s">
        <v>5371</v>
      </c>
      <c r="E56" s="333" t="s">
        <v>5372</v>
      </c>
      <c r="F56" s="161" t="s">
        <v>5373</v>
      </c>
      <c r="G56" s="335" t="str">
        <f>IFERROR(__xludf.DUMMYFUNCTION("GOOGLETRANSLATE(A56,""zh-tw"",""zh"")"),"炎天娃娃")</f>
        <v>炎天娃娃</v>
      </c>
      <c r="H56" s="162" t="str">
        <f>IFERROR(__xludf.DUMMYFUNCTION("GOOGLETRANSLATE(B56,""zh-tw"",""zh"")"),"魔抗：10
幸运：10
第二天炎热")</f>
        <v>魔抗：10
幸运：10
第二天炎热</v>
      </c>
      <c r="I56" s="333" t="s">
        <v>5372</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5374</v>
      </c>
      <c r="P56" s="317" t="s">
        <v>5375</v>
      </c>
      <c r="Q56" s="349" t="s">
        <v>5376</v>
      </c>
      <c r="R56" s="338" t="s">
        <v>5377</v>
      </c>
      <c r="S56" s="17"/>
      <c r="T56" s="17"/>
      <c r="U56" s="17"/>
      <c r="V56" s="17"/>
      <c r="W56" s="17"/>
      <c r="X56" s="17"/>
      <c r="Y56" s="17"/>
      <c r="Z56" s="17"/>
    </row>
    <row r="57">
      <c r="A57" s="333" t="s">
        <v>5378</v>
      </c>
      <c r="B57" s="161" t="s">
        <v>5379</v>
      </c>
      <c r="C57" s="346" t="s">
        <v>5380</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5381</v>
      </c>
      <c r="F57" s="161" t="s">
        <v>5382</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5383</v>
      </c>
      <c r="J57" s="351" t="s">
        <v>5384</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5385</v>
      </c>
      <c r="P57" s="317" t="s">
        <v>5386</v>
      </c>
      <c r="Q57" s="337" t="s">
        <v>5387</v>
      </c>
      <c r="R57" s="338" t="s">
        <v>5388</v>
      </c>
      <c r="S57" s="17"/>
      <c r="T57" s="17"/>
      <c r="U57" s="17"/>
      <c r="V57" s="17"/>
      <c r="W57" s="17"/>
      <c r="X57" s="17"/>
      <c r="Y57" s="17"/>
      <c r="Z57" s="17"/>
    </row>
    <row r="58">
      <c r="A58" s="335" t="s">
        <v>5389</v>
      </c>
      <c r="B58" s="162" t="s">
        <v>5390</v>
      </c>
      <c r="C58" s="333" t="s">
        <v>5391</v>
      </c>
      <c r="D58" s="162" t="s">
        <v>5392</v>
      </c>
      <c r="E58" s="335" t="s">
        <v>5393</v>
      </c>
      <c r="F58" s="162" t="s">
        <v>5394</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5393</v>
      </c>
      <c r="P58" s="161" t="s">
        <v>5395</v>
      </c>
      <c r="Q58" s="352" t="s">
        <v>5396</v>
      </c>
      <c r="R58" s="353" t="s">
        <v>5397</v>
      </c>
      <c r="S58" s="17"/>
      <c r="T58" s="17"/>
      <c r="U58" s="17"/>
      <c r="V58" s="17"/>
      <c r="W58" s="17"/>
      <c r="X58" s="17"/>
      <c r="Y58" s="17"/>
      <c r="Z58" s="17"/>
    </row>
    <row r="59">
      <c r="A59" s="335" t="s">
        <v>5398</v>
      </c>
      <c r="B59" s="162" t="s">
        <v>5399</v>
      </c>
      <c r="C59" s="333" t="s">
        <v>4314</v>
      </c>
      <c r="D59" s="162" t="s">
        <v>5400</v>
      </c>
      <c r="E59" s="335" t="s">
        <v>5401</v>
      </c>
      <c r="F59" s="161" t="s">
        <v>5402</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5403</v>
      </c>
      <c r="P59" s="161" t="s">
        <v>5404</v>
      </c>
      <c r="Q59" s="354" t="s">
        <v>5405</v>
      </c>
      <c r="R59" s="325" t="s">
        <v>5406</v>
      </c>
      <c r="S59" s="17"/>
      <c r="T59" s="17"/>
      <c r="U59" s="17"/>
      <c r="V59" s="17"/>
      <c r="W59" s="17"/>
      <c r="X59" s="17"/>
      <c r="Y59" s="17"/>
      <c r="Z59" s="17"/>
    </row>
    <row r="60">
      <c r="A60" s="335" t="s">
        <v>5407</v>
      </c>
      <c r="B60" s="162" t="s">
        <v>5408</v>
      </c>
      <c r="C60" s="354" t="s">
        <v>5409</v>
      </c>
      <c r="D60" s="186" t="s">
        <v>5410</v>
      </c>
      <c r="E60" s="333" t="s">
        <v>5411</v>
      </c>
      <c r="F60" s="161" t="s">
        <v>5412</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5413</v>
      </c>
      <c r="P60" s="161" t="s">
        <v>5414</v>
      </c>
      <c r="Q60" s="352" t="s">
        <v>5415</v>
      </c>
      <c r="R60" s="325" t="s">
        <v>5416</v>
      </c>
      <c r="S60" s="355"/>
      <c r="T60" s="355"/>
      <c r="U60" s="355"/>
      <c r="V60" s="355"/>
      <c r="W60" s="355"/>
      <c r="X60" s="355"/>
      <c r="Y60" s="355"/>
      <c r="Z60" s="355"/>
    </row>
    <row r="61">
      <c r="A61" s="333" t="s">
        <v>5417</v>
      </c>
      <c r="B61" s="161" t="s">
        <v>5418</v>
      </c>
      <c r="C61" s="346" t="s">
        <v>5419</v>
      </c>
      <c r="D61" s="185" t="s">
        <v>5420</v>
      </c>
      <c r="E61" s="333" t="s">
        <v>5421</v>
      </c>
      <c r="F61" s="161" t="s">
        <v>5422</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5423</v>
      </c>
      <c r="P61" s="161" t="s">
        <v>5424</v>
      </c>
      <c r="Q61" s="337" t="s">
        <v>5425</v>
      </c>
      <c r="R61" s="338" t="s">
        <v>5426</v>
      </c>
      <c r="S61" s="17"/>
      <c r="T61" s="17"/>
      <c r="U61" s="17"/>
      <c r="V61" s="17"/>
      <c r="W61" s="17"/>
      <c r="X61" s="17"/>
      <c r="Y61" s="17"/>
      <c r="Z61" s="17"/>
    </row>
    <row r="62">
      <c r="A62" s="339" t="s">
        <v>5427</v>
      </c>
      <c r="B62" s="161" t="s">
        <v>5428</v>
      </c>
      <c r="C62" s="339" t="s">
        <v>5429</v>
      </c>
      <c r="D62" s="161" t="s">
        <v>5430</v>
      </c>
      <c r="E62" s="339" t="s">
        <v>5431</v>
      </c>
      <c r="F62" s="161" t="s">
        <v>5432</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5433</v>
      </c>
      <c r="P62" s="161" t="s">
        <v>5434</v>
      </c>
      <c r="Q62" s="337" t="s">
        <v>5435</v>
      </c>
      <c r="R62" s="323" t="s">
        <v>5436</v>
      </c>
      <c r="S62" s="17"/>
      <c r="T62" s="17"/>
      <c r="U62" s="17"/>
      <c r="V62" s="17"/>
      <c r="W62" s="17"/>
      <c r="X62" s="17"/>
      <c r="Y62" s="17"/>
      <c r="Z62" s="17"/>
    </row>
    <row r="63">
      <c r="A63" s="339" t="s">
        <v>5437</v>
      </c>
      <c r="B63" s="322" t="s">
        <v>5438</v>
      </c>
      <c r="C63" s="346" t="s">
        <v>5439</v>
      </c>
      <c r="D63" s="185" t="s">
        <v>5440</v>
      </c>
      <c r="E63" s="339" t="s">
        <v>5441</v>
      </c>
      <c r="F63" s="322" t="s">
        <v>5442</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5443</v>
      </c>
      <c r="P63" s="162" t="s">
        <v>5444</v>
      </c>
      <c r="Q63" s="337" t="s">
        <v>5445</v>
      </c>
      <c r="R63" s="338" t="s">
        <v>5446</v>
      </c>
      <c r="S63" s="17"/>
      <c r="T63" s="17"/>
      <c r="U63" s="17"/>
      <c r="V63" s="17"/>
      <c r="W63" s="17"/>
      <c r="X63" s="17"/>
      <c r="Y63" s="17"/>
      <c r="Z63" s="17"/>
    </row>
    <row r="64">
      <c r="A64" s="333" t="s">
        <v>5447</v>
      </c>
      <c r="B64" s="161" t="s">
        <v>5448</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5449</v>
      </c>
      <c r="F64" s="161" t="s">
        <v>5450</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5451</v>
      </c>
      <c r="R64" s="338" t="s">
        <v>5452</v>
      </c>
      <c r="S64" s="17"/>
      <c r="T64" s="17"/>
      <c r="U64" s="17"/>
      <c r="V64" s="17"/>
      <c r="W64" s="17"/>
      <c r="X64" s="17"/>
      <c r="Y64" s="17"/>
      <c r="Z64" s="17"/>
    </row>
    <row r="65">
      <c r="A65" s="333" t="s">
        <v>5453</v>
      </c>
      <c r="B65" s="161" t="s">
        <v>5454</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5455</v>
      </c>
      <c r="F65" s="161" t="s">
        <v>5456</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5457</v>
      </c>
      <c r="R65" s="338" t="s">
        <v>5458</v>
      </c>
      <c r="S65" s="17"/>
      <c r="T65" s="17"/>
      <c r="U65" s="17"/>
      <c r="V65" s="17"/>
      <c r="W65" s="17"/>
      <c r="X65" s="17"/>
      <c r="Y65" s="17"/>
      <c r="Z65" s="17"/>
    </row>
    <row r="66">
      <c r="A66" s="333" t="s">
        <v>5459</v>
      </c>
      <c r="B66" s="161" t="s">
        <v>5460</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5461</v>
      </c>
      <c r="F66" s="161" t="s">
        <v>5462</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5463</v>
      </c>
      <c r="R66" s="338" t="s">
        <v>5464</v>
      </c>
      <c r="S66" s="17"/>
      <c r="T66" s="17"/>
      <c r="U66" s="17"/>
      <c r="V66" s="17"/>
      <c r="W66" s="17"/>
      <c r="X66" s="17"/>
      <c r="Y66" s="17"/>
      <c r="Z66" s="17"/>
    </row>
    <row r="67">
      <c r="A67" s="333" t="s">
        <v>5465</v>
      </c>
      <c r="B67" s="161" t="s">
        <v>5466</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5467</v>
      </c>
      <c r="F67" s="161" t="s">
        <v>5468</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5469</v>
      </c>
      <c r="R67" s="338" t="s">
        <v>5470</v>
      </c>
      <c r="S67" s="17"/>
      <c r="T67" s="17"/>
      <c r="U67" s="17"/>
      <c r="V67" s="17"/>
      <c r="W67" s="17"/>
      <c r="X67" s="17"/>
      <c r="Y67" s="17"/>
      <c r="Z67" s="17"/>
    </row>
    <row r="68">
      <c r="A68" s="333" t="s">
        <v>5471</v>
      </c>
      <c r="B68" s="161" t="s">
        <v>5472</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5473</v>
      </c>
      <c r="F68" s="161" t="s">
        <v>5474</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5475</v>
      </c>
      <c r="R68" s="338" t="s">
        <v>5476</v>
      </c>
      <c r="S68" s="17"/>
      <c r="T68" s="17"/>
      <c r="U68" s="17"/>
      <c r="V68" s="17"/>
      <c r="W68" s="17"/>
      <c r="X68" s="17"/>
      <c r="Y68" s="17"/>
      <c r="Z68" s="17"/>
    </row>
    <row r="69">
      <c r="A69" s="333" t="s">
        <v>5477</v>
      </c>
      <c r="B69" s="161" t="s">
        <v>5478</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5479</v>
      </c>
      <c r="F69" s="161" t="s">
        <v>5480</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5481</v>
      </c>
      <c r="R69" s="323" t="s">
        <v>5482</v>
      </c>
      <c r="S69" s="17"/>
      <c r="T69" s="17"/>
      <c r="U69" s="17"/>
      <c r="V69" s="17"/>
      <c r="W69" s="17"/>
      <c r="X69" s="17"/>
      <c r="Y69" s="17"/>
      <c r="Z69" s="17"/>
    </row>
    <row r="70">
      <c r="A70" s="333" t="s">
        <v>5483</v>
      </c>
      <c r="B70" s="161" t="s">
        <v>5484</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5485</v>
      </c>
      <c r="F70" s="161" t="s">
        <v>5486</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5487</v>
      </c>
      <c r="R70" s="323" t="s">
        <v>5488</v>
      </c>
      <c r="S70" s="17"/>
      <c r="T70" s="17"/>
      <c r="U70" s="17"/>
      <c r="V70" s="17"/>
      <c r="W70" s="17"/>
      <c r="X70" s="17"/>
      <c r="Y70" s="17"/>
      <c r="Z70" s="17"/>
    </row>
    <row r="71">
      <c r="A71" s="333" t="s">
        <v>5489</v>
      </c>
      <c r="B71" s="161" t="s">
        <v>5490</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5491</v>
      </c>
      <c r="F71" s="161" t="s">
        <v>5492</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5491</v>
      </c>
      <c r="R71" s="338" t="s">
        <v>5493</v>
      </c>
      <c r="S71" s="17"/>
      <c r="T71" s="17"/>
      <c r="U71" s="17"/>
      <c r="V71" s="17"/>
      <c r="W71" s="17"/>
      <c r="X71" s="17"/>
      <c r="Y71" s="17"/>
      <c r="Z71" s="17"/>
    </row>
    <row r="72">
      <c r="A72" s="333" t="s">
        <v>5494</v>
      </c>
      <c r="B72" s="161" t="s">
        <v>5495</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5496</v>
      </c>
      <c r="F72" s="161" t="s">
        <v>5497</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5498</v>
      </c>
      <c r="R72" s="338" t="s">
        <v>5499</v>
      </c>
      <c r="S72" s="17"/>
      <c r="T72" s="17"/>
      <c r="U72" s="17"/>
      <c r="V72" s="17"/>
      <c r="W72" s="17"/>
      <c r="X72" s="17"/>
      <c r="Y72" s="17"/>
      <c r="Z72" s="17"/>
    </row>
    <row r="73">
      <c r="A73" s="333" t="s">
        <v>5500</v>
      </c>
      <c r="B73" s="161" t="s">
        <v>5501</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5502</v>
      </c>
      <c r="F73" s="161" t="s">
        <v>5503</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5504</v>
      </c>
      <c r="R73" s="323" t="s">
        <v>5505</v>
      </c>
      <c r="S73" s="17"/>
      <c r="T73" s="17"/>
      <c r="U73" s="17"/>
      <c r="V73" s="17"/>
      <c r="W73" s="17"/>
      <c r="X73" s="17"/>
      <c r="Y73" s="17"/>
      <c r="Z73" s="17"/>
    </row>
    <row r="74">
      <c r="A74" s="333" t="s">
        <v>5506</v>
      </c>
      <c r="B74" s="161" t="s">
        <v>5507</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5508</v>
      </c>
      <c r="F74" s="161" t="s">
        <v>5509</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5510</v>
      </c>
      <c r="R74" s="338" t="s">
        <v>5511</v>
      </c>
      <c r="S74" s="17"/>
      <c r="T74" s="17"/>
      <c r="U74" s="17"/>
      <c r="V74" s="17"/>
      <c r="W74" s="17"/>
      <c r="X74" s="17"/>
      <c r="Y74" s="17"/>
      <c r="Z74" s="17"/>
    </row>
    <row r="75">
      <c r="A75" s="339" t="s">
        <v>4366</v>
      </c>
      <c r="B75" s="161" t="s">
        <v>5512</v>
      </c>
      <c r="C75" s="346" t="s">
        <v>5513</v>
      </c>
      <c r="D75" s="185" t="s">
        <v>5514</v>
      </c>
      <c r="E75" s="333" t="s">
        <v>4372</v>
      </c>
      <c r="F75" s="161" t="s">
        <v>5515</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4375</v>
      </c>
      <c r="P75" s="161" t="s">
        <v>5516</v>
      </c>
      <c r="Q75" s="337" t="s">
        <v>4378</v>
      </c>
      <c r="R75" s="338" t="s">
        <v>5517</v>
      </c>
      <c r="S75" s="17"/>
      <c r="T75" s="17"/>
      <c r="U75" s="17"/>
      <c r="V75" s="17"/>
      <c r="W75" s="17"/>
      <c r="X75" s="17"/>
      <c r="Y75" s="17"/>
      <c r="Z75" s="17"/>
    </row>
    <row r="76">
      <c r="A76" s="335" t="s">
        <v>4381</v>
      </c>
      <c r="B76" s="161" t="s">
        <v>5518</v>
      </c>
      <c r="C76" s="335" t="s">
        <v>4381</v>
      </c>
      <c r="D76" s="185" t="s">
        <v>5519</v>
      </c>
      <c r="E76" s="333" t="s">
        <v>4385</v>
      </c>
      <c r="F76" s="161" t="s">
        <v>5520</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4387</v>
      </c>
      <c r="P76" s="161" t="s">
        <v>5521</v>
      </c>
      <c r="Q76" s="352" t="s">
        <v>4389</v>
      </c>
      <c r="R76" s="338" t="s">
        <v>5522</v>
      </c>
      <c r="S76" s="17"/>
      <c r="T76" s="17"/>
      <c r="U76" s="17"/>
      <c r="V76" s="17"/>
      <c r="W76" s="17"/>
      <c r="X76" s="17"/>
      <c r="Y76" s="17"/>
      <c r="Z76" s="17"/>
    </row>
    <row r="77">
      <c r="A77" s="335" t="s">
        <v>5523</v>
      </c>
      <c r="B77" s="161" t="s">
        <v>5524</v>
      </c>
      <c r="C77" s="346" t="s">
        <v>5525</v>
      </c>
      <c r="D77" s="185" t="s">
        <v>5526</v>
      </c>
      <c r="E77" s="333" t="s">
        <v>5527</v>
      </c>
      <c r="F77" s="161" t="s">
        <v>5528</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y puede ser eliminado. Suerte: 40")</f>
        <v>Ataque arrojadizo. Desaparece al contacto con el agua y puede ser eliminado. Suerte: 40</v>
      </c>
      <c r="K77" s="335" t="str">
        <f>IFERROR(__xludf.DUMMYFUNCTION("GOOGLETRANSLATE(A77,""zh-tw"",""KO"")"),"◉▽◉(분홍색)")</f>
        <v>◉▽◉(분홍색)</v>
      </c>
      <c r="L77" s="162" t="str">
        <f>IFERROR(__xludf.DUMMYFUNCTION("GOOGLETRANSLATE(B77,""zh-tw"",""KO"")"),"던지기 공격. 물에 닿으면 사라지며, 죽을 수도 있습니다. 행운: 40")</f>
        <v>던지기 공격. 물에 닿으면 사라지며, 죽을 수도 있습니다. 행운: 40</v>
      </c>
      <c r="M77" s="336" t="str">
        <f>IFERROR(__xludf.DUMMYFUNCTION("GOOGLETRANSLATE(A77,""zh-tw"",""ru"")"),"◉▽◉(Розовый)")</f>
        <v>◉▽◉(Розовый)</v>
      </c>
      <c r="N77" s="315" t="str">
        <f>IFERROR(__xludf.DUMMYFUNCTION("GOOGLETRANSLATE(B77,""zh-tw"",""ru"")"),"Бросок. Исчезает при контакте с водой и может быть убит. Удача: 40.")</f>
        <v>Бросок. Исчезает при контакте с водой и может быть убит. Удача: 40.</v>
      </c>
      <c r="O77" s="333" t="s">
        <v>5529</v>
      </c>
      <c r="P77" s="161" t="s">
        <v>5530</v>
      </c>
      <c r="Q77" s="352" t="s">
        <v>5531</v>
      </c>
      <c r="R77" s="338" t="s">
        <v>5532</v>
      </c>
      <c r="S77" s="17"/>
      <c r="T77" s="17"/>
      <c r="U77" s="17"/>
      <c r="V77" s="17"/>
      <c r="W77" s="17"/>
      <c r="X77" s="17"/>
      <c r="Y77" s="17"/>
      <c r="Z77" s="17"/>
    </row>
    <row r="78">
      <c r="A78" s="333" t="s">
        <v>5533</v>
      </c>
      <c r="B78" s="161" t="s">
        <v>5534</v>
      </c>
      <c r="C78" s="346" t="s">
        <v>5535</v>
      </c>
      <c r="D78" s="185" t="s">
        <v>5536</v>
      </c>
      <c r="E78" s="333" t="s">
        <v>5537</v>
      </c>
      <c r="F78" s="161" t="s">
        <v>5538</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IFERROR(__xludf.DUMMYFUNCTION("GOOGLETRANSLATE(A78,""zh-tw"",""es-MX"")"),"Unidades 1-7")</f>
        <v>Unidades 1-7</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5539</v>
      </c>
      <c r="P78" s="161" t="s">
        <v>5540</v>
      </c>
      <c r="Q78" s="337" t="s">
        <v>5537</v>
      </c>
      <c r="R78" s="323" t="s">
        <v>5541</v>
      </c>
      <c r="S78" s="17"/>
      <c r="T78" s="17"/>
      <c r="U78" s="17"/>
      <c r="V78" s="17"/>
      <c r="W78" s="17"/>
      <c r="X78" s="17"/>
      <c r="Y78" s="17"/>
      <c r="Z78" s="17"/>
    </row>
    <row r="79">
      <c r="A79" s="333" t="s">
        <v>5542</v>
      </c>
      <c r="B79" s="161" t="s">
        <v>5543</v>
      </c>
      <c r="C79" s="346" t="s">
        <v>5544</v>
      </c>
      <c r="D79" s="185" t="s">
        <v>5545</v>
      </c>
      <c r="E79" s="333" t="s">
        <v>5546</v>
      </c>
      <c r="F79" s="161" t="s">
        <v>5547</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5548</v>
      </c>
      <c r="R79" s="323" t="s">
        <v>5549</v>
      </c>
      <c r="S79" s="17"/>
      <c r="T79" s="17"/>
      <c r="U79" s="17"/>
      <c r="V79" s="17"/>
      <c r="W79" s="17"/>
      <c r="X79" s="17"/>
      <c r="Y79" s="17"/>
      <c r="Z79" s="17"/>
    </row>
    <row r="80">
      <c r="A80" s="333" t="s">
        <v>5550</v>
      </c>
      <c r="B80" s="161" t="s">
        <v>5551</v>
      </c>
      <c r="C80" s="346" t="s">
        <v>5552</v>
      </c>
      <c r="D80" s="185" t="s">
        <v>5553</v>
      </c>
      <c r="E80" s="333" t="s">
        <v>5554</v>
      </c>
      <c r="F80" s="161" t="s">
        <v>5555</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5556</v>
      </c>
      <c r="R80" s="323" t="s">
        <v>5557</v>
      </c>
      <c r="S80" s="17"/>
      <c r="T80" s="17"/>
      <c r="U80" s="17"/>
      <c r="V80" s="17"/>
      <c r="W80" s="17"/>
      <c r="X80" s="17"/>
      <c r="Y80" s="17"/>
      <c r="Z80" s="17"/>
    </row>
    <row r="81">
      <c r="A81" s="333" t="s">
        <v>5558</v>
      </c>
      <c r="B81" s="161" t="s">
        <v>5559</v>
      </c>
      <c r="C81" s="346" t="s">
        <v>5560</v>
      </c>
      <c r="D81" s="185" t="s">
        <v>5561</v>
      </c>
      <c r="E81" s="333" t="s">
        <v>5562</v>
      </c>
      <c r="F81" s="161" t="s">
        <v>5563</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5564</v>
      </c>
      <c r="R81" s="323" t="s">
        <v>5565</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5567</v>
      </c>
      <c r="S1" s="300"/>
      <c r="T1" s="300"/>
      <c r="U1" s="300"/>
      <c r="V1" s="300"/>
    </row>
    <row r="2">
      <c r="A2" s="328" t="s">
        <v>5568</v>
      </c>
      <c r="B2" s="72" t="s">
        <v>5569</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5570</v>
      </c>
      <c r="P2" s="72" t="s">
        <v>5571</v>
      </c>
      <c r="Q2" s="359" t="s">
        <v>5572</v>
      </c>
      <c r="R2" s="360" t="s">
        <v>5573</v>
      </c>
      <c r="S2" s="361"/>
      <c r="T2" s="361"/>
      <c r="U2" s="361"/>
      <c r="V2" s="361"/>
    </row>
    <row r="3">
      <c r="A3" s="333" t="s">
        <v>5574</v>
      </c>
      <c r="B3" s="161" t="s">
        <v>5575</v>
      </c>
      <c r="C3" s="333" t="s">
        <v>5576</v>
      </c>
      <c r="D3" s="161" t="s">
        <v>5577</v>
      </c>
      <c r="E3" s="333" t="s">
        <v>5578</v>
      </c>
      <c r="F3" s="161" t="s">
        <v>5579</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5580</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5581</v>
      </c>
      <c r="P3" s="161" t="s">
        <v>5582</v>
      </c>
      <c r="Q3" s="340" t="s">
        <v>5583</v>
      </c>
      <c r="R3" s="164" t="s">
        <v>5584</v>
      </c>
      <c r="S3" s="17"/>
      <c r="T3" s="17"/>
      <c r="U3" s="17"/>
      <c r="V3" s="17"/>
    </row>
    <row r="4">
      <c r="A4" s="333" t="s">
        <v>5585</v>
      </c>
      <c r="B4" s="161" t="s">
        <v>5586</v>
      </c>
      <c r="C4" s="333" t="s">
        <v>5587</v>
      </c>
      <c r="D4" s="161" t="s">
        <v>5588</v>
      </c>
      <c r="E4" s="333" t="s">
        <v>5589</v>
      </c>
      <c r="F4" s="161" t="s">
        <v>5590</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5591</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5592</v>
      </c>
      <c r="P4" s="161" t="s">
        <v>5593</v>
      </c>
      <c r="Q4" s="340" t="s">
        <v>5594</v>
      </c>
      <c r="R4" s="164" t="s">
        <v>5595</v>
      </c>
      <c r="S4" s="17"/>
      <c r="T4" s="17"/>
      <c r="U4" s="17"/>
      <c r="V4" s="17"/>
    </row>
    <row r="5">
      <c r="A5" s="333" t="s">
        <v>5596</v>
      </c>
      <c r="B5" s="161" t="s">
        <v>5597</v>
      </c>
      <c r="C5" s="333" t="s">
        <v>5598</v>
      </c>
      <c r="D5" s="161" t="s">
        <v>5599</v>
      </c>
      <c r="E5" s="333" t="s">
        <v>5600</v>
      </c>
      <c r="F5" s="161" t="s">
        <v>5601</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5602</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5603</v>
      </c>
      <c r="P5" s="161" t="s">
        <v>5604</v>
      </c>
      <c r="Q5" s="340" t="s">
        <v>5605</v>
      </c>
      <c r="R5" s="164" t="s">
        <v>5606</v>
      </c>
      <c r="S5" s="17"/>
      <c r="T5" s="17"/>
      <c r="U5" s="17"/>
      <c r="V5" s="17"/>
    </row>
    <row r="6">
      <c r="A6" s="333" t="s">
        <v>5607</v>
      </c>
      <c r="B6" s="161" t="s">
        <v>5608</v>
      </c>
      <c r="C6" s="333" t="s">
        <v>5609</v>
      </c>
      <c r="D6" s="161" t="s">
        <v>5610</v>
      </c>
      <c r="E6" s="333" t="s">
        <v>5611</v>
      </c>
      <c r="F6" s="161" t="s">
        <v>5612</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5613</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5614</v>
      </c>
      <c r="P6" s="161" t="s">
        <v>5615</v>
      </c>
      <c r="Q6" s="340" t="s">
        <v>5616</v>
      </c>
      <c r="R6" s="164" t="s">
        <v>5617</v>
      </c>
      <c r="S6" s="17"/>
      <c r="T6" s="17"/>
      <c r="U6" s="17"/>
      <c r="V6" s="17"/>
    </row>
    <row r="7">
      <c r="A7" s="333" t="s">
        <v>5618</v>
      </c>
      <c r="B7" s="161" t="s">
        <v>5619</v>
      </c>
      <c r="C7" s="333" t="s">
        <v>5620</v>
      </c>
      <c r="D7" s="161" t="s">
        <v>5621</v>
      </c>
      <c r="E7" s="333" t="s">
        <v>5622</v>
      </c>
      <c r="F7" s="161" t="s">
        <v>5623</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5624</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5625</v>
      </c>
      <c r="P7" s="161" t="s">
        <v>5626</v>
      </c>
      <c r="Q7" s="340" t="s">
        <v>5627</v>
      </c>
      <c r="R7" s="164" t="s">
        <v>5628</v>
      </c>
      <c r="S7" s="17"/>
      <c r="T7" s="17"/>
      <c r="U7" s="17"/>
      <c r="V7" s="17"/>
    </row>
    <row r="8">
      <c r="A8" s="333" t="s">
        <v>5629</v>
      </c>
      <c r="B8" s="161" t="s">
        <v>5630</v>
      </c>
      <c r="C8" s="333" t="s">
        <v>5631</v>
      </c>
      <c r="D8" s="161" t="s">
        <v>5632</v>
      </c>
      <c r="E8" s="333" t="s">
        <v>5633</v>
      </c>
      <c r="F8" s="161" t="s">
        <v>5634</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5635</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5636</v>
      </c>
      <c r="P8" s="161" t="s">
        <v>5637</v>
      </c>
      <c r="Q8" s="340" t="s">
        <v>5638</v>
      </c>
      <c r="R8" s="164" t="s">
        <v>5639</v>
      </c>
      <c r="S8" s="17"/>
      <c r="T8" s="17"/>
      <c r="U8" s="17"/>
      <c r="V8" s="17"/>
    </row>
    <row r="9">
      <c r="A9" s="333" t="s">
        <v>5640</v>
      </c>
      <c r="B9" s="161" t="s">
        <v>5641</v>
      </c>
      <c r="C9" s="333" t="s">
        <v>5642</v>
      </c>
      <c r="D9" s="161" t="s">
        <v>5643</v>
      </c>
      <c r="E9" s="333" t="s">
        <v>5644</v>
      </c>
      <c r="F9" s="161" t="s">
        <v>5645</v>
      </c>
      <c r="G9" s="333" t="str">
        <f>IFERROR(__xludf.DUMMYFUNCTION("GOOGLETRANSLATE(A9,""zh-tw"",""zh"")"),"逆流可乐")</f>
        <v>逆流可乐</v>
      </c>
      <c r="H9" s="161" t="str">
        <f>IFERROR(__xludf.DUMMYFUNCTION("GOOGLETRANSLATE(B9,""zh-tw"",""zh"")"),"(战斗效果未实装)")</f>
        <v>(战斗效果未实装)</v>
      </c>
      <c r="I9" s="333" t="s">
        <v>5644</v>
      </c>
      <c r="J9" s="162" t="str">
        <f>IFERROR(__xludf.DUMMYFUNCTION("GOOGLETRANSLATE(B9,""zh-tw"",""es-MX"")"),"(Efectos de combate aún no implementados)")</f>
        <v>(Efectos de combate aún no implementados)</v>
      </c>
      <c r="K9" s="333" t="s">
        <v>5646</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5644</v>
      </c>
      <c r="P9" s="161" t="s">
        <v>5647</v>
      </c>
      <c r="Q9" s="340" t="s">
        <v>5644</v>
      </c>
      <c r="R9" s="164" t="s">
        <v>5648</v>
      </c>
      <c r="S9" s="17"/>
      <c r="T9" s="17"/>
      <c r="U9" s="17"/>
      <c r="V9" s="17"/>
    </row>
    <row r="10">
      <c r="A10" s="333" t="s">
        <v>5649</v>
      </c>
      <c r="B10" s="161" t="s">
        <v>5650</v>
      </c>
      <c r="C10" s="333" t="s">
        <v>5651</v>
      </c>
      <c r="D10" s="161" t="s">
        <v>5652</v>
      </c>
      <c r="E10" s="333" t="s">
        <v>5653</v>
      </c>
      <c r="F10" s="161" t="s">
        <v>5654</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5655</v>
      </c>
      <c r="L10" s="161" t="s">
        <v>5656</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5657</v>
      </c>
      <c r="P10" s="161" t="s">
        <v>5658</v>
      </c>
      <c r="Q10" s="340" t="s">
        <v>5659</v>
      </c>
      <c r="R10" s="164" t="s">
        <v>5660</v>
      </c>
      <c r="S10" s="17"/>
      <c r="T10" s="17"/>
      <c r="U10" s="17"/>
      <c r="V10" s="17"/>
    </row>
    <row r="11">
      <c r="A11" s="333" t="s">
        <v>5661</v>
      </c>
      <c r="B11" s="161" t="s">
        <v>5662</v>
      </c>
      <c r="C11" s="333" t="s">
        <v>5663</v>
      </c>
      <c r="D11" s="161" t="s">
        <v>5664</v>
      </c>
      <c r="E11" s="333" t="s">
        <v>5665</v>
      </c>
      <c r="F11" s="161" t="s">
        <v>5666</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5667</v>
      </c>
      <c r="L11" s="161" t="s">
        <v>5668</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5669</v>
      </c>
      <c r="P11" s="161" t="s">
        <v>5670</v>
      </c>
      <c r="Q11" s="340" t="s">
        <v>5671</v>
      </c>
      <c r="R11" s="164" t="s">
        <v>5672</v>
      </c>
      <c r="S11" s="17"/>
      <c r="T11" s="17"/>
      <c r="U11" s="17"/>
      <c r="V11" s="17"/>
    </row>
    <row r="12">
      <c r="A12" s="333" t="s">
        <v>5673</v>
      </c>
      <c r="B12" s="161" t="s">
        <v>5674</v>
      </c>
      <c r="C12" s="333" t="s">
        <v>5675</v>
      </c>
      <c r="D12" s="161" t="s">
        <v>593</v>
      </c>
      <c r="E12" s="333" t="s">
        <v>5676</v>
      </c>
      <c r="F12" s="161" t="s">
        <v>5677</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5678</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5679</v>
      </c>
      <c r="P12" s="161" t="s">
        <v>2480</v>
      </c>
      <c r="Q12" s="340" t="s">
        <v>5680</v>
      </c>
      <c r="R12" s="164" t="s">
        <v>5681</v>
      </c>
      <c r="S12" s="17"/>
      <c r="T12" s="17"/>
      <c r="U12" s="17"/>
      <c r="V12" s="17"/>
    </row>
    <row r="13">
      <c r="A13" s="333" t="s">
        <v>5682</v>
      </c>
      <c r="B13" s="161" t="s">
        <v>5683</v>
      </c>
      <c r="C13" s="333" t="s">
        <v>5684</v>
      </c>
      <c r="D13" s="161" t="s">
        <v>5685</v>
      </c>
      <c r="E13" s="333" t="s">
        <v>5686</v>
      </c>
      <c r="F13" s="161" t="s">
        <v>5687</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5688</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5689</v>
      </c>
      <c r="P13" s="161" t="s">
        <v>5690</v>
      </c>
      <c r="Q13" s="340" t="s">
        <v>5691</v>
      </c>
      <c r="R13" s="186" t="s">
        <v>5692</v>
      </c>
      <c r="S13" s="17"/>
      <c r="T13" s="17"/>
      <c r="U13" s="17"/>
      <c r="V13" s="17"/>
    </row>
    <row r="14">
      <c r="A14" s="333" t="s">
        <v>5693</v>
      </c>
      <c r="B14" s="161" t="s">
        <v>5694</v>
      </c>
      <c r="C14" s="333" t="s">
        <v>5695</v>
      </c>
      <c r="D14" s="161" t="s">
        <v>5696</v>
      </c>
      <c r="E14" s="333" t="s">
        <v>5697</v>
      </c>
      <c r="F14" s="161" t="s">
        <v>5698</v>
      </c>
      <c r="G14" s="333" t="str">
        <f>IFERROR(__xludf.DUMMYFUNCTION("GOOGLETRANSLATE(A14,""zh-tw"",""zh"")"),"卢恩符文A")</f>
        <v>卢恩符文A</v>
      </c>
      <c r="H14" s="161" t="s">
        <v>5699</v>
      </c>
      <c r="I14" s="335" t="str">
        <f>IFERROR(__xludf.DUMMYFUNCTION("GOOGLETRANSLATE(A14,""zh-tw"",""es-MX"")"),"Runa A")</f>
        <v>Runa A</v>
      </c>
      <c r="J14" s="162" t="str">
        <f>IFERROR(__xludf.DUMMYFUNCTION("GOOGLETRANSLATE(B14,""zh-tw"",""es-MX"")"),"Deje constancia escrita")</f>
        <v>Deje constancia escrita</v>
      </c>
      <c r="K14" s="333" t="s">
        <v>5700</v>
      </c>
      <c r="L14" s="161" t="s">
        <v>5701</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5702</v>
      </c>
      <c r="P14" s="161" t="s">
        <v>5703</v>
      </c>
      <c r="Q14" s="354" t="s">
        <v>5704</v>
      </c>
      <c r="R14" s="164" t="s">
        <v>5705</v>
      </c>
      <c r="S14" s="17"/>
      <c r="T14" s="17"/>
      <c r="U14" s="17"/>
      <c r="V14" s="17"/>
    </row>
    <row r="15">
      <c r="A15" s="333" t="s">
        <v>5706</v>
      </c>
      <c r="B15" s="161" t="s">
        <v>5707</v>
      </c>
      <c r="C15" s="333" t="s">
        <v>5708</v>
      </c>
      <c r="D15" s="161" t="s">
        <v>5709</v>
      </c>
      <c r="E15" s="333" t="s">
        <v>5710</v>
      </c>
      <c r="F15" s="161" t="s">
        <v>5711</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5712</v>
      </c>
      <c r="L15" s="161" t="s">
        <v>5713</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5714</v>
      </c>
      <c r="P15" s="161" t="s">
        <v>5715</v>
      </c>
      <c r="Q15" s="354" t="s">
        <v>5716</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54" t="s">
        <v>5728</v>
      </c>
      <c r="R16" s="164" t="s">
        <v>5729</v>
      </c>
      <c r="S16" s="17"/>
      <c r="T16" s="17"/>
      <c r="U16" s="17"/>
      <c r="V16" s="17"/>
    </row>
    <row r="17">
      <c r="A17" s="333" t="s">
        <v>5730</v>
      </c>
      <c r="B17" s="161" t="s">
        <v>5731</v>
      </c>
      <c r="C17" s="333" t="s">
        <v>5732</v>
      </c>
      <c r="D17" s="161" t="s">
        <v>5733</v>
      </c>
      <c r="E17" s="333" t="s">
        <v>5734</v>
      </c>
      <c r="F17" s="161" t="s">
        <v>5735</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5736</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5737</v>
      </c>
      <c r="P17" s="161" t="s">
        <v>5738</v>
      </c>
      <c r="Q17" s="340" t="s">
        <v>5734</v>
      </c>
      <c r="R17" s="164" t="s">
        <v>5739</v>
      </c>
      <c r="S17" s="17"/>
      <c r="T17" s="17"/>
      <c r="U17" s="17"/>
      <c r="V17" s="17"/>
    </row>
    <row r="18">
      <c r="A18" s="333" t="s">
        <v>5740</v>
      </c>
      <c r="B18" s="161" t="s">
        <v>5741</v>
      </c>
      <c r="C18" s="333" t="s">
        <v>5742</v>
      </c>
      <c r="D18" s="161" t="s">
        <v>5743</v>
      </c>
      <c r="E18" s="333" t="s">
        <v>5744</v>
      </c>
      <c r="F18" s="161" t="s">
        <v>5745</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5746</v>
      </c>
      <c r="L18" s="317" t="s">
        <v>5747</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5748</v>
      </c>
      <c r="P18" s="161" t="s">
        <v>5749</v>
      </c>
      <c r="Q18" s="340" t="s">
        <v>5744</v>
      </c>
      <c r="R18" s="164" t="s">
        <v>5745</v>
      </c>
      <c r="S18" s="17"/>
      <c r="T18" s="17"/>
      <c r="U18" s="17"/>
      <c r="V18" s="17"/>
    </row>
    <row r="19">
      <c r="A19" s="333" t="s">
        <v>5750</v>
      </c>
      <c r="B19" s="161" t="s">
        <v>5751</v>
      </c>
      <c r="C19" s="333" t="s">
        <v>5752</v>
      </c>
      <c r="D19" s="161" t="s">
        <v>5753</v>
      </c>
      <c r="E19" s="333" t="s">
        <v>5754</v>
      </c>
      <c r="F19" s="161" t="s">
        <v>5755</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5756</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5757</v>
      </c>
      <c r="P19" s="161" t="s">
        <v>5758</v>
      </c>
      <c r="Q19" s="340" t="s">
        <v>5754</v>
      </c>
      <c r="R19" s="164" t="s">
        <v>5759</v>
      </c>
      <c r="S19" s="17"/>
      <c r="T19" s="17"/>
      <c r="U19" s="17"/>
      <c r="V19" s="17"/>
    </row>
    <row r="20">
      <c r="A20" s="333" t="s">
        <v>5760</v>
      </c>
      <c r="B20" s="161" t="s">
        <v>5761</v>
      </c>
      <c r="C20" s="333" t="s">
        <v>5762</v>
      </c>
      <c r="D20" s="161" t="s">
        <v>5763</v>
      </c>
      <c r="E20" s="333" t="s">
        <v>5764</v>
      </c>
      <c r="F20" s="161" t="s">
        <v>5765</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5766</v>
      </c>
      <c r="M20" s="335" t="str">
        <f>IFERROR(__xludf.DUMMYFUNCTION("GOOGLETRANSLATE(A20,""zh-tw"",""ru"")"),"император")</f>
        <v>император</v>
      </c>
      <c r="N20" s="162" t="str">
        <f>IFERROR(__xludf.DUMMYFUNCTION("GOOGLETRANSLATE(B20,""zh-tw"",""ru"")"),"Рев Дракона")</f>
        <v>Рев Дракона</v>
      </c>
      <c r="O20" s="333" t="s">
        <v>5767</v>
      </c>
      <c r="P20" s="161" t="s">
        <v>5768</v>
      </c>
      <c r="Q20" s="340" t="s">
        <v>5764</v>
      </c>
      <c r="R20" s="164" t="s">
        <v>5769</v>
      </c>
      <c r="S20" s="17"/>
      <c r="T20" s="17"/>
      <c r="U20" s="17"/>
      <c r="V20" s="17"/>
    </row>
    <row r="21">
      <c r="A21" s="333" t="s">
        <v>5770</v>
      </c>
      <c r="B21" s="161" t="s">
        <v>5771</v>
      </c>
      <c r="C21" s="333" t="str">
        <f>IFERROR(__xludf.DUMMYFUNCTION("GOOGLETRANSLATE(A21,""zh-tw"",""ja"")"),"星")</f>
        <v>星</v>
      </c>
      <c r="D21" s="161" t="s">
        <v>5772</v>
      </c>
      <c r="E21" s="333" t="s">
        <v>5773</v>
      </c>
      <c r="F21" s="161" t="s">
        <v>5774</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5775</v>
      </c>
      <c r="M21" s="335" t="str">
        <f>IFERROR(__xludf.DUMMYFUNCTION("GOOGLETRANSLATE(A21,""zh-tw"",""ru"")"),"звезда")</f>
        <v>звезда</v>
      </c>
      <c r="N21" s="162" t="str">
        <f>IFERROR(__xludf.DUMMYFUNCTION("GOOGLETRANSLATE(B21,""zh-tw"",""ru"")"),"Звездные Врата")</f>
        <v>Звездные Врата</v>
      </c>
      <c r="O21" s="333" t="s">
        <v>5776</v>
      </c>
      <c r="P21" s="161" t="s">
        <v>5777</v>
      </c>
      <c r="Q21" s="340" t="s">
        <v>5773</v>
      </c>
      <c r="R21" s="164" t="s">
        <v>5778</v>
      </c>
      <c r="S21" s="17"/>
      <c r="T21" s="17"/>
      <c r="U21" s="17"/>
      <c r="V21" s="17"/>
    </row>
    <row r="22">
      <c r="A22" s="333" t="s">
        <v>5779</v>
      </c>
      <c r="B22" s="161" t="s">
        <v>5780</v>
      </c>
      <c r="C22" s="333" t="s">
        <v>5781</v>
      </c>
      <c r="D22" s="161" t="s">
        <v>5782</v>
      </c>
      <c r="E22" s="333" t="s">
        <v>5783</v>
      </c>
      <c r="F22" s="161" t="s">
        <v>5784</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5785</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5786</v>
      </c>
      <c r="P22" s="161" t="s">
        <v>5787</v>
      </c>
      <c r="Q22" s="340" t="s">
        <v>5783</v>
      </c>
      <c r="R22" s="164" t="s">
        <v>5788</v>
      </c>
      <c r="S22" s="17"/>
      <c r="T22" s="17"/>
      <c r="U22" s="17"/>
      <c r="V22" s="17"/>
    </row>
    <row r="23">
      <c r="A23" s="333" t="s">
        <v>5789</v>
      </c>
      <c r="B23" s="161" t="s">
        <v>5790</v>
      </c>
      <c r="C23" s="333" t="s">
        <v>5791</v>
      </c>
      <c r="D23" s="161" t="s">
        <v>5792</v>
      </c>
      <c r="E23" s="333" t="s">
        <v>5793</v>
      </c>
      <c r="F23" s="161" t="s">
        <v>5794</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5795</v>
      </c>
      <c r="L23" s="161" t="s">
        <v>5796</v>
      </c>
      <c r="M23" s="335" t="str">
        <f>IFERROR(__xludf.DUMMYFUNCTION("GOOGLETRANSLATE(A23,""zh-tw"",""ru"")"),"Жрица")</f>
        <v>Жрица</v>
      </c>
      <c r="N23" s="162" t="str">
        <f>IFERROR(__xludf.DUMMYFUNCTION("GOOGLETRANSLATE(B23,""zh-tw"",""ru"")"),"Церковь призыва")</f>
        <v>Церковь призыва</v>
      </c>
      <c r="O23" s="333" t="s">
        <v>5797</v>
      </c>
      <c r="P23" s="161" t="s">
        <v>5798</v>
      </c>
      <c r="Q23" s="340" t="s">
        <v>5793</v>
      </c>
      <c r="R23" s="164" t="s">
        <v>5799</v>
      </c>
      <c r="S23" s="17"/>
      <c r="T23" s="17"/>
      <c r="U23" s="17"/>
      <c r="V23" s="17"/>
    </row>
    <row r="24">
      <c r="A24" s="333" t="s">
        <v>5800</v>
      </c>
      <c r="B24" s="161" t="s">
        <v>5801</v>
      </c>
      <c r="C24" s="333" t="s">
        <v>5802</v>
      </c>
      <c r="D24" s="161" t="s">
        <v>5803</v>
      </c>
      <c r="E24" s="333" t="s">
        <v>5804</v>
      </c>
      <c r="F24" s="161" t="s">
        <v>5805</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5806</v>
      </c>
      <c r="L24" s="161" t="s">
        <v>5807</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5808</v>
      </c>
      <c r="P24" s="161" t="s">
        <v>5809</v>
      </c>
      <c r="Q24" s="340" t="s">
        <v>5804</v>
      </c>
      <c r="R24" s="164" t="s">
        <v>5810</v>
      </c>
      <c r="S24" s="17"/>
      <c r="T24" s="17"/>
      <c r="U24" s="17"/>
      <c r="V24" s="17"/>
    </row>
    <row r="25">
      <c r="A25" s="333" t="s">
        <v>5811</v>
      </c>
      <c r="B25" s="161" t="s">
        <v>5812</v>
      </c>
      <c r="C25" s="333" t="s">
        <v>5813</v>
      </c>
      <c r="D25" s="161" t="s">
        <v>5814</v>
      </c>
      <c r="E25" s="333" t="s">
        <v>5815</v>
      </c>
      <c r="F25" s="161" t="s">
        <v>5816</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5817</v>
      </c>
      <c r="M25" s="335" t="str">
        <f>IFERROR(__xludf.DUMMYFUNCTION("GOOGLETRANSLATE(A25,""zh-tw"",""ru"")"),"мир")</f>
        <v>мир</v>
      </c>
      <c r="N25" s="162" t="str">
        <f>IFERROR(__xludf.DUMMYFUNCTION("GOOGLETRANSLATE(B25,""zh-tw"",""ru"")"),"Место реконструкции")</f>
        <v>Место реконструкции</v>
      </c>
      <c r="O25" s="333" t="s">
        <v>5818</v>
      </c>
      <c r="P25" s="161" t="s">
        <v>5819</v>
      </c>
      <c r="Q25" s="340" t="s">
        <v>5815</v>
      </c>
      <c r="R25" s="164" t="s">
        <v>5820</v>
      </c>
      <c r="S25" s="17"/>
      <c r="T25" s="17"/>
      <c r="U25" s="17"/>
      <c r="V25" s="17"/>
    </row>
    <row r="26">
      <c r="A26" s="333" t="s">
        <v>5821</v>
      </c>
      <c r="B26" s="161" t="s">
        <v>5822</v>
      </c>
      <c r="C26" s="346" t="s">
        <v>5823</v>
      </c>
      <c r="D26" s="347" t="str">
        <f>IFERROR(__xludf.DUMMYFUNCTION("GOOGLETRANSLATE(B26,""zh-tw"",""ja"")"),"一定時間内に1回復活することができます。")</f>
        <v>一定時間内に1回復活することができます。</v>
      </c>
      <c r="E26" s="333" t="s">
        <v>5824</v>
      </c>
      <c r="F26" s="161" t="s">
        <v>5825</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5826</v>
      </c>
      <c r="L26" s="161" t="s">
        <v>5827</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5828</v>
      </c>
      <c r="P26" s="161" t="s">
        <v>5829</v>
      </c>
      <c r="Q26" s="340" t="s">
        <v>5824</v>
      </c>
      <c r="R26" s="164" t="s">
        <v>5830</v>
      </c>
      <c r="S26" s="17"/>
      <c r="T26" s="17"/>
      <c r="U26" s="17"/>
      <c r="V26" s="17"/>
    </row>
    <row r="27">
      <c r="A27" s="339" t="s">
        <v>5831</v>
      </c>
      <c r="B27" s="161" t="s">
        <v>5832</v>
      </c>
      <c r="C27" s="339" t="s">
        <v>5833</v>
      </c>
      <c r="D27" s="161" t="s">
        <v>5834</v>
      </c>
      <c r="E27" s="339" t="s">
        <v>5835</v>
      </c>
      <c r="F27" s="322" t="s">
        <v>5836</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5837</v>
      </c>
      <c r="P27" s="161" t="s">
        <v>5838</v>
      </c>
      <c r="Q27" s="340" t="s">
        <v>5835</v>
      </c>
      <c r="R27" s="164" t="s">
        <v>5839</v>
      </c>
      <c r="S27" s="17"/>
      <c r="T27" s="17"/>
      <c r="U27" s="17"/>
      <c r="V27" s="17"/>
    </row>
    <row r="28">
      <c r="A28" s="333" t="s">
        <v>5840</v>
      </c>
      <c r="B28" s="161" t="s">
        <v>5841</v>
      </c>
      <c r="C28" s="333" t="str">
        <f>IFERROR(__xludf.DUMMYFUNCTION("GOOGLETRANSLATE(A28,""zh-tw"",""ja"")"),"ジャック・ボム")</f>
        <v>ジャック・ボム</v>
      </c>
      <c r="D28" s="161" t="s">
        <v>5842</v>
      </c>
      <c r="E28" s="333" t="s">
        <v>5843</v>
      </c>
      <c r="F28" s="161" t="s">
        <v>5844</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5845</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5846</v>
      </c>
      <c r="P28" s="161" t="s">
        <v>5847</v>
      </c>
      <c r="Q28" s="340" t="s">
        <v>5843</v>
      </c>
      <c r="R28" s="164" t="s">
        <v>5848</v>
      </c>
      <c r="S28" s="17"/>
      <c r="T28" s="17"/>
      <c r="U28" s="17"/>
      <c r="V28" s="17"/>
    </row>
    <row r="29">
      <c r="A29" s="333" t="s">
        <v>5849</v>
      </c>
      <c r="B29" s="161" t="s">
        <v>5850</v>
      </c>
      <c r="C29" s="333" t="s">
        <v>5851</v>
      </c>
      <c r="D29" s="161" t="s">
        <v>5852</v>
      </c>
      <c r="E29" s="333" t="s">
        <v>5853</v>
      </c>
      <c r="F29" s="161" t="s">
        <v>5854</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5855</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5856</v>
      </c>
      <c r="P29" s="161" t="s">
        <v>5857</v>
      </c>
      <c r="Q29" s="340" t="s">
        <v>5853</v>
      </c>
      <c r="R29" s="164" t="s">
        <v>5858</v>
      </c>
      <c r="S29" s="17"/>
      <c r="T29" s="17"/>
      <c r="U29" s="17"/>
      <c r="V29" s="17"/>
    </row>
    <row r="30">
      <c r="A30" s="333" t="s">
        <v>5859</v>
      </c>
      <c r="B30" s="161" t="s">
        <v>5860</v>
      </c>
      <c r="C30" s="333" t="s">
        <v>5861</v>
      </c>
      <c r="D30" s="161" t="s">
        <v>5862</v>
      </c>
      <c r="E30" s="333" t="s">
        <v>5863</v>
      </c>
      <c r="F30" s="161" t="s">
        <v>5864</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5865</v>
      </c>
      <c r="L30" s="161" t="s">
        <v>5866</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5867</v>
      </c>
      <c r="P30" s="161" t="s">
        <v>5868</v>
      </c>
      <c r="Q30" s="340" t="s">
        <v>5863</v>
      </c>
      <c r="R30" s="164" t="s">
        <v>5869</v>
      </c>
      <c r="S30" s="17"/>
      <c r="T30" s="17"/>
      <c r="U30" s="17"/>
      <c r="V30" s="17"/>
    </row>
    <row r="31">
      <c r="A31" s="333" t="s">
        <v>5870</v>
      </c>
      <c r="B31" s="161" t="s">
        <v>5871</v>
      </c>
      <c r="C31" s="333" t="str">
        <f>IFERROR(__xludf.DUMMYFUNCTION("GOOGLETRANSLATE(A31,""zh-tw"",""ja"")"),"密封された時計")</f>
        <v>密封された時計</v>
      </c>
      <c r="D31" s="161" t="s">
        <v>5872</v>
      </c>
      <c r="E31" s="333" t="s">
        <v>5873</v>
      </c>
      <c r="F31" s="161" t="s">
        <v>5874</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5875</v>
      </c>
      <c r="L31" s="161" t="s">
        <v>5876</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5877</v>
      </c>
      <c r="P31" s="161" t="s">
        <v>5878</v>
      </c>
      <c r="Q31" s="340" t="s">
        <v>5879</v>
      </c>
      <c r="R31" s="164" t="s">
        <v>5880</v>
      </c>
      <c r="S31" s="17"/>
      <c r="T31" s="17"/>
      <c r="U31" s="17"/>
      <c r="V31" s="17"/>
    </row>
    <row r="32">
      <c r="A32" s="333" t="s">
        <v>5881</v>
      </c>
      <c r="B32" s="161" t="s">
        <v>5882</v>
      </c>
      <c r="C32" s="333" t="str">
        <f>IFERROR(__xludf.DUMMYFUNCTION("GOOGLETRANSLATE(A32,""zh-tw"",""ja"")"),"寿司プリン")</f>
        <v>寿司プリン</v>
      </c>
      <c r="D32" s="161" t="s">
        <v>5883</v>
      </c>
      <c r="E32" s="333" t="s">
        <v>5884</v>
      </c>
      <c r="F32" s="161" t="s">
        <v>5885</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5884</v>
      </c>
      <c r="P32" s="161" t="s">
        <v>5886</v>
      </c>
      <c r="Q32" s="340" t="s">
        <v>5884</v>
      </c>
      <c r="R32" s="164" t="s">
        <v>5887</v>
      </c>
      <c r="S32" s="17"/>
      <c r="T32" s="17"/>
      <c r="U32" s="17"/>
      <c r="V32" s="17"/>
    </row>
    <row r="33">
      <c r="A33" s="333" t="s">
        <v>5888</v>
      </c>
      <c r="B33" s="161" t="s">
        <v>5889</v>
      </c>
      <c r="C33" s="333" t="str">
        <f>IFERROR(__xludf.DUMMYFUNCTION("GOOGLETRANSLATE(A33,""zh-tw"",""ja"")"),"ポラロイド 1～35")</f>
        <v>ポラロイド 1～35</v>
      </c>
      <c r="D33" s="161" t="s">
        <v>5890</v>
      </c>
      <c r="E33" s="333" t="s">
        <v>5891</v>
      </c>
      <c r="F33" s="161" t="s">
        <v>5892</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5893</v>
      </c>
      <c r="P33" s="161" t="s">
        <v>5894</v>
      </c>
      <c r="Q33" s="340" t="s">
        <v>5891</v>
      </c>
      <c r="R33" s="164" t="s">
        <v>5895</v>
      </c>
      <c r="S33" s="17"/>
      <c r="T33" s="17"/>
      <c r="U33" s="17"/>
      <c r="V33" s="17"/>
    </row>
    <row r="34">
      <c r="A34" s="333" t="s">
        <v>5896</v>
      </c>
      <c r="B34" s="161" t="s">
        <v>5897</v>
      </c>
      <c r="C34" s="333" t="s">
        <v>5898</v>
      </c>
      <c r="D34" s="161" t="s">
        <v>5899</v>
      </c>
      <c r="E34" s="333" t="s">
        <v>5900</v>
      </c>
      <c r="F34" s="161" t="s">
        <v>5901</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5902</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5903</v>
      </c>
      <c r="P34" s="161" t="s">
        <v>5904</v>
      </c>
      <c r="Q34" s="340" t="s">
        <v>5905</v>
      </c>
      <c r="R34" s="164" t="s">
        <v>5906</v>
      </c>
      <c r="S34" s="17"/>
      <c r="T34" s="17"/>
      <c r="U34" s="17"/>
      <c r="V34" s="17"/>
    </row>
    <row r="35">
      <c r="A35" s="333" t="s">
        <v>5907</v>
      </c>
      <c r="B35" s="161" t="s">
        <v>5908</v>
      </c>
      <c r="C35" s="333" t="s">
        <v>5909</v>
      </c>
      <c r="D35" s="161" t="s">
        <v>5910</v>
      </c>
      <c r="E35" s="333" t="s">
        <v>5911</v>
      </c>
      <c r="F35" s="161" t="s">
        <v>5912</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5913</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5914</v>
      </c>
      <c r="P35" s="161" t="s">
        <v>5915</v>
      </c>
      <c r="Q35" s="340" t="s">
        <v>5916</v>
      </c>
      <c r="R35" s="164" t="s">
        <v>5917</v>
      </c>
      <c r="S35" s="17"/>
      <c r="T35" s="17"/>
      <c r="U35" s="17"/>
      <c r="V35" s="17"/>
    </row>
    <row r="36">
      <c r="A36" s="333" t="s">
        <v>5918</v>
      </c>
      <c r="B36" s="161" t="s">
        <v>5908</v>
      </c>
      <c r="C36" s="333" t="s">
        <v>5919</v>
      </c>
      <c r="D36" s="161" t="s">
        <v>5920</v>
      </c>
      <c r="E36" s="333" t="s">
        <v>5921</v>
      </c>
      <c r="F36" s="161" t="s">
        <v>5912</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5902</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5903</v>
      </c>
      <c r="P36" s="161" t="s">
        <v>5904</v>
      </c>
      <c r="Q36" s="340" t="s">
        <v>5922</v>
      </c>
      <c r="R36" s="164" t="s">
        <v>5917</v>
      </c>
      <c r="S36" s="17"/>
      <c r="T36" s="17"/>
      <c r="U36" s="17"/>
      <c r="V36" s="17"/>
    </row>
    <row r="37">
      <c r="A37" s="333" t="s">
        <v>5923</v>
      </c>
      <c r="B37" s="161" t="s">
        <v>5924</v>
      </c>
      <c r="C37" s="333" t="s">
        <v>5925</v>
      </c>
      <c r="D37" s="161" t="s">
        <v>5926</v>
      </c>
      <c r="E37" s="333" t="s">
        <v>5927</v>
      </c>
      <c r="F37" s="161" t="s">
        <v>5928</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5913</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5914</v>
      </c>
      <c r="P37" s="161" t="s">
        <v>5915</v>
      </c>
      <c r="Q37" s="340" t="s">
        <v>5929</v>
      </c>
      <c r="R37" s="164" t="s">
        <v>5930</v>
      </c>
      <c r="S37" s="17"/>
      <c r="T37" s="17"/>
      <c r="U37" s="17"/>
      <c r="V37" s="17"/>
    </row>
    <row r="38">
      <c r="A38" s="339" t="s">
        <v>5931</v>
      </c>
      <c r="B38" s="162" t="s">
        <v>5932</v>
      </c>
      <c r="C38" s="335" t="s">
        <v>5933</v>
      </c>
      <c r="D38" s="162" t="s">
        <v>5934</v>
      </c>
      <c r="E38" s="335" t="s">
        <v>5935</v>
      </c>
      <c r="F38" s="162" t="s">
        <v>5936</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5937</v>
      </c>
      <c r="P38" s="161" t="s">
        <v>5938</v>
      </c>
      <c r="Q38" s="340" t="s">
        <v>5939</v>
      </c>
      <c r="R38" s="186" t="s">
        <v>5940</v>
      </c>
      <c r="S38" s="17"/>
      <c r="T38" s="17"/>
      <c r="U38" s="17"/>
      <c r="V38" s="17"/>
    </row>
    <row r="39">
      <c r="A39" s="333" t="s">
        <v>5941</v>
      </c>
      <c r="B39" s="161" t="s">
        <v>5942</v>
      </c>
      <c r="C39" s="333" t="s">
        <v>5943</v>
      </c>
      <c r="D39" s="161" t="s">
        <v>5944</v>
      </c>
      <c r="E39" s="333" t="s">
        <v>5945</v>
      </c>
      <c r="F39" s="161" t="s">
        <v>5946</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5947</v>
      </c>
      <c r="P39" s="161" t="s">
        <v>5948</v>
      </c>
      <c r="Q39" s="340" t="s">
        <v>5949</v>
      </c>
      <c r="R39" s="164" t="s">
        <v>5950</v>
      </c>
      <c r="S39" s="17"/>
      <c r="T39" s="17"/>
      <c r="U39" s="17"/>
      <c r="V39" s="17"/>
    </row>
    <row r="40">
      <c r="A40" s="339" t="s">
        <v>5951</v>
      </c>
      <c r="B40" s="162" t="s">
        <v>5952</v>
      </c>
      <c r="C40" s="335" t="s">
        <v>5953</v>
      </c>
      <c r="D40" s="162" t="s">
        <v>5954</v>
      </c>
      <c r="E40" s="335" t="s">
        <v>5955</v>
      </c>
      <c r="F40" s="162" t="s">
        <v>5956</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5955</v>
      </c>
      <c r="P40" s="162" t="s">
        <v>5956</v>
      </c>
      <c r="Q40" s="354" t="s">
        <v>5957</v>
      </c>
      <c r="R40" s="182"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5569</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4412</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4023</v>
      </c>
      <c r="D10" s="163" t="s">
        <v>4023</v>
      </c>
      <c r="E10" s="163" t="s">
        <v>4023</v>
      </c>
      <c r="F10" s="380" t="s">
        <v>6117</v>
      </c>
      <c r="G10" s="381"/>
      <c r="H10" s="163" t="s">
        <v>6118</v>
      </c>
      <c r="I10" s="163" t="s">
        <v>6118</v>
      </c>
      <c r="J10" s="163" t="s">
        <v>6118</v>
      </c>
      <c r="K10" s="103" t="s">
        <v>6119</v>
      </c>
      <c r="L10" s="381"/>
      <c r="M10" s="161" t="s">
        <v>4028</v>
      </c>
      <c r="N10" s="161" t="s">
        <v>4028</v>
      </c>
      <c r="O10" s="161" t="s">
        <v>4028</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4036</v>
      </c>
      <c r="AR10" s="182" t="s">
        <v>4036</v>
      </c>
      <c r="AS10" s="182" t="s">
        <v>4036</v>
      </c>
    </row>
    <row r="11">
      <c r="A11" s="385" t="s">
        <v>6124</v>
      </c>
      <c r="B11" s="381"/>
      <c r="C11" s="163" t="s">
        <v>6125</v>
      </c>
      <c r="D11" s="163" t="s">
        <v>4220</v>
      </c>
      <c r="E11" s="176"/>
      <c r="F11" s="380" t="s">
        <v>6126</v>
      </c>
      <c r="G11" s="381"/>
      <c r="H11" s="163" t="s">
        <v>6127</v>
      </c>
      <c r="I11" s="163" t="s">
        <v>6128</v>
      </c>
      <c r="J11" s="176"/>
      <c r="K11" s="103" t="s">
        <v>6129</v>
      </c>
      <c r="L11" s="381"/>
      <c r="M11" s="161" t="s">
        <v>6130</v>
      </c>
      <c r="N11" s="161" t="s">
        <v>4222</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4225</v>
      </c>
      <c r="AN11" s="162"/>
      <c r="AO11" s="154" t="s">
        <v>6129</v>
      </c>
      <c r="AP11" s="190"/>
      <c r="AQ11" s="182" t="s">
        <v>6135</v>
      </c>
      <c r="AR11" s="182" t="s">
        <v>4227</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4248</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6152</v>
      </c>
      <c r="AA14" s="376" t="s">
        <v>236</v>
      </c>
      <c r="AB14" s="161" t="s">
        <v>4250</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4254</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3865</v>
      </c>
      <c r="E20" s="176"/>
      <c r="F20" s="380" t="s">
        <v>6192</v>
      </c>
      <c r="G20" s="381"/>
      <c r="H20" s="163" t="s">
        <v>6052</v>
      </c>
      <c r="I20" s="163" t="s">
        <v>6193</v>
      </c>
      <c r="J20" s="176"/>
      <c r="K20" s="103" t="s">
        <v>6194</v>
      </c>
      <c r="L20" s="381"/>
      <c r="M20" s="161" t="s">
        <v>6054</v>
      </c>
      <c r="N20" s="161" t="s">
        <v>3867</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3869</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3871</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6055</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4220</v>
      </c>
      <c r="E24" s="163" t="s">
        <v>6228</v>
      </c>
      <c r="F24" s="380" t="s">
        <v>6229</v>
      </c>
      <c r="G24" s="381"/>
      <c r="H24" s="163" t="s">
        <v>6150</v>
      </c>
      <c r="I24" s="163" t="s">
        <v>6230</v>
      </c>
      <c r="J24" s="163" t="s">
        <v>6231</v>
      </c>
      <c r="K24" s="103" t="s">
        <v>6232</v>
      </c>
      <c r="L24" s="381"/>
      <c r="M24" s="161" t="s">
        <v>4248</v>
      </c>
      <c r="N24" s="161" t="s">
        <v>4222</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4250</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4225</v>
      </c>
      <c r="AN24" s="161" t="s">
        <v>4225</v>
      </c>
      <c r="AO24" s="180" t="s">
        <v>6235</v>
      </c>
      <c r="AP24" s="190"/>
      <c r="AQ24" s="182" t="s">
        <v>4254</v>
      </c>
      <c r="AR24" s="182" t="s">
        <v>4227</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4220</v>
      </c>
      <c r="D27" s="176"/>
      <c r="E27" s="176"/>
      <c r="F27" s="380" t="s">
        <v>6259</v>
      </c>
      <c r="G27" s="381"/>
      <c r="H27" s="163" t="s">
        <v>6230</v>
      </c>
      <c r="I27" s="176"/>
      <c r="J27" s="176"/>
      <c r="K27" s="103" t="s">
        <v>6260</v>
      </c>
      <c r="L27" s="381"/>
      <c r="M27" s="161" t="s">
        <v>4222</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4225</v>
      </c>
      <c r="AM27" s="162"/>
      <c r="AN27" s="162"/>
      <c r="AO27" s="180" t="s">
        <v>6263</v>
      </c>
      <c r="AP27" s="190"/>
      <c r="AQ27" s="182" t="s">
        <v>4227</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4028</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4036</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4010</v>
      </c>
      <c r="F32" s="380" t="s">
        <v>6303</v>
      </c>
      <c r="G32" s="381"/>
      <c r="H32" s="163" t="s">
        <v>6064</v>
      </c>
      <c r="I32" s="163" t="s">
        <v>6065</v>
      </c>
      <c r="J32" s="163" t="s">
        <v>6304</v>
      </c>
      <c r="K32" s="99" t="s">
        <v>6305</v>
      </c>
      <c r="L32" s="381"/>
      <c r="M32" s="161" t="s">
        <v>6067</v>
      </c>
      <c r="N32" s="161" t="s">
        <v>6068</v>
      </c>
      <c r="O32" s="161" t="s">
        <v>4013</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4015</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4020</v>
      </c>
    </row>
    <row r="33">
      <c r="A33" s="380" t="s">
        <v>6309</v>
      </c>
      <c r="B33" s="381"/>
      <c r="C33" s="163" t="s">
        <v>6061</v>
      </c>
      <c r="D33" s="163" t="s">
        <v>4010</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4015</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4020</v>
      </c>
      <c r="AS33" s="183"/>
    </row>
    <row r="34">
      <c r="A34" s="380" t="s">
        <v>6315</v>
      </c>
      <c r="B34" s="381"/>
      <c r="C34" s="163" t="s">
        <v>6061</v>
      </c>
      <c r="D34" s="163" t="s">
        <v>4010</v>
      </c>
      <c r="E34" s="163" t="s">
        <v>4229</v>
      </c>
      <c r="F34" s="380" t="s">
        <v>6316</v>
      </c>
      <c r="G34" s="381"/>
      <c r="H34" s="163" t="s">
        <v>6064</v>
      </c>
      <c r="I34" s="163" t="s">
        <v>6304</v>
      </c>
      <c r="J34" s="163" t="s">
        <v>6317</v>
      </c>
      <c r="K34" s="103" t="s">
        <v>6318</v>
      </c>
      <c r="L34" s="381"/>
      <c r="M34" s="161" t="s">
        <v>6067</v>
      </c>
      <c r="N34" s="161" t="s">
        <v>6312</v>
      </c>
      <c r="O34" s="161" t="s">
        <v>4231</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4015</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4020</v>
      </c>
      <c r="AS34" s="182" t="s">
        <v>4235</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IFERROR(__xludf.DUMMYFUNCTION("GOOGLETRANSLATE(C38,""zh-tw"",""es-MX"")"),"muslos de pollo")</f>
        <v>muslos de pollo</v>
      </c>
      <c r="X38" s="163" t="str">
        <f>IFERROR(__xludf.DUMMYFUNCTION("GOOGLETRANSLATE(D38,""zh-tw"",""es-MX"")"),"muslos de pollo")</f>
        <v>muslos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IFERROR(__xludf.DUMMYFUNCTION("GOOGLETRANSLATE(C39,""zh-tw"",""es-MX"")"),"muslos de pollo")</f>
        <v>muslos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IFERROR(__xludf.DUMMYFUNCTION("GOOGLETRANSLATE(D40,""zh-tw"",""es-MX"")"),"muslos de pollo")</f>
        <v>muslos de pollo</v>
      </c>
      <c r="Y40" s="163"/>
      <c r="Z40" s="384" t="s">
        <v>6372</v>
      </c>
      <c r="AA40" s="388" t="s">
        <v>236</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4220</v>
      </c>
      <c r="D46" s="163" t="s">
        <v>4237</v>
      </c>
      <c r="E46" s="176"/>
      <c r="F46" s="380" t="s">
        <v>6415</v>
      </c>
      <c r="G46" s="366" t="s">
        <v>787</v>
      </c>
      <c r="H46" s="163" t="s">
        <v>6230</v>
      </c>
      <c r="I46" s="163" t="s">
        <v>6416</v>
      </c>
      <c r="J46" s="176"/>
      <c r="K46" s="103" t="s">
        <v>6417</v>
      </c>
      <c r="L46" s="366" t="s">
        <v>787</v>
      </c>
      <c r="M46" s="161" t="s">
        <v>4222</v>
      </c>
      <c r="N46" s="161" t="s">
        <v>4239</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4225</v>
      </c>
      <c r="AM46" s="161" t="s">
        <v>6421</v>
      </c>
      <c r="AN46" s="162"/>
      <c r="AO46" s="180" t="s">
        <v>6422</v>
      </c>
      <c r="AP46" s="386" t="s">
        <v>787</v>
      </c>
      <c r="AQ46" s="182" t="s">
        <v>4227</v>
      </c>
      <c r="AR46" s="182" t="s">
        <v>4243</v>
      </c>
      <c r="AS46" s="183"/>
    </row>
    <row r="47">
      <c r="A47" s="380" t="s">
        <v>6423</v>
      </c>
      <c r="B47" s="366" t="s">
        <v>787</v>
      </c>
      <c r="C47" s="163" t="s">
        <v>4237</v>
      </c>
      <c r="D47" s="176"/>
      <c r="E47" s="176"/>
      <c r="F47" s="380" t="s">
        <v>6424</v>
      </c>
      <c r="G47" s="366" t="s">
        <v>787</v>
      </c>
      <c r="H47" s="163" t="s">
        <v>6416</v>
      </c>
      <c r="I47" s="176"/>
      <c r="J47" s="176"/>
      <c r="K47" s="103" t="s">
        <v>6425</v>
      </c>
      <c r="L47" s="366" t="s">
        <v>787</v>
      </c>
      <c r="M47" s="161" t="s">
        <v>4239</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4243</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4210</v>
      </c>
      <c r="D52" s="163" t="s">
        <v>6078</v>
      </c>
      <c r="E52" s="176"/>
      <c r="F52" s="380" t="s">
        <v>6462</v>
      </c>
      <c r="G52" s="389"/>
      <c r="H52" s="163" t="s">
        <v>6463</v>
      </c>
      <c r="I52" s="163" t="s">
        <v>6081</v>
      </c>
      <c r="J52" s="176"/>
      <c r="K52" s="103" t="s">
        <v>6464</v>
      </c>
      <c r="L52" s="381"/>
      <c r="M52" s="161" t="s">
        <v>4212</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4218</v>
      </c>
      <c r="AR52" s="182" t="s">
        <v>6090</v>
      </c>
      <c r="AS52" s="183"/>
    </row>
    <row r="53">
      <c r="A53" s="380" t="s">
        <v>6468</v>
      </c>
      <c r="B53" s="389"/>
      <c r="C53" s="163" t="s">
        <v>4229</v>
      </c>
      <c r="D53" s="176"/>
      <c r="E53" s="176"/>
      <c r="F53" s="380" t="s">
        <v>6469</v>
      </c>
      <c r="G53" s="389"/>
      <c r="H53" s="163" t="s">
        <v>6317</v>
      </c>
      <c r="I53" s="176"/>
      <c r="J53" s="176"/>
      <c r="K53" s="103" t="s">
        <v>6470</v>
      </c>
      <c r="L53" s="381"/>
      <c r="M53" s="161" t="s">
        <v>4231</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4227</v>
      </c>
      <c r="AR53" s="183"/>
      <c r="AS53" s="183"/>
    </row>
    <row r="54">
      <c r="A54" s="380" t="s">
        <v>4210</v>
      </c>
      <c r="B54" s="389"/>
      <c r="C54" s="163" t="s">
        <v>4210</v>
      </c>
      <c r="D54" s="176"/>
      <c r="E54" s="176"/>
      <c r="F54" s="380" t="s">
        <v>6473</v>
      </c>
      <c r="G54" s="389"/>
      <c r="H54" s="163" t="s">
        <v>6463</v>
      </c>
      <c r="I54" s="176"/>
      <c r="J54" s="176"/>
      <c r="K54" s="103" t="s">
        <v>4212</v>
      </c>
      <c r="L54" s="381"/>
      <c r="M54" s="161" t="s">
        <v>4212</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4218</v>
      </c>
      <c r="AP54" s="190"/>
      <c r="AQ54" s="182" t="s">
        <v>4218</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3853</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3896</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3900</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3906</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4493</v>
      </c>
      <c r="E24" s="174" t="s">
        <v>6723</v>
      </c>
      <c r="F24" s="317" t="s">
        <v>6724</v>
      </c>
      <c r="G24" s="316" t="str">
        <f>IFERROR(__xludf.DUMMYFUNCTION("GOOGLETRANSLATE(C24,""zh-tw"",""ja"")"),"彼の体は常に悪臭を放っていた")</f>
        <v>彼の体は常に悪臭を放っていた</v>
      </c>
      <c r="H24" s="396" t="s">
        <v>4495</v>
      </c>
      <c r="I24" s="174" t="s">
        <v>6725</v>
      </c>
      <c r="J24" s="317" t="s">
        <v>6726</v>
      </c>
      <c r="K24" s="319" t="s">
        <v>6727</v>
      </c>
      <c r="L24" s="396" t="s">
        <v>4496</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4501</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IFERROR(__xludf.DUMMYFUNCTION("GOOGLETRANSLATE(C31,""zh-tw"",""RU"")"),"Когда судьба благословляет тебя, тебе легче справляться со сложными вещами!")</f>
        <v>Когда судьба благословляет тебя, тебе легче справляться со сложными вещами!</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5682</v>
      </c>
      <c r="E32" s="174" t="s">
        <v>6814</v>
      </c>
      <c r="F32" s="317" t="s">
        <v>6815</v>
      </c>
      <c r="G32" s="319" t="s">
        <v>6816</v>
      </c>
      <c r="H32" s="396" t="s">
        <v>5684</v>
      </c>
      <c r="I32" s="174" t="s">
        <v>6817</v>
      </c>
      <c r="J32" s="317" t="s">
        <v>6818</v>
      </c>
      <c r="K32" s="319" t="s">
        <v>6819</v>
      </c>
      <c r="L32" s="396" t="s">
        <v>5686</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5691</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5065</v>
      </c>
      <c r="E34" s="174" t="s">
        <v>6841</v>
      </c>
      <c r="F34" s="315" t="str">
        <f>IFERROR(__xludf.DUMMYFUNCTION("GOOGLETRANSLATE(B34,""zh-tw"",""ja"")"),"祝福を享受できますように")</f>
        <v>祝福を享受できますように</v>
      </c>
      <c r="G34" s="319" t="s">
        <v>6842</v>
      </c>
      <c r="H34" s="396" t="s">
        <v>5067</v>
      </c>
      <c r="I34" s="174" t="s">
        <v>6843</v>
      </c>
      <c r="J34" s="317" t="s">
        <v>6844</v>
      </c>
      <c r="K34" s="319" t="s">
        <v>6845</v>
      </c>
      <c r="L34" s="396" t="s">
        <v>5068</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4630</v>
      </c>
      <c r="E36" s="174" t="s">
        <v>4632</v>
      </c>
      <c r="F36" s="317" t="s">
        <v>6859</v>
      </c>
      <c r="G36" s="316" t="str">
        <f>IFERROR(__xludf.DUMMYFUNCTION("GOOGLETRANSLATE(C36,""zh-tw"",""ja"")"),"全属性が上昇し、一時的に無敵になる。")</f>
        <v>全属性が上昇し、一時的に無敵になる。</v>
      </c>
      <c r="H36" s="396" t="s">
        <v>4632</v>
      </c>
      <c r="I36" s="174" t="s">
        <v>4634</v>
      </c>
      <c r="J36" s="317" t="s">
        <v>6860</v>
      </c>
      <c r="K36" s="319" t="s">
        <v>6861</v>
      </c>
      <c r="L36" s="396" t="s">
        <v>4634</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4257</v>
      </c>
      <c r="I37" s="174" t="s">
        <v>4259</v>
      </c>
      <c r="J37" s="317" t="s">
        <v>6869</v>
      </c>
      <c r="K37" s="319" t="s">
        <v>6870</v>
      </c>
      <c r="L37" s="396" t="s">
        <v>4259</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4265</v>
      </c>
      <c r="AH37" s="186" t="s">
        <v>6871</v>
      </c>
      <c r="AI37" s="320" t="s">
        <v>6872</v>
      </c>
      <c r="AJ37" s="398" t="s">
        <v>4265</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4454</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4002</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4009</v>
      </c>
      <c r="AK39" s="396"/>
      <c r="AL39" s="396"/>
      <c r="AM39" s="396"/>
    </row>
    <row r="40">
      <c r="A40" s="174" t="s">
        <v>6891</v>
      </c>
      <c r="B40" s="317" t="s">
        <v>6892</v>
      </c>
      <c r="C40" s="319" t="s">
        <v>6893</v>
      </c>
      <c r="D40" s="396" t="s">
        <v>4837</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5389</v>
      </c>
      <c r="E45" s="174" t="s">
        <v>6966</v>
      </c>
      <c r="F45" s="317" t="s">
        <v>6967</v>
      </c>
      <c r="G45" s="319" t="s">
        <v>723</v>
      </c>
      <c r="H45" s="396" t="s">
        <v>6968</v>
      </c>
      <c r="I45" s="174" t="s">
        <v>5393</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5332</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IFERROR(__xludf.DUMMYFUNCTION("GOOGLETRANSLATE(C46,""zh-tw"",""es-MX"")"),"Las monedas de oro se caen a la fuerza cuando alguien resulta herido.")</f>
        <v>Las monedas de oro se caen a la fuerza cuando alguien resulta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5250</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6" t="s">
        <v>6994</v>
      </c>
      <c r="AI47" s="402" t="s">
        <v>6995</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6996</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6997</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6998</v>
      </c>
      <c r="B3" s="30" t="s">
        <v>6998</v>
      </c>
      <c r="C3" s="416" t="s">
        <v>6998</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6999</v>
      </c>
      <c r="B5" s="30" t="str">
        <f>IFERROR(__xludf.DUMMYFUNCTION("GOOGLETRANSLATE(A5,""zh-tw"",""ja"")"),"公式YouTubeチャンネル")</f>
        <v>公式YouTubeチャンネル</v>
      </c>
      <c r="C5" s="416" t="str">
        <f>IFERROR(__xludf.DUMMYFUNCTION("GOOGLETRANSLATE(A5,""zh-tw"",""en"")"),"Official YouTube channel")</f>
        <v>Official YouTube channel</v>
      </c>
      <c r="D5" s="142" t="s">
        <v>7000</v>
      </c>
      <c r="E5" s="123"/>
      <c r="F5" s="123"/>
      <c r="G5" s="123"/>
      <c r="H5" s="123"/>
      <c r="I5" s="123"/>
      <c r="J5" s="123"/>
      <c r="K5" s="123"/>
      <c r="L5" s="123"/>
      <c r="M5" s="123"/>
      <c r="N5" s="123"/>
      <c r="O5" s="123"/>
      <c r="P5" s="123"/>
      <c r="Q5" s="123"/>
      <c r="R5" s="123"/>
      <c r="S5" s="123"/>
      <c r="T5" s="123"/>
      <c r="U5" s="123"/>
      <c r="V5" s="123"/>
      <c r="W5" s="123"/>
      <c r="X5" s="123"/>
      <c r="Y5" s="123"/>
      <c r="Z5" s="123"/>
    </row>
    <row r="6">
      <c r="A6" s="415" t="s">
        <v>7001</v>
      </c>
      <c r="B6" s="30" t="str">
        <f>IFERROR(__xludf.DUMMYFUNCTION("GOOGLETRANSLATE(A6,""zh-tw"",""ja"")"),"公式法案")</f>
        <v>公式法案</v>
      </c>
      <c r="C6" s="416" t="str">
        <f>IFERROR(__xludf.DUMMYFUNCTION("GOOGLETRANSLATE(A6,""zh-tw"",""en"")"),"Official bill")</f>
        <v>Official bill</v>
      </c>
      <c r="D6" s="142" t="s">
        <v>7000</v>
      </c>
      <c r="E6" s="123"/>
      <c r="F6" s="123"/>
      <c r="G6" s="123"/>
      <c r="H6" s="123"/>
      <c r="I6" s="123"/>
      <c r="J6" s="123"/>
      <c r="K6" s="123"/>
      <c r="L6" s="123"/>
      <c r="M6" s="123"/>
      <c r="N6" s="123"/>
      <c r="O6" s="123"/>
      <c r="P6" s="123"/>
      <c r="Q6" s="123"/>
      <c r="R6" s="123"/>
      <c r="S6" s="123"/>
      <c r="T6" s="123"/>
      <c r="U6" s="123"/>
      <c r="V6" s="123"/>
      <c r="W6" s="123"/>
      <c r="X6" s="123"/>
      <c r="Y6" s="123"/>
      <c r="Z6" s="123"/>
    </row>
    <row r="7">
      <c r="A7" s="415" t="s">
        <v>7002</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7003</v>
      </c>
      <c r="E7" s="123"/>
      <c r="F7" s="123"/>
      <c r="G7" s="123"/>
      <c r="H7" s="123"/>
      <c r="I7" s="123"/>
      <c r="J7" s="123"/>
      <c r="K7" s="123"/>
      <c r="L7" s="123"/>
      <c r="M7" s="123"/>
      <c r="N7" s="123"/>
      <c r="O7" s="123"/>
      <c r="P7" s="123"/>
      <c r="Q7" s="123"/>
      <c r="R7" s="123"/>
      <c r="S7" s="123"/>
      <c r="T7" s="123"/>
      <c r="U7" s="123"/>
      <c r="V7" s="123"/>
      <c r="W7" s="123"/>
      <c r="X7" s="123"/>
      <c r="Y7" s="123"/>
      <c r="Z7" s="123"/>
    </row>
    <row r="8">
      <c r="A8" s="415" t="s">
        <v>7004</v>
      </c>
      <c r="B8" s="30" t="str">
        <f>IFERROR(__xludf.DUMMYFUNCTION("GOOGLETRANSLATE(A8,""zh-tw"",""ja"")"),"片桐亜樹（ビルビルチャンネル）
（妹役の声優）")</f>
        <v>片桐亜樹（ビルビルチャンネル）
（妹役の声優）</v>
      </c>
      <c r="C8" s="416" t="str">
        <f>IFERROR(__xludf.DUMMYFUNCTION("GOOGLETRANSLATE(A8,""zh-tw"",""en"")"),"Aki Katagiri (bilbill channel)
(Voice actress for the younger sister)")</f>
        <v>Aki Katagiri (bilbill channel)
(Voice actress for the younger sister)</v>
      </c>
      <c r="D8" s="142" t="s">
        <v>7003</v>
      </c>
      <c r="E8" s="123"/>
      <c r="F8" s="123"/>
      <c r="G8" s="123"/>
      <c r="H8" s="123"/>
      <c r="I8" s="123"/>
      <c r="J8" s="123"/>
      <c r="K8" s="123"/>
      <c r="L8" s="123"/>
      <c r="M8" s="123"/>
      <c r="N8" s="123"/>
      <c r="O8" s="123"/>
      <c r="P8" s="123"/>
      <c r="Q8" s="123"/>
      <c r="R8" s="123"/>
      <c r="S8" s="123"/>
      <c r="T8" s="123"/>
      <c r="U8" s="123"/>
      <c r="V8" s="123"/>
      <c r="W8" s="123"/>
      <c r="X8" s="123"/>
      <c r="Y8" s="123"/>
      <c r="Z8" s="123"/>
    </row>
    <row r="9">
      <c r="A9" s="415" t="s">
        <v>7005</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7006</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7007</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7008</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7009</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7010</v>
      </c>
      <c r="G1" s="429"/>
      <c r="H1" s="429"/>
      <c r="I1" s="429"/>
      <c r="J1" s="429"/>
      <c r="K1" s="429"/>
      <c r="L1" s="429"/>
      <c r="M1" s="429"/>
      <c r="N1" s="429"/>
      <c r="O1" s="429"/>
      <c r="P1" s="429"/>
      <c r="Q1" s="429"/>
      <c r="R1" s="429"/>
    </row>
    <row r="2">
      <c r="A2" s="430" t="s">
        <v>7011</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7012</v>
      </c>
      <c r="F2" s="433" t="s">
        <v>7013</v>
      </c>
      <c r="G2" s="135"/>
      <c r="H2" s="135"/>
      <c r="I2" s="135"/>
      <c r="J2" s="135"/>
      <c r="K2" s="135"/>
      <c r="L2" s="135"/>
      <c r="M2" s="135"/>
      <c r="N2" s="135"/>
      <c r="O2" s="135"/>
      <c r="P2" s="135"/>
      <c r="Q2" s="135"/>
      <c r="R2" s="135"/>
    </row>
    <row r="3">
      <c r="A3" s="430" t="s">
        <v>7014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7015</v>
      </c>
      <c r="F3" s="433" t="s">
        <v>7016</v>
      </c>
      <c r="G3" s="135"/>
      <c r="H3" s="135"/>
      <c r="I3" s="135"/>
      <c r="J3" s="135"/>
      <c r="K3" s="135"/>
      <c r="L3" s="135"/>
      <c r="M3" s="135"/>
      <c r="N3" s="135"/>
      <c r="O3" s="135"/>
      <c r="P3" s="135"/>
      <c r="Q3" s="135"/>
      <c r="R3" s="135"/>
    </row>
    <row r="4">
      <c r="A4" s="430" t="s">
        <v>7017</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7018</v>
      </c>
      <c r="F4" s="433" t="s">
        <v>7019</v>
      </c>
      <c r="G4" s="135"/>
      <c r="H4" s="135"/>
      <c r="I4" s="135"/>
      <c r="J4" s="135"/>
      <c r="K4" s="135"/>
      <c r="L4" s="135"/>
      <c r="M4" s="135"/>
      <c r="N4" s="135"/>
      <c r="O4" s="135"/>
      <c r="P4" s="135"/>
      <c r="Q4" s="135"/>
      <c r="R4" s="135"/>
    </row>
    <row r="5">
      <c r="A5" s="430" t="s">
        <v>7020</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7021</v>
      </c>
      <c r="F5" s="433" t="s">
        <v>7022</v>
      </c>
      <c r="G5" s="135"/>
      <c r="H5" s="135"/>
      <c r="I5" s="135"/>
      <c r="J5" s="135"/>
      <c r="K5" s="135"/>
      <c r="L5" s="135"/>
      <c r="M5" s="135"/>
      <c r="N5" s="135"/>
      <c r="O5" s="135"/>
      <c r="P5" s="135"/>
      <c r="Q5" s="135"/>
      <c r="R5" s="135"/>
    </row>
    <row r="6">
      <c r="A6" s="434" t="s">
        <v>7023</v>
      </c>
      <c r="B6" s="435" t="s">
        <v>7024</v>
      </c>
      <c r="C6" s="436" t="s">
        <v>7025</v>
      </c>
      <c r="D6" s="437" t="s">
        <v>7026</v>
      </c>
      <c r="E6" s="438" t="s">
        <v>7027</v>
      </c>
      <c r="F6" s="439" t="s">
        <v>7028</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7029</v>
      </c>
      <c r="B1" s="424" t="s">
        <v>7030</v>
      </c>
      <c r="C1" s="301" t="s">
        <v>7031</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7032</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7033</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7034</v>
      </c>
      <c r="J1" s="427" t="s">
        <v>7035</v>
      </c>
      <c r="K1" s="444" t="s">
        <v>7036</v>
      </c>
      <c r="L1" s="444" t="s">
        <v>7037</v>
      </c>
      <c r="M1" s="429"/>
      <c r="N1" s="429"/>
      <c r="O1" s="429"/>
      <c r="P1" s="429"/>
      <c r="Q1" s="429"/>
      <c r="R1" s="429"/>
      <c r="S1" s="429"/>
      <c r="T1" s="429"/>
      <c r="U1" s="429"/>
      <c r="V1" s="429"/>
      <c r="W1" s="429"/>
    </row>
    <row r="2">
      <c r="A2" s="430" t="s">
        <v>7038</v>
      </c>
      <c r="B2" s="430" t="s">
        <v>7039</v>
      </c>
      <c r="C2" s="106" t="s">
        <v>7040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7041</v>
      </c>
      <c r="F2" s="214" t="str">
        <f>IFERROR(__xludf.DUMMYFUNCTION("GOOGLETRANSLATE(B2,""zh-tw"",""en"")"),"1 - Search for ""NVIDIA APP install"" on Google and launch the NVIDIA application.")</f>
        <v>1 - Search for "NVIDIA APP install" on Google and launch the NVIDIA application.</v>
      </c>
      <c r="G2" s="446" t="s">
        <v>7042</v>
      </c>
      <c r="H2" s="431" t="str">
        <f>IFERROR(__xludf.DUMMYFUNCTION("GOOGLETRANSLATE(B2,""zh-tw"",""zh"")"),"1 - 在google上搜寻 NVIDIA APP安装，并启动 NVIDIA 应用程式。")</f>
        <v>1 - 在google上搜寻 NVIDIA APP安装，并启动 NVIDIA 应用程式。</v>
      </c>
      <c r="I2" s="432" t="s">
        <v>7043</v>
      </c>
      <c r="J2" s="432" t="s">
        <v>7044</v>
      </c>
      <c r="K2" s="433" t="s">
        <v>7045</v>
      </c>
      <c r="L2" s="433" t="s">
        <v>7046</v>
      </c>
      <c r="M2" s="135"/>
      <c r="N2" s="135"/>
      <c r="O2" s="135"/>
      <c r="P2" s="135"/>
      <c r="Q2" s="135"/>
      <c r="R2" s="135"/>
      <c r="S2" s="135"/>
      <c r="T2" s="135"/>
      <c r="U2" s="135"/>
      <c r="V2" s="135"/>
      <c r="W2" s="135"/>
    </row>
    <row r="3">
      <c r="A3" s="430" t="s">
        <v>7047</v>
      </c>
      <c r="B3" s="430" t="s">
        <v>7048</v>
      </c>
      <c r="C3" s="106" t="s">
        <v>7049</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7050</v>
      </c>
      <c r="F3" s="214" t="str">
        <f>IFERROR(__xludf.DUMMYFUNCTION("GOOGLETRANSLATE(B3,""zh-tw"",""en"")"),"2 - Restart the NVIDIA application after updating to the latest version.")</f>
        <v>2 - Restart the NVIDIA application after updating to the latest version.</v>
      </c>
      <c r="G3" s="446" t="s">
        <v>7051</v>
      </c>
      <c r="H3" s="431" t="str">
        <f>IFERROR(__xludf.DUMMYFUNCTION("GOOGLETRANSLATE(B3,""zh-tw"",""zh"")"),"2 - 在更新至最新版本后重新启动 NVIDIA 应用程式。")</f>
        <v>2 - 在更新至最新版本后重新启动 NVIDIA 应用程式。</v>
      </c>
      <c r="I3" s="432" t="s">
        <v>7052</v>
      </c>
      <c r="J3" s="432" t="s">
        <v>7053</v>
      </c>
      <c r="K3" s="433" t="s">
        <v>7054</v>
      </c>
      <c r="L3" s="433" t="s">
        <v>7055</v>
      </c>
      <c r="M3" s="135"/>
      <c r="N3" s="135"/>
      <c r="O3" s="135"/>
      <c r="P3" s="135"/>
      <c r="Q3" s="135"/>
      <c r="R3" s="135"/>
      <c r="S3" s="135"/>
      <c r="T3" s="135"/>
      <c r="U3" s="135"/>
      <c r="V3" s="135"/>
      <c r="W3" s="135"/>
    </row>
    <row r="4">
      <c r="A4" s="430" t="s">
        <v>7056</v>
      </c>
      <c r="B4" s="430" t="s">
        <v>7057</v>
      </c>
      <c r="C4" s="106" t="s">
        <v>7058</v>
      </c>
      <c r="D4" s="106" t="str">
        <f>IFERROR(__xludf.DUMMYFUNCTION("GOOGLETRANSLATE(B4,""zh-tw"",""ja"")"),"3 - NVIDIA アプリケーションで、グラフィック設定領域に移動します。")</f>
        <v>3 - NVIDIA アプリケーションで、グラフィック設定領域に移動します。</v>
      </c>
      <c r="E4" s="445" t="s">
        <v>7059</v>
      </c>
      <c r="F4" s="214" t="str">
        <f>IFERROR(__xludf.DUMMYFUNCTION("GOOGLETRANSLATE(B4,""zh-tw"",""en"")"),"3 - In the NVIDIA application, go to the graphics settings area.")</f>
        <v>3 - In the NVIDIA application, go to the graphics settings area.</v>
      </c>
      <c r="G4" s="446" t="s">
        <v>7060</v>
      </c>
      <c r="H4" s="431" t="str">
        <f>IFERROR(__xludf.DUMMYFUNCTION("GOOGLETRANSLATE(B4,""zh-tw"",""zh"")"),"3 - 在NVIDIA应用程式中，进入图形设置区域。")</f>
        <v>3 - 在NVIDIA应用程式中，进入图形设置区域。</v>
      </c>
      <c r="I4" s="432" t="s">
        <v>7061</v>
      </c>
      <c r="J4" s="432" t="s">
        <v>7062</v>
      </c>
      <c r="K4" s="433" t="s">
        <v>7063</v>
      </c>
      <c r="L4" s="433" t="s">
        <v>7064</v>
      </c>
      <c r="M4" s="135"/>
      <c r="N4" s="135"/>
      <c r="O4" s="135"/>
      <c r="P4" s="135"/>
      <c r="Q4" s="135"/>
      <c r="R4" s="135"/>
      <c r="S4" s="135"/>
      <c r="T4" s="135"/>
      <c r="U4" s="135"/>
      <c r="V4" s="135"/>
      <c r="W4" s="135"/>
    </row>
    <row r="5">
      <c r="A5" s="430" t="s">
        <v>7065</v>
      </c>
      <c r="B5" s="430" t="s">
        <v>7066</v>
      </c>
      <c r="C5" s="106" t="s">
        <v>7067</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7068</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7069</v>
      </c>
      <c r="H5" s="431" t="str">
        <f>IFERROR(__xludf.DUMMYFUNCTION("GOOGLETRANSLATE(B5,""zh-tw"",""zh"")"),"4 - 在「程式设定」中点击三个点，选择「新增程式」，然后寻找游戏的执行档。")</f>
        <v>4 - 在「程式设定」中点击三个点，选择「新增程式」，然后寻找游戏的执行档。</v>
      </c>
      <c r="I5" s="432" t="s">
        <v>7070</v>
      </c>
      <c r="J5" s="432" t="s">
        <v>7071</v>
      </c>
      <c r="K5" s="433" t="s">
        <v>7072</v>
      </c>
      <c r="L5" s="433" t="s">
        <v>7073</v>
      </c>
      <c r="M5" s="135"/>
      <c r="N5" s="135"/>
      <c r="O5" s="135"/>
      <c r="P5" s="135"/>
      <c r="Q5" s="135"/>
      <c r="R5" s="135"/>
      <c r="S5" s="135"/>
      <c r="T5" s="135"/>
      <c r="U5" s="135"/>
      <c r="V5" s="135"/>
      <c r="W5" s="135"/>
    </row>
    <row r="6">
      <c r="A6" s="430" t="s">
        <v>7074</v>
      </c>
      <c r="B6" s="430" t="s">
        <v>7075</v>
      </c>
      <c r="C6" s="106" t="s">
        <v>7076</v>
      </c>
      <c r="D6" s="106" t="str">
        <f>IFERROR(__xludf.DUMMYFUNCTION("GOOGLETRANSLATE(B6,""zh-tw"",""ja"")"),"5 - 「低遅延モード」を「超高」に、「電源管理モード」を「最適電力」に設定します。")</f>
        <v>5 - 「低遅延モード」を「超高」に、「電源管理モード」を「最適電力」に設定します。</v>
      </c>
      <c r="E6" s="445" t="s">
        <v>7077</v>
      </c>
      <c r="F6" s="214" t="str">
        <f>IFERROR(__xludf.DUMMYFUNCTION("GOOGLETRANSLATE(B6,""zh-tw"",""en"")"),"5 - Set ""Low Latency Mode"" to ""Ultra High"" and ""Power Management Mode"" to ""Optimal Power"".")</f>
        <v>5 - Set "Low Latency Mode" to "Ultra High" and "Power Management Mode" to "Optimal Power".</v>
      </c>
      <c r="G6" s="446" t="s">
        <v>7078</v>
      </c>
      <c r="H6" s="431" t="str">
        <f>IFERROR(__xludf.DUMMYFUNCTION("GOOGLETRANSLATE(B6,""zh-tw"",""zh"")"),"5 - 将「低延迟模式」设为「超高」，电源管理模式设为「最佳电源」。")</f>
        <v>5 - 将「低延迟模式」设为「超高」，电源管理模式设为「最佳电源」。</v>
      </c>
      <c r="I6" s="432" t="s">
        <v>7079</v>
      </c>
      <c r="J6" s="432" t="s">
        <v>7080</v>
      </c>
      <c r="K6" s="433" t="s">
        <v>7081</v>
      </c>
      <c r="L6" s="433" t="s">
        <v>7082</v>
      </c>
      <c r="M6" s="135"/>
      <c r="N6" s="135"/>
      <c r="O6" s="135"/>
      <c r="P6" s="135"/>
      <c r="Q6" s="135"/>
      <c r="R6" s="135"/>
      <c r="S6" s="135"/>
      <c r="T6" s="135"/>
      <c r="U6" s="135"/>
      <c r="V6" s="135"/>
      <c r="W6" s="135"/>
    </row>
    <row r="7">
      <c r="A7" s="430" t="s">
        <v>7083</v>
      </c>
      <c r="B7" s="430" t="s">
        <v>7084</v>
      </c>
      <c r="C7" s="106" t="s">
        <v>7085</v>
      </c>
      <c r="D7" s="106" t="str">
        <f>IFERROR(__xludf.DUMMYFUNCTION("GOOGLETRANSLATE(B7,""zh-tw"",""ja"")"),"6-「垂直同期」を「高速」に設定します。")</f>
        <v>6-「垂直同期」を「高速」に設定します。</v>
      </c>
      <c r="E7" s="445" t="s">
        <v>7086</v>
      </c>
      <c r="F7" s="214" t="str">
        <f>IFERROR(__xludf.DUMMYFUNCTION("GOOGLETRANSLATE(B7,""zh-tw"",""en"")"),"6- Set ""Vertical Sync"" to ""Fast"".")</f>
        <v>6- Set "Vertical Sync" to "Fast".</v>
      </c>
      <c r="G7" s="446" t="s">
        <v>7087</v>
      </c>
      <c r="H7" s="431" t="str">
        <f>IFERROR(__xludf.DUMMYFUNCTION("GOOGLETRANSLATE(B7,""zh-tw"",""zh"")"),"6- 将「垂直同步」设为「快速」。")</f>
        <v>6- 将「垂直同步」设为「快速」。</v>
      </c>
      <c r="I7" s="432" t="s">
        <v>7088</v>
      </c>
      <c r="J7" s="432" t="s">
        <v>7089</v>
      </c>
      <c r="K7" s="433" t="s">
        <v>7090</v>
      </c>
      <c r="L7" s="433" t="s">
        <v>7091</v>
      </c>
      <c r="M7" s="135"/>
      <c r="N7" s="135"/>
      <c r="O7" s="135"/>
      <c r="P7" s="135"/>
      <c r="Q7" s="135"/>
      <c r="R7" s="135"/>
      <c r="S7" s="135"/>
      <c r="T7" s="135"/>
      <c r="U7" s="135"/>
      <c r="V7" s="135"/>
      <c r="W7" s="135"/>
    </row>
    <row r="8">
      <c r="A8" s="430" t="s">
        <v>7092</v>
      </c>
      <c r="B8" s="430" t="s">
        <v>7093</v>
      </c>
      <c r="C8" s="106" t="s">
        <v>7094</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7095</v>
      </c>
      <c r="F8" s="214" t="str">
        <f>IFERROR(__xludf.DUMMYFUNCTION("GOOGLETRANSLATE(B8,""zh-tw"",""en"")"),"7 - If your computer cannot handle these options, please choose the best option.")</f>
        <v>7 - If your computer cannot handle these options, please choose the best option.</v>
      </c>
      <c r="G8" s="446" t="s">
        <v>7096</v>
      </c>
      <c r="H8" s="431" t="str">
        <f>IFERROR(__xludf.DUMMYFUNCTION("GOOGLETRANSLATE(B8,""zh-tw"",""zh"")"),"7 - 如果你的电脑无法负荷这些选项，请依照最佳的选项即可。")</f>
        <v>7 - 如果你的电脑无法负荷这些选项，请依照最佳的选项即可。</v>
      </c>
      <c r="I8" s="432" t="s">
        <v>7097</v>
      </c>
      <c r="J8" s="432" t="s">
        <v>7098</v>
      </c>
      <c r="K8" s="433" t="s">
        <v>7099</v>
      </c>
      <c r="L8" s="433" t="s">
        <v>7100</v>
      </c>
      <c r="M8" s="135"/>
      <c r="N8" s="135"/>
      <c r="O8" s="135"/>
      <c r="P8" s="135"/>
      <c r="Q8" s="135"/>
      <c r="R8" s="135"/>
      <c r="S8" s="135"/>
      <c r="T8" s="135"/>
      <c r="U8" s="135"/>
      <c r="V8" s="135"/>
      <c r="W8" s="135"/>
    </row>
    <row r="9">
      <c r="A9" s="430" t="s">
        <v>7101</v>
      </c>
      <c r="B9" s="430" t="s">
        <v>7102</v>
      </c>
      <c r="C9" s="106" t="s">
        <v>7103</v>
      </c>
      <c r="D9" s="106" t="str">
        <f>IFERROR(__xludf.DUMMYFUNCTION("GOOGLETRANSLATE(B9,""zh-tw"",""ja"")"),"8- ゲームを起動すると、その優れた安定性を体験できます。")</f>
        <v>8- ゲームを起動すると、その優れた安定性を体験できます。</v>
      </c>
      <c r="E9" s="445" t="s">
        <v>7104</v>
      </c>
      <c r="F9" s="214" t="str">
        <f>IFERROR(__xludf.DUMMYFUNCTION("GOOGLETRANSLATE(B9,""zh-tw"",""en"")"),"8- Now, launch the game and you will experience its excellent stability.")</f>
        <v>8- Now, launch the game and you will experience its excellent stability.</v>
      </c>
      <c r="G9" s="446" t="s">
        <v>7105</v>
      </c>
      <c r="H9" s="431" t="str">
        <f>IFERROR(__xludf.DUMMYFUNCTION("GOOGLETRANSLATE(B9,""zh-tw"",""zh"")"),"8- 现在，将游戏启动，你能体验到良好的稳定性能。")</f>
        <v>8- 现在，将游戏启动，你能体验到良好的稳定性能。</v>
      </c>
      <c r="I9" s="432" t="s">
        <v>7106</v>
      </c>
      <c r="J9" s="432" t="s">
        <v>7107</v>
      </c>
      <c r="K9" s="433" t="s">
        <v>7108</v>
      </c>
      <c r="L9" s="433" t="s">
        <v>7109</v>
      </c>
      <c r="M9" s="135"/>
      <c r="N9" s="135"/>
      <c r="O9" s="135"/>
      <c r="P9" s="135"/>
      <c r="Q9" s="135"/>
      <c r="R9" s="135"/>
      <c r="S9" s="135"/>
      <c r="T9" s="135"/>
      <c r="U9" s="135"/>
      <c r="V9" s="135"/>
      <c r="W9" s="135"/>
    </row>
    <row r="10">
      <c r="A10" s="430"/>
      <c r="B10" s="447" t="s">
        <v>7110</v>
      </c>
      <c r="C10" s="448"/>
      <c r="D10" s="449" t="s">
        <v>7111</v>
      </c>
      <c r="E10" s="450"/>
      <c r="F10" s="451" t="s">
        <v>7025</v>
      </c>
      <c r="G10" s="431"/>
      <c r="H10" s="452" t="s">
        <v>7112</v>
      </c>
      <c r="I10" s="453"/>
      <c r="J10" s="454" t="s">
        <v>7027</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