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<sst xmlns="http://schemas.openxmlformats.org/spreadsheetml/2006/main" count="8511" uniqueCount="7112">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</sst>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mục này không thể mở các liên kết ngoài như liên kết trang web/bản đồ, người chơi cần mục này nên sử dụng trang web thông thường để truy cập hướng dẫn này nhằm sử dụng đúng các chức năng liên kết khác"&amp;" nhau.
(Ở một số khu vực, vẫn có thể cần VPN để truy cập chính xác).")</f>
        <v>Về mục chiến lược trong trò chơi "Mẹo Phiêu lưu", vì mục này không thể mở các liên kết ngoài như liên kết trang web/bản đồ, người chơi cần mục này nên sử dụng trang web thông thường để truy cập hướng dẫn này nhằm sử dụng đúng các chức năng liên kết khác nhau.
(Ở một số khu vực, vẫn có thể cần VPN để truy cập chính xác).</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또"&amp;"는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z"&amp;"Nagato, AndyJango
독일어 번역: Gabriel
러시아어 번역: Libeti
한국어 번역: maltesey
베트남어 번역: IntenseLag, Nian Sprout
데이터 수집 지원: Luo Ran
")</f>
        <v>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IFERROR(__xludf.DUMMYFUNCTION("GOOGLETRANSLATE(B17,""zh-tw"",""KO"")"),"매콤한 요리 만들기")</f>
        <v>매콤한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""섹스하고 싶어""")</f>
        <v>어디 보자... -4
"섹스하고 싶어"</v>
      </c>
      <c r="W60" s="89" t="str">
        <f>IFERROR(__xludf.DUMMYFUNCTION("GOOGLETRANSLATE(C60,""zh-tw"",""KO"")"),"위와 같이 보라색 하트가 1개 이상, 빨간색 하트가 2개 이상 있으면 이벤트가 발생합니다.")</f>
        <v>위와 같이 보라색 하트가 1개 이상, 빨간색 하트가 2개 이상 있으면 이벤트가 발생합니다.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IFERROR(__xludf.DUMMYFUNCTION("GOOGLETRANSLATE(D78,""zh-tw"",""es-MX"")"),"El segundo segmento de la actuación de la escena de las medias")</f>
        <v>El segundo segmento de la actuación de la escena de las medias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IFERROR(__xludf.DUMMYFUNCTION("GOOGLETRANSLATE(D78,""zh-tw"",""KO"")"),"스타킹 신 퍼포먼스의 두 번째 부분")</f>
        <v>스타킹 신 퍼포먼스의 두 번째 부분</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대화하면서...")</f>
        <v>누디스트 교육을 받은 후 여동생과 대화하면서...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(например"&amp;", использование карт Таро или навыков, присущих самому оружию).")</f>
        <v>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paso a paso?")</f>
        <v>¿Dónde puedo encontrar la guía paso a paso?</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IFERROR(__xludf.DUMMYFUNCTION("GOOGLETRANSLATE(B8,""zh-tw"",""KO"")"),"연습문제는 어디서 볼 수 있나요?")</f>
        <v>연습문제는 어디서 볼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есть скрытый предмет.")</f>
        <v>В правом нижнем углу леса «Руины леса-4» есть скрытый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""Panecillo al vapor súper suave y masticable"".")</f>
        <v>Compra este producto y recibe el artículo "Panecillo al vapor súper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воскрешающее перо), чтобы добраться до новой карты.")</f>
        <v>В Забытой Гробнице-2 спуститесь к входу (принесите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шахте-4, над центральной лестницей, находится светящаяся точка.")</f>
        <v>В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podrían incluso generar aversión.")</f>
        <v>No hubo reacción alguna, y las repeticiones podrían incluso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las conversaciones.")</f>
        <v>CTRL puede acelerar las conversaciones.</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이제 현자가 되어 생각에 잠겨 있었습니다...")</f>
        <v>형은 이제 현자가 되어 생각에 잠겨 있었습니다...</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3"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die Position mit jedem Gegner, den sie berührt.")</f>
        <v>Die Ehwaz-Rune tauscht nach dem Werfen die Position mit jedem Gegner, den sie berührt.</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kann aber an der üblichen Haltung der jüngeren Schwester abgeschätzt werden.")</f>
        <v>Die Stimmungsbewertung (0~100) ist nicht sichtbar, kann aber an der üblichen Haltung der jüngeren Schwester abgeschätzt werden.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«Eliminación de Olores» se puede dominar acercándose sigilosamente a los enemigos o bailando en el baño. El nivel de maestría no se muestra; consulta el nivel de la habilidad directamente.")</f>
        <v>La habilidad «Eliminación de Olores» se puede dominar acercándose sigilosamente a los enemigos o bailando en el baño. El nivel de maestría no se muestra; consulta el nivel de la habilidad directamente.</v>
      </c>
      <c r="F73" s="213" t="str">
        <f>IFERROR(__xludf.DUMMYFUNCTION("GOOGLETRANSLATE(A73,""zh-tw"",""KO"")"),"""냄새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3" s="55" t="str">
        <f>IFERROR(__xludf.DUMMYFUNCTION("GOOGLETRANSLATE(A73,""zh-tw"",""ru"")"),"Навык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가능성이 있습니다.")</f>
        <v>마찬가지로, 엘리트 음료 자동판매기도 등장할 가능성이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mantener pulsado el marco del avatar mostrará un cuadro de entrada de código de trucos.")</f>
        <v>En la versión para Android, en el modo RPG, mantener pulsado el marco del avatar mostrará un cuadro de entrada de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puede esquivar todos los ataques. Al girar, puede desviar la mayoría de los proyectiles. Buscará la oportunidad de embestir y desatar un ataque devastador que mata al jugador al instante"&amp;". Si ASABA te muerde, consumirá tus reservas de comida para recuperar salud; si come comida venenosa, se envenenará.")</f>
        <v>Respecto a "ASABA Desenfrenada": Al saltar de izquierda a derecha, puede esquivar todos los ataques. Al girar, puede desviar la mayoría de los proyectiles. Buscará la oportunidad de embestir y desatar un ataque devastador que mata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otorgará ningún beneficio; solo pu"&amp;"edes esperar a que se enfríe naturalmente.
6. La durabilidad de la forja no superará la durabilidad inicial original del arma. Limitado a:
7. La forja solo se puede usar en tierra.
8. Durante la forja, el arma se recuperará al morir el protagonista; al"&amp;" cambiar de mapa, es necesario regresar al mapa original; no se recuperará inmediatamente al resucitar.
9. Actualmente, no hay un diseño para múltiples Gólems de Hierro.
10. Cuando un arma alcanza una temperatura alta, recuperarla y reforjarla inmediata"&amp;"mente ignora el tiempo de reutilización de la temperatura roja.
11. El martillo de forja se puede usar junto con bonificaciones de armas como Garra de Gato y Amplificación de Arma para potenciar el efecto de la forja.
12. Cuanto mayor sea el poder de at"&amp;"aque del personaje, mayor será el efecto de la forja.
13. El Gólem de Hierro no se puede invocar cuando el personaje está desarmado.
14. En el futuro, será posible pulir las armas para mejorar sus efectos o añadir otros objetos que no sean armas. ¡Manté"&amp;"nganse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otorgará ningún beneficio; solo puedes esperar a que se enfríe naturalmente.
6. La durabilidad de la forja no superará la durabilidad inicial original del arma. Limitado a:
7. La forja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provocar una explosión de polvo.")</f>
        <v>Cuando la niebla venenosa se encuentra con un ataque de atributo fuego, puede provocar una explosión de polvo.</v>
      </c>
      <c r="F110" s="213" t="str">
        <f>IFERROR(__xludf.DUMMYFUNCTION("GOOGLETRANSLATE(A110,""zh-tw"",""KO"")"),"독성 안개가 화염 속성의 공격을 받으면 먼지 폭발이 발생할 수 있습니다.")</f>
        <v>독성 안개가 화염 속성의 공격을 받으면 먼지 폭발이 발생할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botín)
(Actualmente no hay criaturas enemigas ni jefe)")</f>
        <v>Usa bombas para hacer estallar la superficie del agua.
(Máximo un conjunto de botín)
(Actualmente no hay criaturas enemigas ni jefe)</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IFERROR(__xludf.DUMMYFUNCTION("GOOGLETRANSLATE(C45,""zh-tw"",""es-MX"")"),"Asaba Doro comerá las fresas que encuentre al borde del camino.")</f>
        <v>Asaba Doro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IFERROR(__xludf.DUMMYFUNCTION("GOOGLETRANSLATE(C45,""zh-tw"",""KO"")"),"아사바 도로는 길가에서 딸기를 먹습니다.")</f>
        <v>아사바 도로는 길가에서 딸기를 먹습니다.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IFERROR(__xludf.DUMMYFUNCTION("GOOGLETRANSLATE(C45,""zh-tw"",""ru"")"),"Асаба Доро будет есть клубнику у дороги.")</f>
        <v>Асаба Доро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los HP máximos.")</f>
        <v>Ataque físico: 2. El poder de ataque aumenta según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IFERROR(__xludf.DUMMYFUNCTION("GOOGLETRANSLATE(B8,""zh-tw"",""ja"")"),"物理攻撃力：30（特定条件を満たすと2倍）")</f>
        <v>物理攻撃力：30（特定条件を満たすと2倍）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IFERROR(__xludf.DUMMYFUNCTION("GOOGLETRANSLATE(B13,""zh-tw"",""ja"")"),"物理攻撃力：32
魔法攻撃力：16
火属性")</f>
        <v>物理攻撃力：32
魔法攻撃力：16
火属性</v>
      </c>
      <c r="E13" s="334" t="s">
        <v>4514</v>
      </c>
      <c r="F13" s="317" t="s">
        <v>4515</v>
      </c>
      <c r="G13" s="334" t="str">
        <f>IFERROR(__xludf.DUMMYFUNCTION("GOOGLETRANSLATE(A13,""zh-tw"",""zh"")"),"阳炎")</f>
        <v>阳炎</v>
      </c>
      <c r="H13" s="317" t="str">
        <f>IFERROR(__xludf.DUMMYFUNCTION("GOOGLETRANSLATE(B13,""zh-tw"",""zh"")"),"物攻：32
魔攻：16
炎属性")</f>
        <v>物攻：32
魔攻：16
炎属性</v>
      </c>
      <c r="I13" s="335" t="str">
        <f>IFERROR(__xludf.DUMMYFUNCTION("GOOGLETRANSLATE(A13,""zh-tw"",""es-MX"")"),"kagerou")</f>
        <v>kagerou</v>
      </c>
      <c r="J13" s="162" t="str">
        <f>IFERROR(__xludf.DUMMYFUNCTION("GOOGLETRANSLATE(B13,""zh-tw"",""es-MX"")"),"Ataque físico: 32
Ataque mágico: 16
Atributo de fuego")</f>
        <v>Ataque físico: 32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32
Магическая атака: 16
Атрибут огня")</f>
        <v>Физическая атака: 32
Магическая атака: 16
Атрибут огня</v>
      </c>
      <c r="O13" s="334" t="s">
        <v>4518</v>
      </c>
      <c r="P13" s="317" t="s">
        <v>4519</v>
      </c>
      <c r="Q13" s="337" t="s">
        <v>4520</v>
      </c>
      <c r="R13" s="338"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IFERROR(__xludf.DUMMYFUNCTION("GOOGLETRANSLATE(A15,""zh-tw"",""ja"")"),"漏電の可能性がある欠陥製品")</f>
        <v>漏電の可能性がある欠陥製品</v>
      </c>
      <c r="D15" s="317" t="str">
        <f>IFERROR(__xludf.DUMMYFUNCTION("GOOGLETRANSLATE(B15,""zh-tw"",""ja"")"),"物理攻撃力：32
魔法攻撃力：12
電撃属性")</f>
        <v>物理攻撃力：32
魔法攻撃力：12
電撃属性</v>
      </c>
      <c r="E15" s="334" t="s">
        <v>4534</v>
      </c>
      <c r="F15" s="317" t="s">
        <v>4535</v>
      </c>
      <c r="G15" s="334" t="str">
        <f>IFERROR(__xludf.DUMMYFUNCTION("GOOGLETRANSLATE(A15,""zh-tw"",""zh"")"),"会漏电的不良品")</f>
        <v>会漏电的不良品</v>
      </c>
      <c r="H15" s="317" t="str">
        <f>IFERROR(__xludf.DUMMYFUNCTION("GOOGLETRANSLATE(B15,""zh-tw"",""zh"")"),"物攻：32
魔攻：12
电属性")</f>
        <v>物攻：32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32
Ataque mágico: 12
Atributo eléctrico")</f>
        <v>Ataque físico: 32
Ataque mágico: 12
Atributo eléctrico</v>
      </c>
      <c r="K15" s="333" t="s">
        <v>4536</v>
      </c>
      <c r="L15" s="162" t="str">
        <f>IFERROR(__xludf.DUMMYFUNCTION("GOOGLETRANSLATE(B15,""zh-tw"",""KO"")"),"물리 공격력: 32
마법 공격력: 12
전기 속성")</f>
        <v>물리 공격력: 32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4" t="s">
        <v>4537</v>
      </c>
      <c r="P15" s="317" t="s">
        <v>4538</v>
      </c>
      <c r="Q15" s="337" t="s">
        <v>4539</v>
      </c>
      <c r="R15" s="338"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IFERROR(__xludf.DUMMYFUNCTION("GOOGLETRANSLATE(B17,""zh-tw"",""ja"")"),"物理攻撃：42 分割攻撃")</f>
        <v>物理攻撃：42 分割攻撃</v>
      </c>
      <c r="E17" s="333" t="s">
        <v>4554</v>
      </c>
      <c r="F17" s="161" t="s">
        <v>4555</v>
      </c>
      <c r="G17" s="334" t="str">
        <f>IFERROR(__xludf.DUMMYFUNCTION("GOOGLETRANSLATE(A17,""zh-tw"",""zh"")"),"柳叶刀")</f>
        <v>柳叶刀</v>
      </c>
      <c r="H17" s="317" t="str">
        <f>IFERROR(__xludf.DUMMYFUNCTION("GOOGLETRANSLATE(B17,""zh-tw"",""zh"")"),"物攻：42
分裂攻击")</f>
        <v>物攻：42
分裂攻击</v>
      </c>
      <c r="I17" s="335" t="str">
        <f>IFERROR(__xludf.DUMMYFUNCTION("GOOGLETRANSLATE(A17,""zh-tw"",""es-MX"")"),"Lanceta")</f>
        <v>Lanceta</v>
      </c>
      <c r="J17" s="162" t="str">
        <f>IFERROR(__xludf.DUMMYFUNCTION("GOOGLETRANSLATE(B17,""zh-tw"",""es-MX"")"),"Ataque físico: 42 Ataque dividido")</f>
        <v>Ataque físico: 42 Ataque dividido</v>
      </c>
      <c r="K17" s="335" t="str">
        <f>IFERROR(__xludf.DUMMYFUNCTION("GOOGLETRANSLATE(A17,""zh-tw"",""KO"")"),"랜싯")</f>
        <v>랜싯</v>
      </c>
      <c r="L17" s="162" t="str">
        <f>IFERROR(__xludf.DUMMYFUNCTION("GOOGLETRANSLATE(B17,""zh-tw"",""KO"")"),"물리 공격: 42 분할 공격")</f>
        <v>물리 공격: 42 분할 공격</v>
      </c>
      <c r="M17" s="336" t="str">
        <f>IFERROR(__xludf.DUMMYFUNCTION("GOOGLETRANSLATE(A17,""zh-tw"",""ru"")"),"Ланцет")</f>
        <v>Ланцет</v>
      </c>
      <c r="N17" s="315" t="str">
        <f>IFERROR(__xludf.DUMMYFUNCTION("GOOGLETRANSLATE(B17,""zh-tw"",""ru"")"),"Физическая атака: 42-я раздельная атака")</f>
        <v>Физическая атака: 42-я раздельная атака</v>
      </c>
      <c r="O17" s="334" t="s">
        <v>4556</v>
      </c>
      <c r="P17" s="317" t="s">
        <v>4557</v>
      </c>
      <c r="Q17" s="337" t="s">
        <v>4558</v>
      </c>
      <c r="R17" s="338"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IFERROR(__xludf.DUMMYFUNCTION("GOOGLETRANSLATE(B19,""zh-tw"",""ja"")"),"物理攻撃力：1（累積ダメージ型武器）")</f>
        <v>物理攻撃力：1（累積ダメージ型武器）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(Daño acumulativo tipo arma)")</f>
        <v>Ataque físico: 1 (Daño acumulativo tipo arma)</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322" t="s">
        <v>4630</v>
      </c>
      <c r="C25" s="339" t="s">
        <v>4631</v>
      </c>
      <c r="D25" s="322" t="s">
        <v>4632</v>
      </c>
      <c r="E25" s="339" t="s">
        <v>4633</v>
      </c>
      <c r="F25" s="322" t="s">
        <v>4634</v>
      </c>
      <c r="G25" s="334" t="str">
        <f>IFERROR(__xludf.DUMMYFUNCTION("GOOGLETRANSLATE(A25,""zh-tw"",""zh"")"),"血狩")</f>
        <v>血狩</v>
      </c>
      <c r="H25" s="317"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322" t="s">
        <v>4636</v>
      </c>
      <c r="Q25" s="337" t="s">
        <v>4637</v>
      </c>
      <c r="R25" s="338"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IFERROR(__xludf.DUMMYFUNCTION("GOOGLETRANSLATE(B28,""zh-tw"",""ja"")"),"物理攻撃力: 20")</f>
        <v>物理攻撃力: 20</v>
      </c>
      <c r="E28" s="334" t="s">
        <v>4661</v>
      </c>
      <c r="F28" s="317" t="s">
        <v>4662</v>
      </c>
      <c r="G28" s="334" t="str">
        <f>IFERROR(__xludf.DUMMYFUNCTION("GOOGLETRANSLATE(A28,""zh-tw"",""zh"")"),"木弓")</f>
        <v>木弓</v>
      </c>
      <c r="H28" s="317" t="str">
        <f>IFERROR(__xludf.DUMMYFUNCTION("GOOGLETRANSLATE(B28,""zh-tw"",""zh"")"),"物攻：20")</f>
        <v>物攻：20</v>
      </c>
      <c r="I28" s="335" t="str">
        <f>IFERROR(__xludf.DUMMYFUNCTION("GOOGLETRANSLATE(A28,""zh-tw"",""es-MX"")"),"arco de madera")</f>
        <v>arco de madera</v>
      </c>
      <c r="J28" s="162" t="str">
        <f>IFERROR(__xludf.DUMMYFUNCTION("GOOGLETRANSLATE(B28,""zh-tw"",""es-MX"")"),"Ataque físico: 20")</f>
        <v>Ataque físico: 20</v>
      </c>
      <c r="K28" s="335" t="str">
        <f>IFERROR(__xludf.DUMMYFUNCTION("GOOGLETRANSLATE(A28,""zh-tw"",""KO"")"),"나무 활")</f>
        <v>나무 활</v>
      </c>
      <c r="L28" s="162" t="str">
        <f>IFERROR(__xludf.DUMMYFUNCTION("GOOGLETRANSLATE(B28,""zh-tw"",""KO"")"),"물리 공격력: 20")</f>
        <v>물리 공격력: 20</v>
      </c>
      <c r="M28" s="336" t="str">
        <f>IFERROR(__xludf.DUMMYFUNCTION("GOOGLETRANSLATE(A28,""zh-tw"",""ru"")"),"деревянный лук")</f>
        <v>деревянный лук</v>
      </c>
      <c r="N28" s="315" t="str">
        <f>IFERROR(__xludf.DUMMYFUNCTION("GOOGLETRANSLATE(B28,""zh-tw"",""ru"")"),"Физическая атака: 20")</f>
        <v>Физическая атака: 20</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Проникновение")</f>
        <v>Физическая атака: 24 Проникновение</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魔法攻撃力：86
火属性")</f>
        <v>物理攻撃力：1
魔法攻撃力：86
火属性</v>
      </c>
      <c r="E34" s="334" t="s">
        <v>4295</v>
      </c>
      <c r="F34" s="317" t="s">
        <v>4711</v>
      </c>
      <c r="G34" s="334" t="str">
        <f>IFERROR(__xludf.DUMMYFUNCTION("GOOGLETRANSLATE(A34,""zh-tw"",""zh"")"),"熔岩杖")</f>
        <v>熔岩杖</v>
      </c>
      <c r="H34" s="317" t="str">
        <f>IFERROR(__xludf.DUMMYFUNCTION("GOOGLETRANSLATE(B34,""zh-tw"",""zh"")"),"物攻：1
魔攻：86
炎属性")</f>
        <v>物攻：1
魔攻：86
炎属性</v>
      </c>
      <c r="I34" s="335" t="str">
        <f>IFERROR(__xludf.DUMMYFUNCTION("GOOGLETRANSLATE(A34,""zh-tw"",""es-MX"")"),"Bastón de lava")</f>
        <v>Bastón de lava</v>
      </c>
      <c r="J34" s="162" t="str">
        <f>IFERROR(__xludf.DUMMYFUNCTION("GOOGLETRANSLATE(B34,""zh-tw"",""es-MX"")"),"Ataque físico: 1
Ataque mágico: 86
Atributo de fuego")</f>
        <v>Ataque físico: 1
Ataque mágico: 86
Atributo de fuego</v>
      </c>
      <c r="K34" s="335" t="str">
        <f>IFERROR(__xludf.DUMMYFUNCTION("GOOGLETRANSLATE(A34,""zh-tw"",""KO"")"),"라바 스태프")</f>
        <v>라바 스태프</v>
      </c>
      <c r="L34" s="162" t="str">
        <f>IFERROR(__xludf.DUMMYFUNCTION("GOOGLETRANSLATE(B34,""zh-tw"",""KO"")"),"물리 공격력: 1
마법 공격력: 86
화속성")</f>
        <v>물리 공격력: 1
마법 공격력: 86
화속성</v>
      </c>
      <c r="M34" s="336" t="str">
        <f>IFERROR(__xludf.DUMMYFUNCTION("GOOGLETRANSLATE(A34,""zh-tw"",""ru"")"),"Лавовый посох")</f>
        <v>Лавовый посох</v>
      </c>
      <c r="N34" s="315" t="str">
        <f>IFERROR(__xludf.DUMMYFUNCTION("GOOGLETRANSLATE(B34,""zh-tw"",""ru"")"),"Физическая атака: 1
Магическая атака: 86
Атрибут огня")</f>
        <v>Физическая атака: 1
Магическая атака: 86
Атрибут огня</v>
      </c>
      <c r="O34" s="334" t="s">
        <v>4298</v>
      </c>
      <c r="P34" s="317" t="s">
        <v>4712</v>
      </c>
      <c r="Q34" s="337" t="s">
        <v>4713</v>
      </c>
      <c r="R34" s="338" t="s">
        <v>4714</v>
      </c>
      <c r="S34" s="205"/>
      <c r="T34" s="205"/>
    </row>
    <row r="35">
      <c r="A35" s="334" t="s">
        <v>4715</v>
      </c>
      <c r="B35" s="317" t="s">
        <v>4716</v>
      </c>
      <c r="C35" s="334" t="s">
        <v>4717</v>
      </c>
      <c r="D35" s="317" t="str">
        <f>IFERROR(__xludf.DUMMYFUNCTION("GOOGLETRANSLATE(B35,""zh-tw"",""ja"")"),"物理攻撃: 1 魔法攻撃: 55 氷属性")</f>
        <v>物理攻撃: 1 魔法攻撃: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Sujetar al objetivo")</f>
        <v>Ataque físico: 15 Sujetar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2"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8"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8"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8"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IFERROR(__xludf.DUMMYFUNCTION("GOOGLETRANSLATE(B7,""zh-tw"",""ja"")"),"物理防御：出血防御1")</f>
        <v>物理防御：出血防御1</v>
      </c>
      <c r="E7" s="333" t="s">
        <v>4878</v>
      </c>
      <c r="F7" s="161" t="s">
        <v>4879</v>
      </c>
      <c r="G7" s="335" t="str">
        <f>IFERROR(__xludf.DUMMYFUNCTION("GOOGLETRANSLATE(A7,""zh-tw"",""zh"")"),"厕纸")</f>
        <v>厕纸</v>
      </c>
      <c r="H7" s="162" t="str">
        <f>IFERROR(__xludf.DUMMYFUNCTION("GOOGLETRANSLATE(B7,""zh-tw"",""zh"")"),"物防：1
出血防御")</f>
        <v>物防：1
出血防御</v>
      </c>
      <c r="I7" s="335" t="str">
        <f>IFERROR(__xludf.DUMMYFUNCTION("GOOGLETRANSLATE(A7,""zh-tw"",""es-MX"")"),"papel higiénico")</f>
        <v>papel higiénico</v>
      </c>
      <c r="J7" s="162" t="str">
        <f>IFERROR(__xludf.DUMMYFUNCTION("GOOGLETRANSLATE(B7,""zh-tw"",""es-MX"")"),"Defensa física: 1 Defensa contra sangrado")</f>
        <v>Defensa física: 1 Defensa contra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Защита от кровотечения")</f>
        <v>Физическая защита: 1 Защита от кровотечения</v>
      </c>
      <c r="O7" s="334" t="s">
        <v>4881</v>
      </c>
      <c r="P7" s="317" t="s">
        <v>4882</v>
      </c>
      <c r="Q7" s="337" t="s">
        <v>4883</v>
      </c>
      <c r="R7" s="338"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IFERROR(__xludf.DUMMYFUNCTION("GOOGLETRANSLATE(B9,""zh-tw"",""ja"")"),"物理攻撃：5。攻撃速度と移動速度が向上します。")</f>
        <v>物理攻撃：5。攻撃速度と移動速度が向上します。</v>
      </c>
      <c r="E9" s="333" t="s">
        <v>4901</v>
      </c>
      <c r="F9" s="161" t="s">
        <v>4902</v>
      </c>
      <c r="G9" s="335" t="str">
        <f>IFERROR(__xludf.DUMMYFUNCTION("GOOGLETRANSLATE(A9,""zh-tw"",""zh"")"),"借来的猫爪")</f>
        <v>借来的猫爪</v>
      </c>
      <c r="H9" s="162" t="str">
        <f>IFERROR(__xludf.DUMMYFUNCTION("GOOGLETRANSLATE(B9,""zh-tw"",""zh"")"),"物攻：5
攻速、移速上升")</f>
        <v>物攻：5
攻速、移速上升</v>
      </c>
      <c r="I9" s="333" t="s">
        <v>4903</v>
      </c>
      <c r="J9" s="162" t="str">
        <f>IFERROR(__xludf.DUMMYFUNCTION("GOOGLETRANSLATE(B9,""zh-tw"",""es-MX"")"),"Ataque físico: 5. Aumenta la velocidad de ataque y la velocidad de movimiento.")</f>
        <v>Ataque físico: 5. Aumenta la velocidad de ataque y la velocidad de movimiento.</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IFERROR(__xludf.DUMMYFUNCTION("GOOGLETRANSLATE(B14,""zh-tw"",""ja"")"),"自動旋回攻撃")</f>
        <v>自動旋回攻撃</v>
      </c>
      <c r="E14" s="333" t="s">
        <v>4952</v>
      </c>
      <c r="F14" s="161" t="s">
        <v>4953</v>
      </c>
      <c r="G14" s="335" t="str">
        <f>IFERROR(__xludf.DUMMYFUNCTION("GOOGLETRANSLATE(A14,""zh-tw"",""zh"")"),"愤怒的拳头")</f>
        <v>愤怒的拳头</v>
      </c>
      <c r="H14" s="162" t="str">
        <f>IFERROR(__xludf.DUMMYFUNCTION("GOOGLETRANSLATE(B14,""zh-tw"",""zh"")"),"自动环绕攻击")</f>
        <v>自动环绕攻击</v>
      </c>
      <c r="I14" s="335" t="str">
        <f>IFERROR(__xludf.DUMMYFUNCTION("GOOGLETRANSLATE(A14,""zh-tw"",""es-MX"")"),"Puño furioso")</f>
        <v>Puño furioso</v>
      </c>
      <c r="J14" s="162" t="str">
        <f>IFERROR(__xludf.DUMMYFUNCTION("GOOGLETRANSLATE(B14,""zh-tw"",""es-MX"")"),"ataque automático en círculo")</f>
        <v>ataque automático en círculo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IFERROR(__xludf.DUMMYFUNCTION("GOOGLETRANSLATE(B14,""zh-tw"",""ru"")"),"Автоматическая круговая атака")</f>
        <v>Автоматическая круговая атака</v>
      </c>
      <c r="O14" s="334" t="s">
        <v>4955</v>
      </c>
      <c r="P14" s="317" t="s">
        <v>4956</v>
      </c>
      <c r="Q14" s="337" t="s">
        <v>4957</v>
      </c>
      <c r="R14" s="338" t="s">
        <v>4958</v>
      </c>
      <c r="S14" s="17"/>
      <c r="T14" s="17"/>
      <c r="U14" s="17"/>
      <c r="V14" s="17"/>
      <c r="W14" s="17"/>
      <c r="X14" s="17"/>
      <c r="Y14" s="17"/>
      <c r="Z14" s="17"/>
    </row>
    <row r="15">
      <c r="A15" s="334" t="s">
        <v>4959</v>
      </c>
      <c r="B15" s="317" t="s">
        <v>4960</v>
      </c>
      <c r="C15" s="346" t="s">
        <v>4961</v>
      </c>
      <c r="D15" s="185" t="s">
        <v>4962</v>
      </c>
      <c r="E15" s="333" t="s">
        <v>4963</v>
      </c>
      <c r="F15" s="161" t="s">
        <v>4964</v>
      </c>
      <c r="G15" s="335" t="str">
        <f>IFERROR(__xludf.DUMMYFUNCTION("GOOGLETRANSLATE(A15,""zh-tw"",""zh"")"),"毒蛇之拥")</f>
        <v>毒蛇之拥</v>
      </c>
      <c r="H15" s="162" t="str">
        <f>IFERROR(__xludf.DUMMYFUNCTION("GOOGLETRANSLATE(B15,""zh-tw"",""zh"")"),"物攻：1
魔攻：1
自动环绕攻击")</f>
        <v>物攻：1
魔攻：1
自动环绕攻击</v>
      </c>
      <c r="I15" s="335" t="str">
        <f>IFERROR(__xludf.DUMMYFUNCTION("GOOGLETRANSLATE(A15,""zh-tw"",""es-MX"")"),"El abrazo de la serpiente")</f>
        <v>El abrazo de la serpiente</v>
      </c>
      <c r="J15" s="162" t="str">
        <f>IFERROR(__xludf.DUMMYFUNCTION("GOOGLETRANSLATE(B15,""zh-tw"",""es-MX"")"),"Ataque físico: 1
Ataque mágico: 1
Ataque circular automático")</f>
        <v>Ataque físico: 1
Ataque mágico: 1
Ataque circular automático</v>
      </c>
      <c r="K15" s="333" t="s">
        <v>4965</v>
      </c>
      <c r="L15" s="161" t="s">
        <v>4966</v>
      </c>
      <c r="M15" s="336" t="str">
        <f>IFERROR(__xludf.DUMMYFUNCTION("GOOGLETRANSLATE(A15,""zh-tw"",""ru"")"),"Объятия Змеи")</f>
        <v>Объятия Змеи</v>
      </c>
      <c r="N15" s="315" t="str">
        <f>IFERROR(__xludf.DUMMYFUNCTION("GOOGLETRANSLATE(B15,""zh-tw"",""ru"")"),"Физическая атака: 1
Магическая атака: 1
Атака с автокругом")</f>
        <v>Физическая атака: 1
Магическая атака: 1
Атака с автокругом</v>
      </c>
      <c r="O15" s="334" t="s">
        <v>4967</v>
      </c>
      <c r="P15" s="317" t="s">
        <v>4968</v>
      </c>
      <c r="Q15" s="337" t="s">
        <v>4969</v>
      </c>
      <c r="R15" s="338" t="s">
        <v>4970</v>
      </c>
      <c r="S15" s="17"/>
      <c r="T15" s="17"/>
      <c r="U15" s="17"/>
      <c r="V15" s="17"/>
      <c r="W15" s="17"/>
      <c r="X15" s="17"/>
      <c r="Y15" s="17"/>
      <c r="Z15" s="17"/>
    </row>
    <row r="16">
      <c r="A16" s="334" t="s">
        <v>4065</v>
      </c>
      <c r="B16" s="317" t="s">
        <v>4971</v>
      </c>
      <c r="C16" s="348" t="str">
        <f>IFERROR(__xludf.DUMMYFUNCTION("GOOGLETRANSLATE(A16,""zh-tw"",""ja"")"),"火の鳥の羽")</f>
        <v>火の鳥の羽</v>
      </c>
      <c r="D16" s="347" t="str">
        <f>IFERROR(__xludf.DUMMYFUNCTION("GOOGLETRANSLATE(B16,""zh-tw"",""ja"")"),"一度復活する")</f>
        <v>一度復活する</v>
      </c>
      <c r="E16" s="333" t="s">
        <v>4070</v>
      </c>
      <c r="F16" s="161" t="s">
        <v>4972</v>
      </c>
      <c r="G16" s="335" t="str">
        <f>IFERROR(__xludf.DUMMYFUNCTION("GOOGLETRANSLATE(A16,""zh-tw"",""zh"")"),"火鸟的羽毛")</f>
        <v>火鸟的羽毛</v>
      </c>
      <c r="H16" s="162" t="str">
        <f>IFERROR(__xludf.DUMMYFUNCTION("GOOGLETRANSLATE(B16,""zh-tw"",""zh"")"),"复活一次")</f>
        <v>复活一次</v>
      </c>
      <c r="I16" s="335" t="str">
        <f>IFERROR(__xludf.DUMMYFUNCTION("GOOGLETRANSLATE(A16,""zh-tw"",""es-MX"")"),"plumas de ave fénix")</f>
        <v>plumas de ave fénix</v>
      </c>
      <c r="J16" s="162" t="str">
        <f>IFERROR(__xludf.DUMMYFUNCTION("GOOGLETRANSLATE(B16,""zh-tw"",""es-MX"")"),"Resucita una vez")</f>
        <v>Resucita una vez</v>
      </c>
      <c r="K16" s="334" t="s">
        <v>4073</v>
      </c>
      <c r="L16" s="161" t="s">
        <v>4973</v>
      </c>
      <c r="M16" s="336" t="str">
        <f>IFERROR(__xludf.DUMMYFUNCTION("GOOGLETRANSLATE(A16,""zh-tw"",""ru"")"),"Перья жар-птицы")</f>
        <v>Перья жар-птицы</v>
      </c>
      <c r="N16" s="315" t="str">
        <f>IFERROR(__xludf.DUMMYFUNCTION("GOOGLETRANSLATE(B16,""zh-tw"",""ru"")"),"Воскресить однажды")</f>
        <v>Воскресить однажды</v>
      </c>
      <c r="O16" s="334" t="s">
        <v>4076</v>
      </c>
      <c r="P16" s="317" t="s">
        <v>4974</v>
      </c>
      <c r="Q16" s="337" t="s">
        <v>4079</v>
      </c>
      <c r="R16" s="338" t="s">
        <v>4975</v>
      </c>
      <c r="S16" s="17"/>
      <c r="T16" s="17"/>
      <c r="U16" s="17"/>
      <c r="V16" s="17"/>
      <c r="W16" s="17"/>
      <c r="X16" s="17"/>
      <c r="Y16" s="17"/>
      <c r="Z16" s="17"/>
    </row>
    <row r="17">
      <c r="A17" s="334" t="s">
        <v>4976</v>
      </c>
      <c r="B17" s="317" t="s">
        <v>4977</v>
      </c>
      <c r="C17" s="346" t="s">
        <v>4978</v>
      </c>
      <c r="D17" s="347" t="str">
        <f>IFERROR(__xludf.DUMMYFUNCTION("GOOGLETRANSLATE(B17,""zh-tw"",""ja"")"),"物理防御力: 2
魔法耐性: 15
落下ダメージ軽減")</f>
        <v>物理防御力: 2
魔法耐性: 15
落下ダメージ軽減</v>
      </c>
      <c r="E17" s="333" t="s">
        <v>4979</v>
      </c>
      <c r="F17" s="161" t="s">
        <v>4980</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4981</v>
      </c>
      <c r="L17" s="161" t="s">
        <v>4982</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4983</v>
      </c>
      <c r="P17" s="317" t="s">
        <v>4984</v>
      </c>
      <c r="Q17" s="337" t="s">
        <v>4985</v>
      </c>
      <c r="R17" s="338" t="s">
        <v>4986</v>
      </c>
      <c r="S17" s="17"/>
      <c r="T17" s="17"/>
      <c r="U17" s="17"/>
      <c r="V17" s="17"/>
      <c r="W17" s="17"/>
      <c r="X17" s="17"/>
      <c r="Y17" s="17"/>
      <c r="Z17" s="17"/>
    </row>
    <row r="18">
      <c r="A18" s="333" t="s">
        <v>4987</v>
      </c>
      <c r="B18" s="161" t="s">
        <v>4988</v>
      </c>
      <c r="C18" s="346" t="s">
        <v>4989</v>
      </c>
      <c r="D18" s="347"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5" t="str">
        <f>IFERROR(__xludf.DUMMYFUNCTION("GOOGLETRANSLATE(A18,""zh-tw"",""en"")"),"Martial Arts Wristguards")</f>
        <v>Martial Arts Wristguards</v>
      </c>
      <c r="F18" s="162" t="str">
        <f>IFERROR(__xludf.DUMMYFUNCTION("GOOGLETRANSLATE(B18,""zh-tw"",""en"")"),"Physical Attack: 3. Reduces weapon durability consumption, increases attack speed and punch damage.")</f>
        <v>Physical Attack: 3. Reduces weapon durability consumption, increases attack speed and punch damage.</v>
      </c>
      <c r="G18" s="335" t="str">
        <f>IFERROR(__xludf.DUMMYFUNCTION("GOOGLETRANSLATE(A18,""zh-tw"",""zh"")"),"武术家护腕")</f>
        <v>武术家护腕</v>
      </c>
      <c r="H18" s="162" t="str">
        <f>IFERROR(__xludf.DUMMYFUNCTION("GOOGLETRANSLATE(B18,""zh-tw"",""zh"")"),"物攻：3
减少武器耐久消耗、提升攻速和拳击的伤害")</f>
        <v>物攻：3
减少武器耐久消耗、提升攻速和拳击的伤害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5" t="str">
        <f>IFERROR(__xludf.DUMMYFUNCTION("GOOGLETRANSLATE(A18,""zh-tw"",""KO"")"),"무술 손목 보호대")</f>
        <v>무술 손목 보호대</v>
      </c>
      <c r="L18" s="162" t="str">
        <f>IFERROR(__xludf.DUMMYFUNCTION("GOOGLETRANSLATE(B18,""zh-tw"",""KO"")"),"물리 공격력: 3. 무기 내구도 소모 감소, 공격 속도 증가, 펀치 데미지 증가.")</f>
        <v>물리 공격력: 3. 무기 내구도 소모 감소, 공격 속도 증가, 펀치 데미지 증가.</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4" t="s">
        <v>4990</v>
      </c>
      <c r="P18" s="317" t="s">
        <v>4991</v>
      </c>
      <c r="Q18" s="337" t="s">
        <v>4992</v>
      </c>
      <c r="R18" s="338" t="s">
        <v>4993</v>
      </c>
      <c r="S18" s="17"/>
      <c r="T18" s="17"/>
      <c r="U18" s="17"/>
      <c r="V18" s="17"/>
      <c r="W18" s="17"/>
      <c r="X18" s="17"/>
      <c r="Y18" s="17"/>
      <c r="Z18" s="17"/>
    </row>
    <row r="19">
      <c r="A19" s="334" t="s">
        <v>4994</v>
      </c>
      <c r="B19" s="317" t="s">
        <v>4995</v>
      </c>
      <c r="C19" s="346" t="s">
        <v>4996</v>
      </c>
      <c r="D19" s="347" t="str">
        <f>IFERROR(__xludf.DUMMYFUNCTION("GOOGLETRANSLATE(B19,""zh-tw"",""ja"")"),"移動速度：5 フラッシュステップ効果強化")</f>
        <v>移動速度：5 フラッシュステップ効果強化</v>
      </c>
      <c r="E19" s="333" t="s">
        <v>4997</v>
      </c>
      <c r="F19" s="161" t="s">
        <v>4998</v>
      </c>
      <c r="G19" s="335" t="str">
        <f>IFERROR(__xludf.DUMMYFUNCTION("GOOGLETRANSLATE(A19,""zh-tw"",""zh"")"),"武术家之鞋")</f>
        <v>武术家之鞋</v>
      </c>
      <c r="H19" s="162" t="str">
        <f>IFERROR(__xludf.DUMMYFUNCTION("GOOGLETRANSLATE(B19,""zh-tw"",""zh"")"),"移速:5
闪步效果强化")</f>
        <v>移速:5
闪步效果强化</v>
      </c>
      <c r="I19" s="335" t="str">
        <f>IFERROR(__xludf.DUMMYFUNCTION("GOOGLETRANSLATE(A19,""zh-tw"",""es-MX"")"),"Zapatos de artista marcial")</f>
        <v>Zapatos de artista marcial</v>
      </c>
      <c r="J19" s="162" t="str">
        <f>IFERROR(__xludf.DUMMYFUNCTION("GOOGLETRANSLATE(B19,""zh-tw"",""es-MX"")"),"Velocidad de movimiento: 5. Efecto de paso relámpago mejorado.")</f>
        <v>Velocidad de movimiento: 5. Efecto de paso relámpago mejorado.</v>
      </c>
      <c r="K19" s="335" t="str">
        <f>IFERROR(__xludf.DUMMYFUNCTION("GOOGLETRANSLATE(A19,""zh-tw"",""KO"")"),"무술가의 신발")</f>
        <v>무술가의 신발</v>
      </c>
      <c r="L19" s="162" t="str">
        <f>IFERROR(__xludf.DUMMYFUNCTION("GOOGLETRANSLATE(B19,""zh-tw"",""KO"")"),"이동 속도: 5 플래시 스텝 효과 강화")</f>
        <v>이동 속도: 5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IFERROR(__xludf.DUMMYFUNCTION("GOOGLETRANSLATE(B19,""zh-tw"",""ru"")"),"Скорость передвижения: 5 шагов, улучшен эффект вспышки")</f>
        <v>Скорость передвижения: 5 шагов, улучшен эффект вспышки</v>
      </c>
      <c r="O19" s="334" t="s">
        <v>4999</v>
      </c>
      <c r="P19" s="317" t="s">
        <v>5000</v>
      </c>
      <c r="Q19" s="337" t="s">
        <v>5001</v>
      </c>
      <c r="R19" s="338" t="s">
        <v>5002</v>
      </c>
      <c r="S19" s="17"/>
      <c r="T19" s="17"/>
      <c r="U19" s="17"/>
      <c r="V19" s="17"/>
      <c r="W19" s="17"/>
      <c r="X19" s="17"/>
      <c r="Y19" s="17"/>
      <c r="Z19" s="17"/>
    </row>
    <row r="20">
      <c r="A20" s="334" t="s">
        <v>5003</v>
      </c>
      <c r="B20" s="317" t="s">
        <v>5004</v>
      </c>
      <c r="C20" s="346" t="s">
        <v>5005</v>
      </c>
      <c r="D20" s="347" t="str">
        <f>IFERROR(__xludf.DUMMYFUNCTION("GOOGLETRANSLATE(B20,""zh-tw"",""ja"")"),"物理防御：1 運：60")</f>
        <v>物理防御：1 運：60</v>
      </c>
      <c r="E20" s="333" t="s">
        <v>5006</v>
      </c>
      <c r="F20" s="161" t="s">
        <v>5007</v>
      </c>
      <c r="G20" s="335" t="str">
        <f>IFERROR(__xludf.DUMMYFUNCTION("GOOGLETRANSLATE(A20,""zh-tw"",""zh"")"),"萌萌兔耳")</f>
        <v>萌萌兔耳</v>
      </c>
      <c r="H20" s="162" t="str">
        <f>IFERROR(__xludf.DUMMYFUNCTION("GOOGLETRANSLATE(B20,""zh-tw"",""zh"")"),"物防：1
幸运：60")</f>
        <v>物防：1
幸运：60</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f>
        <v>물리 방어력: 1 행운: 60</v>
      </c>
      <c r="M20" s="336" t="str">
        <f>IFERROR(__xludf.DUMMYFUNCTION("GOOGLETRANSLATE(A20,""zh-tw"",""ru"")"),"Милые ушки зайчика")</f>
        <v>Милые ушки зайчика</v>
      </c>
      <c r="N20" s="315" t="str">
        <f>IFERROR(__xludf.DUMMYFUNCTION("GOOGLETRANSLATE(B20,""zh-tw"",""ru"")"),"Физическая защита: 1 Удача: 60")</f>
        <v>Физическая защита: 1 Удача: 60</v>
      </c>
      <c r="O20" s="334" t="s">
        <v>5008</v>
      </c>
      <c r="P20" s="317" t="s">
        <v>5009</v>
      </c>
      <c r="Q20" s="337" t="s">
        <v>5010</v>
      </c>
      <c r="R20" s="338" t="s">
        <v>5011</v>
      </c>
      <c r="S20" s="17"/>
      <c r="T20" s="17"/>
      <c r="U20" s="17"/>
      <c r="V20" s="17"/>
      <c r="W20" s="17"/>
      <c r="X20" s="17"/>
      <c r="Y20" s="17"/>
      <c r="Z20" s="17"/>
    </row>
    <row r="21">
      <c r="A21" s="334" t="s">
        <v>5012</v>
      </c>
      <c r="B21" s="317" t="s">
        <v>5013</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5014</v>
      </c>
      <c r="F21" s="161" t="s">
        <v>5015</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5016</v>
      </c>
      <c r="L21" s="161" t="s">
        <v>5017</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5018</v>
      </c>
      <c r="P21" s="317" t="s">
        <v>5019</v>
      </c>
      <c r="Q21" s="337" t="s">
        <v>5020</v>
      </c>
      <c r="R21" s="338" t="s">
        <v>5021</v>
      </c>
      <c r="S21" s="17"/>
      <c r="T21" s="17"/>
      <c r="U21" s="17"/>
      <c r="V21" s="17"/>
      <c r="W21" s="17"/>
      <c r="X21" s="17"/>
      <c r="Y21" s="17"/>
      <c r="Z21" s="17"/>
    </row>
    <row r="22">
      <c r="A22" s="334" t="s">
        <v>5022</v>
      </c>
      <c r="B22" s="317" t="s">
        <v>5023</v>
      </c>
      <c r="C22" s="346" t="s">
        <v>5024</v>
      </c>
      <c r="D22" s="347" t="str">
        <f>IFERROR(__xludf.DUMMYFUNCTION("GOOGLETRANSLATE(B22,""zh-tw"",""ja"")"),"魔法攻撃力：20
魔法耐性：10
スピードキャスト、魔法貫通")</f>
        <v>魔法攻撃力：20
魔法耐性：10
スピードキャスト、魔法貫通</v>
      </c>
      <c r="E22" s="333" t="s">
        <v>5025</v>
      </c>
      <c r="F22" s="161" t="s">
        <v>5026</v>
      </c>
      <c r="G22" s="335" t="str">
        <f>IFERROR(__xludf.DUMMYFUNCTION("GOOGLETRANSLATE(A22,""zh-tw"",""zh"")"),"魔力晶簇")</f>
        <v>魔力晶簇</v>
      </c>
      <c r="H22" s="162" t="str">
        <f>IFERROR(__xludf.DUMMYFUNCTION("GOOGLETRANSLATE(B22,""zh-tw"",""zh"")"),"魔攻：20
魔抗：10
加快吟唱、魔法穿透")</f>
        <v>魔攻：20
魔抗：10
加快吟唱、魔法穿透</v>
      </c>
      <c r="I22" s="335" t="str">
        <f>IFERROR(__xludf.DUMMYFUNCTION("GOOGLETRANSLATE(A22,""zh-tw"",""es-MX"")"),"Racimo de cristales mágicos")</f>
        <v>Racimo de cristales mágicos</v>
      </c>
      <c r="J22" s="162" t="str">
        <f>IFERROR(__xludf.DUMMYFUNCTION("GOOGLETRANSLATE(B22,""zh-tw"",""es-MX"")"),"Ataque mágico: 20
Resistencia mágica: 10
Velocidad de lanzamiento, Penetración mágica")</f>
        <v>Ataque mágico: 20
Resistencia mágica: 10
Velocidad de lanzamiento, Penetración mágica</v>
      </c>
      <c r="K22" s="333" t="s">
        <v>5027</v>
      </c>
      <c r="L22" s="161" t="s">
        <v>5028</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4" t="s">
        <v>5029</v>
      </c>
      <c r="P22" s="317" t="s">
        <v>5030</v>
      </c>
      <c r="Q22" s="337" t="s">
        <v>5031</v>
      </c>
      <c r="R22" s="338" t="s">
        <v>5032</v>
      </c>
      <c r="S22" s="17"/>
      <c r="T22" s="17"/>
      <c r="U22" s="17"/>
      <c r="V22" s="17"/>
      <c r="W22" s="17"/>
      <c r="X22" s="17"/>
      <c r="Y22" s="17"/>
      <c r="Z22" s="17"/>
    </row>
    <row r="23">
      <c r="A23" s="334" t="s">
        <v>5033</v>
      </c>
      <c r="B23" s="317" t="s">
        <v>5034</v>
      </c>
      <c r="C23" s="346" t="s">
        <v>5035</v>
      </c>
      <c r="D23" s="347" t="str">
        <f>IFERROR(__xludf.DUMMYFUNCTION("GOOGLETRANSLATE(B23,""zh-tw"",""ja"")"),"魔法攻撃力: 35
魔法耐性: 20
スピードキャスト、魔法貫通")</f>
        <v>魔法攻撃力: 35
魔法耐性: 20
スピードキャスト、魔法貫通</v>
      </c>
      <c r="E23" s="333" t="s">
        <v>5036</v>
      </c>
      <c r="F23" s="161" t="s">
        <v>5037</v>
      </c>
      <c r="G23" s="335" t="str">
        <f>IFERROR(__xludf.DUMMYFUNCTION("GOOGLETRANSLATE(A23,""zh-tw"",""zh"")"),"深邃魔力晶簇")</f>
        <v>深邃魔力晶簇</v>
      </c>
      <c r="H23" s="162" t="str">
        <f>IFERROR(__xludf.DUMMYFUNCTION("GOOGLETRANSLATE(B23,""zh-tw"",""zh"")"),"魔攻：35
魔抗：20
加快吟唱、魔法穿透")</f>
        <v>魔攻：35
魔抗：20
加快吟唱、魔法穿透</v>
      </c>
      <c r="I23" s="335" t="str">
        <f>IFERROR(__xludf.DUMMYFUNCTION("GOOGLETRANSLATE(A23,""zh-tw"",""es-MX"")"),"Racimo de cristales de magia profunda")</f>
        <v>Racimo de cristales de magia profunda</v>
      </c>
      <c r="J23" s="162" t="str">
        <f>IFERROR(__xludf.DUMMYFUNCTION("GOOGLETRANSLATE(B23,""zh-tw"",""es-MX"")"),"Ataque mágico: 35
Resistencia mágica: 20
Velocidad de lanzamiento, Penetración mágica")</f>
        <v>Ataque mágico: 35
Resistencia mágica: 20
Velocidad de lanzamiento, Penetración mágica</v>
      </c>
      <c r="K23" s="334" t="s">
        <v>5038</v>
      </c>
      <c r="L23" s="161" t="s">
        <v>5039</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4" t="s">
        <v>5040</v>
      </c>
      <c r="P23" s="317" t="s">
        <v>5041</v>
      </c>
      <c r="Q23" s="337" t="s">
        <v>5042</v>
      </c>
      <c r="R23" s="338" t="s">
        <v>5043</v>
      </c>
      <c r="S23" s="17"/>
      <c r="T23" s="17"/>
      <c r="U23" s="17"/>
      <c r="V23" s="17"/>
      <c r="W23" s="17"/>
      <c r="X23" s="17"/>
      <c r="Y23" s="17"/>
      <c r="Z23" s="17"/>
    </row>
    <row r="24">
      <c r="A24" s="334" t="s">
        <v>5044</v>
      </c>
      <c r="B24" s="317" t="s">
        <v>5045</v>
      </c>
      <c r="C24" s="346" t="s">
        <v>5046</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5047</v>
      </c>
      <c r="F24" s="162" t="str">
        <f>IFERROR(__xludf.DUMMYFUNCTION("GOOGLETRANSLATE(B24,""zh-tw"",""en"")"),"Stamina increased from a base of 25, with an additional 2% bonus. Stamina recovery effect increased by 20%.")</f>
        <v>Stamina increased from a base of 25, with an additional 2% bonus. Stamina recovery effect increased by 20%.</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5056</v>
      </c>
      <c r="F25" s="162" t="str">
        <f>IFERROR(__xludf.DUMMYFUNCTION("GOOGLETRANSLATE(B25,""zh-tw"",""en"")"),"Stamina increased, base 30, additional 10% bonus. Gains automatic stamina recovery effect, stamina recovery rate increased by 25%.")</f>
        <v>Stamina increased, base 30, additional 10% bonus. Gains automatic stamina recovery effect, stamina recovery rate increased by 25%.</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5057</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5058</v>
      </c>
      <c r="P25" s="317" t="s">
        <v>5059</v>
      </c>
      <c r="Q25" s="337" t="s">
        <v>5060</v>
      </c>
      <c r="R25" s="338" t="s">
        <v>5061</v>
      </c>
      <c r="S25" s="17"/>
      <c r="T25" s="17"/>
      <c r="U25" s="17"/>
      <c r="V25" s="17"/>
      <c r="W25" s="17"/>
      <c r="X25" s="17"/>
      <c r="Y25" s="17"/>
      <c r="Z25" s="17"/>
    </row>
    <row r="26">
      <c r="A26" s="333" t="s">
        <v>5062</v>
      </c>
      <c r="B26" s="161" t="s">
        <v>5063</v>
      </c>
      <c r="C26" s="346" t="s">
        <v>5064</v>
      </c>
      <c r="D26" s="185" t="s">
        <v>5065</v>
      </c>
      <c r="E26" s="333" t="s">
        <v>5066</v>
      </c>
      <c r="F26" s="161" t="s">
        <v>5067</v>
      </c>
      <c r="G26" s="335" t="str">
        <f>IFERROR(__xludf.DUMMYFUNCTION("GOOGLETRANSLATE(A26,""zh-tw"",""zh"")"),"调皮的杰克")</f>
        <v>调皮的杰克</v>
      </c>
      <c r="H26" s="162" t="str">
        <f>IFERROR(__xludf.DUMMYFUNCTION("GOOGLETRANSLATE(B26,""zh-tw"",""zh"")"),"魔攻：8
魔防：8
增强残血伤害")</f>
        <v>魔攻：8
魔防：8
增强残血伤害</v>
      </c>
      <c r="I26" s="335" t="str">
        <f>IFERROR(__xludf.DUMMYFUNCTION("GOOGLETRANSLATE(A26,""zh-tw"",""es-MX"")"),"Jack el travieso")</f>
        <v>Jack el travieso</v>
      </c>
      <c r="J26" s="162" t="str">
        <f>IFERROR(__xludf.DUMMYFUNCTION("GOOGLETRANSLATE(B26,""zh-tw"",""es-MX"")"),"Ataque mágico: 8
Defensa mágica: 8
Aumenta el daño infligido a enemigos con poca salud.")</f>
        <v>Ataque mágico: 8
Defensa mágica: 8
Aumenta el daño infligido a enemigos con poca salud.</v>
      </c>
      <c r="K26" s="335" t="str">
        <f>IFERROR(__xludf.DUMMYFUNCTION("GOOGLETRANSLATE(A26,""zh-tw"",""KO"")"),"장난꾸러기 잭")</f>
        <v>장난꾸러기 잭</v>
      </c>
      <c r="L26" s="161" t="s">
        <v>5068</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4" t="s">
        <v>5069</v>
      </c>
      <c r="P26" s="317" t="s">
        <v>5070</v>
      </c>
      <c r="Q26" s="337" t="s">
        <v>5071</v>
      </c>
      <c r="R26" s="164" t="s">
        <v>5072</v>
      </c>
      <c r="S26" s="17"/>
      <c r="T26" s="17"/>
      <c r="U26" s="17"/>
      <c r="V26" s="17"/>
      <c r="W26" s="17"/>
      <c r="X26" s="17"/>
      <c r="Y26" s="17"/>
      <c r="Z26" s="17"/>
    </row>
    <row r="27">
      <c r="A27" s="333" t="s">
        <v>5073</v>
      </c>
      <c r="B27" s="161" t="s">
        <v>5074</v>
      </c>
      <c r="C27" s="346" t="s">
        <v>5075</v>
      </c>
      <c r="D27" s="347"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33" t="s">
        <v>5076</v>
      </c>
      <c r="F27" s="161" t="s">
        <v>5077</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5078</v>
      </c>
      <c r="J27" s="162" t="str">
        <f>IFERROR(__xludf.DUMMYFUNCTION("GOOGLETRANSLATE(B27,""zh-tw"",""es-MX"")"),"Suerte: 100 - Duplica la cantidad de dinero que recoges al soltar objetos.
(No se puede combinar con una hucha).")</f>
        <v>Suerte: 100 - Duplica la cantidad de dinero que recoges al soltar objetos.
(No se puede combinar con una hucha).</v>
      </c>
      <c r="K27" s="333" t="s">
        <v>5079</v>
      </c>
      <c r="L27" s="161" t="s">
        <v>5080</v>
      </c>
      <c r="M27" s="336" t="str">
        <f>IFERROR(__xludf.DUMMYFUNCTION("GOOGLETRANSLATE(A27,""zh-tw"",""ru"")"),"Незавершённый Святой Грааль")</f>
        <v>Незавершённый Святой Грааль</v>
      </c>
      <c r="N27" s="315"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34" t="s">
        <v>5081</v>
      </c>
      <c r="P27" s="317" t="s">
        <v>5082</v>
      </c>
      <c r="Q27" s="337" t="s">
        <v>5083</v>
      </c>
      <c r="R27" s="338" t="s">
        <v>5084</v>
      </c>
      <c r="S27" s="17"/>
      <c r="T27" s="17"/>
      <c r="U27" s="17"/>
      <c r="V27" s="17"/>
      <c r="W27" s="17"/>
      <c r="X27" s="17"/>
      <c r="Y27" s="17"/>
      <c r="Z27" s="17"/>
    </row>
    <row r="28">
      <c r="A28" s="333" t="s">
        <v>5085</v>
      </c>
      <c r="B28" s="161" t="s">
        <v>5086</v>
      </c>
      <c r="C28" s="346" t="s">
        <v>5087</v>
      </c>
      <c r="D28" s="347" t="str">
        <f>IFERROR(__xludf.DUMMYFUNCTION("GOOGLETRANSLATE(B28,""zh-tw"",""ja"")"),"追加爆発効果、爆発軽減")</f>
        <v>追加爆発効果、爆発軽減</v>
      </c>
      <c r="E28" s="333" t="s">
        <v>5088</v>
      </c>
      <c r="F28" s="161" t="s">
        <v>5089</v>
      </c>
      <c r="G28" s="335" t="str">
        <f>IFERROR(__xludf.DUMMYFUNCTION("GOOGLETRANSLATE(A28,""zh-tw"",""zh"")"),"炸弹魔之魂")</f>
        <v>炸弹魔之魂</v>
      </c>
      <c r="H28" s="162" t="str">
        <f>IFERROR(__xludf.DUMMYFUNCTION("GOOGLETRANSLATE(B28,""zh-tw"",""zh"")"),"附带爆炸效果、爆炸减免")</f>
        <v>附带爆炸效果、爆炸减免</v>
      </c>
      <c r="I28" s="335" t="str">
        <f>IFERROR(__xludf.DUMMYFUNCTION("GOOGLETRANSLATE(A28,""zh-tw"",""es-MX"")"),"Alma del bombardero")</f>
        <v>Alma del bombardero</v>
      </c>
      <c r="J28" s="162" t="str">
        <f>IFERROR(__xludf.DUMMYFUNCTION("GOOGLETRANSLATE(B28,""zh-tw"",""es-MX"")"),"Efecto de explosión adicional, reducción de explosión")</f>
        <v>Efecto de explosión adicional, reducción de explosión</v>
      </c>
      <c r="K28" s="334" t="s">
        <v>5090</v>
      </c>
      <c r="L28" s="161" t="s">
        <v>5091</v>
      </c>
      <c r="M28" s="336" t="str">
        <f>IFERROR(__xludf.DUMMYFUNCTION("GOOGLETRANSLATE(A28,""zh-tw"",""ru"")"),"Душа бомбардировщика")</f>
        <v>Душа бомбардировщика</v>
      </c>
      <c r="N28" s="315" t="str">
        <f>IFERROR(__xludf.DUMMYFUNCTION("GOOGLETRANSLATE(B28,""zh-tw"",""ru"")"),"Дополнительный эффект взрыва, снижение взрыва")</f>
        <v>Дополнительный эффект взрыва, снижение взрыва</v>
      </c>
      <c r="O28" s="334" t="s">
        <v>5092</v>
      </c>
      <c r="P28" s="317" t="s">
        <v>5093</v>
      </c>
      <c r="Q28" s="337" t="s">
        <v>5094</v>
      </c>
      <c r="R28" s="338" t="s">
        <v>5095</v>
      </c>
      <c r="S28" s="17"/>
      <c r="T28" s="17"/>
      <c r="U28" s="17"/>
      <c r="V28" s="17"/>
      <c r="W28" s="17"/>
      <c r="X28" s="17"/>
      <c r="Y28" s="17"/>
      <c r="Z28" s="17"/>
    </row>
    <row r="29">
      <c r="A29" s="333" t="s">
        <v>5096</v>
      </c>
      <c r="B29" s="161" t="s">
        <v>5097</v>
      </c>
      <c r="C29" s="346" t="s">
        <v>5098</v>
      </c>
      <c r="D29" s="347" t="str">
        <f>IFERROR(__xludf.DUMMYFUNCTION("GOOGLETRANSLATE(B29,""zh-tw"",""ja"")"),"物理攻撃力：4 爆弾効果を強化")</f>
        <v>物理攻撃力：4 爆弾効果を強化</v>
      </c>
      <c r="E29" s="333" t="s">
        <v>5099</v>
      </c>
      <c r="F29" s="161" t="s">
        <v>5100</v>
      </c>
      <c r="G29" s="335" t="str">
        <f>IFERROR(__xludf.DUMMYFUNCTION("GOOGLETRANSLATE(A29,""zh-tw"",""zh"")"),"纵火狂的防烫手套")</f>
        <v>纵火狂的防烫手套</v>
      </c>
      <c r="H29" s="162" t="str">
        <f>IFERROR(__xludf.DUMMYFUNCTION("GOOGLETRANSLATE(B29,""zh-tw"",""zh"")"),"物攻:4
增强炸弹效果")</f>
        <v>物攻:4
增强炸弹效果</v>
      </c>
      <c r="I29" s="335" t="str">
        <f>IFERROR(__xludf.DUMMYFUNCTION("GOOGLETRANSLATE(A29,""zh-tw"",""es-MX"")"),"Los guantes resistentes al calor del pirómano")</f>
        <v>Los guantes resistentes al calor del pirómano</v>
      </c>
      <c r="J29" s="162" t="str">
        <f>IFERROR(__xludf.DUMMYFUNCTION("GOOGLETRANSLATE(B29,""zh-tw"",""es-MX"")"),"Ataque físico: 4. Potencia el efecto de la bomba.")</f>
        <v>Ataque físico: 4. Potencia el efecto de la bomba.</v>
      </c>
      <c r="K29" s="333" t="s">
        <v>5101</v>
      </c>
      <c r="L29" s="161" t="s">
        <v>5102</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Увеличивает эффект бомбы")</f>
        <v>Физическая атака: 4 Увеличивает эффект бомбы</v>
      </c>
      <c r="O29" s="334" t="s">
        <v>5103</v>
      </c>
      <c r="P29" s="317" t="s">
        <v>5104</v>
      </c>
      <c r="Q29" s="337" t="s">
        <v>5105</v>
      </c>
      <c r="R29" s="338" t="s">
        <v>5106</v>
      </c>
      <c r="S29" s="17"/>
      <c r="T29" s="17"/>
      <c r="U29" s="17"/>
      <c r="V29" s="17"/>
      <c r="W29" s="17"/>
      <c r="X29" s="17"/>
      <c r="Y29" s="17"/>
      <c r="Z29" s="17"/>
    </row>
    <row r="30">
      <c r="A30" s="334" t="s">
        <v>5107</v>
      </c>
      <c r="B30" s="317" t="s">
        <v>5108</v>
      </c>
      <c r="C30" s="346" t="s">
        <v>5109</v>
      </c>
      <c r="D30" s="347" t="str">
        <f>IFERROR(__xludf.DUMMYFUNCTION("GOOGLETRANSLATE(B30,""zh-tw"",""ja"")"),"魔法攻撃: 10 物理防御: 1 魔法抵抗: 20 武器は追加の魔法ダメージを与えます。")</f>
        <v>魔法攻撃: 10 物理防御: 1 魔法抵抗: 20 武器は追加の魔法ダメージを与えます。</v>
      </c>
      <c r="E30" s="333" t="s">
        <v>5110</v>
      </c>
      <c r="F30" s="161" t="s">
        <v>5111</v>
      </c>
      <c r="G30" s="335" t="str">
        <f>IFERROR(__xludf.DUMMYFUNCTION("GOOGLETRANSLATE(A30,""zh-tw"",""zh"")"),"魔力汲取手套")</f>
        <v>魔力汲取手套</v>
      </c>
      <c r="H30" s="162" t="str">
        <f>IFERROR(__xludf.DUMMYFUNCTION("GOOGLETRANSLATE(B30,""zh-tw"",""zh"")"),"魔攻：10
物防：1
魔抗：20
武器附带魔法伤害")</f>
        <v>魔攻：10
物防：1
魔抗：20
武器附带魔法伤害</v>
      </c>
      <c r="I30" s="335" t="str">
        <f>IFERROR(__xludf.DUMMYFUNCTION("GOOGLETRANSLATE(A30,""zh-tw"",""es-MX"")"),"Guantes de absorción mágica")</f>
        <v>Guantes de absorción mágica</v>
      </c>
      <c r="J30" s="162" t="str">
        <f>IFERROR(__xludf.DUMMYFUNCTION("GOOGLETRANSLATE(B30,""zh-tw"",""es-MX"")"),"Ataque mágico: 10 Defensa física: 1 Resistencia mágica: 20 El arma inflige daño mágico adicional.")</f>
        <v>Ataque mágico: 10 Defensa física: 1 Resistencia mágica: 20 El arma inflige daño mágico adicional.</v>
      </c>
      <c r="K30" s="334" t="s">
        <v>5112</v>
      </c>
      <c r="L30" s="161" t="s">
        <v>5113</v>
      </c>
      <c r="M30" s="336" t="str">
        <f>IFERROR(__xludf.DUMMYFUNCTION("GOOGLETRANSLATE(A30,""zh-tw"",""ru"")"),"Перчатки магического поглощения")</f>
        <v>Перчатки магического поглощения</v>
      </c>
      <c r="N30" s="315"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4" t="s">
        <v>5114</v>
      </c>
      <c r="P30" s="317" t="s">
        <v>5115</v>
      </c>
      <c r="Q30" s="337" t="s">
        <v>5116</v>
      </c>
      <c r="R30" s="338" t="s">
        <v>5117</v>
      </c>
      <c r="S30" s="17"/>
      <c r="T30" s="17"/>
      <c r="U30" s="17"/>
      <c r="V30" s="17"/>
      <c r="W30" s="17"/>
      <c r="X30" s="17"/>
      <c r="Y30" s="17"/>
      <c r="Z30" s="17"/>
    </row>
    <row r="31">
      <c r="A31" s="334" t="s">
        <v>5118</v>
      </c>
      <c r="B31" s="317" t="s">
        <v>5119</v>
      </c>
      <c r="C31" s="346" t="s">
        <v>5120</v>
      </c>
      <c r="D31" s="347" t="str">
        <f>IFERROR(__xludf.DUMMYFUNCTION("GOOGLETRANSLATE(B31,""zh-tw"",""ja"")"),"物理攻撃: 2 物理防御: 6 ダメージを与えるアーマー")</f>
        <v>物理攻撃: 2 物理防御: 6 ダメージを与えるアーマー</v>
      </c>
      <c r="E31" s="333" t="s">
        <v>5121</v>
      </c>
      <c r="F31" s="161" t="s">
        <v>5122</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5123</v>
      </c>
      <c r="L31" s="161" t="s">
        <v>5124</v>
      </c>
      <c r="M31" s="336" t="str">
        <f>IFERROR(__xludf.DUMMYFUNCTION("GOOGLETRANSLATE(A31,""zh-tw"",""ru"")"),"Броня с пронзительными гвоздями")</f>
        <v>Броня с пронзительными гвоздями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5125</v>
      </c>
      <c r="P31" s="317" t="s">
        <v>5126</v>
      </c>
      <c r="Q31" s="337" t="s">
        <v>5127</v>
      </c>
      <c r="R31" s="338" t="s">
        <v>5128</v>
      </c>
      <c r="S31" s="17"/>
      <c r="T31" s="17"/>
      <c r="U31" s="17"/>
      <c r="V31" s="17"/>
      <c r="W31" s="17"/>
      <c r="X31" s="17"/>
      <c r="Y31" s="17"/>
      <c r="Z31" s="17"/>
    </row>
    <row r="32">
      <c r="A32" s="334" t="s">
        <v>5129</v>
      </c>
      <c r="B32" s="317" t="s">
        <v>5130</v>
      </c>
      <c r="C32" s="346" t="s">
        <v>5131</v>
      </c>
      <c r="D32" s="347" t="str">
        <f>IFERROR(__xludf.DUMMYFUNCTION("GOOGLETRANSLATE(B32,""zh-tw"",""ja"")"),"物理攻撃力：4
物理防御力：2
ダメージを与えるアーマー")</f>
        <v>物理攻撃力：4
物理防御力：2
ダメージを与えるアーマー</v>
      </c>
      <c r="E32" s="333" t="s">
        <v>5132</v>
      </c>
      <c r="F32" s="161" t="s">
        <v>5133</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5134</v>
      </c>
      <c r="L32" s="161" t="s">
        <v>5135</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5136</v>
      </c>
      <c r="P32" s="317" t="s">
        <v>5137</v>
      </c>
      <c r="Q32" s="337" t="s">
        <v>5138</v>
      </c>
      <c r="R32" s="338" t="s">
        <v>5139</v>
      </c>
      <c r="S32" s="17"/>
      <c r="T32" s="17"/>
      <c r="U32" s="17"/>
      <c r="V32" s="17"/>
      <c r="W32" s="17"/>
      <c r="X32" s="17"/>
      <c r="Y32" s="17"/>
      <c r="Z32" s="17"/>
    </row>
    <row r="33">
      <c r="A33" s="334" t="s">
        <v>5140</v>
      </c>
      <c r="B33" s="317" t="s">
        <v>5141</v>
      </c>
      <c r="C33" s="346" t="s">
        <v>5142</v>
      </c>
      <c r="D33" s="347" t="str">
        <f>IFERROR(__xludf.DUMMYFUNCTION("GOOGLETRANSLATE(B33,""zh-tw"",""ja"")"),"物理攻撃: 2 物理防御: 2 ダメージを与えるアーマー")</f>
        <v>物理攻撃: 2 物理防御: 2 ダメージを与えるアーマー</v>
      </c>
      <c r="E33" s="333" t="s">
        <v>5143</v>
      </c>
      <c r="F33" s="161" t="s">
        <v>5144</v>
      </c>
      <c r="G33" s="335" t="str">
        <f>IFERROR(__xludf.DUMMYFUNCTION("GOOGLETRANSLATE(A33,""zh-tw"",""zh"")"),"穿刺钉鞋")</f>
        <v>穿刺钉鞋</v>
      </c>
      <c r="H33" s="162" t="str">
        <f>IFERROR(__xludf.DUMMYFUNCTION("GOOGLETRANSLATE(B33,""zh-tw"",""zh"")"),"物攻：2
物防：2
伤害型防具")</f>
        <v>物攻：2
物防：2
伤害型防具</v>
      </c>
      <c r="I33" s="333" t="s">
        <v>5145</v>
      </c>
      <c r="J33" s="162" t="str">
        <f>IFERROR(__xludf.DUMMYFUNCTION("GOOGLETRANSLATE(B33,""zh-tw"",""es-MX"")"),"Ataque físico: 2 Defensa física: 2 Armadura que inflige daño")</f>
        <v>Ataque físico: 2 Defensa física: 2 Armadura que inflige daño</v>
      </c>
      <c r="K33" s="333" t="s">
        <v>5146</v>
      </c>
      <c r="L33" s="161" t="s">
        <v>5147</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5148</v>
      </c>
      <c r="P33" s="317" t="s">
        <v>5149</v>
      </c>
      <c r="Q33" s="337" t="s">
        <v>5150</v>
      </c>
      <c r="R33" s="338" t="s">
        <v>5151</v>
      </c>
      <c r="S33" s="17"/>
      <c r="T33" s="17"/>
      <c r="U33" s="17"/>
      <c r="V33" s="17"/>
      <c r="W33" s="17"/>
      <c r="X33" s="17"/>
      <c r="Y33" s="17"/>
      <c r="Z33" s="17"/>
    </row>
    <row r="34">
      <c r="A34" s="334" t="s">
        <v>5152</v>
      </c>
      <c r="B34" s="317" t="s">
        <v>5153</v>
      </c>
      <c r="C34" s="346" t="s">
        <v>5154</v>
      </c>
      <c r="D34" s="347" t="str">
        <f>IFERROR(__xludf.DUMMYFUNCTION("GOOGLETRANSLATE(B34,""zh-tw"",""ja"")"),"物理攻撃力：5
物理防御力：1
ダメージを与えるアーマー")</f>
        <v>物理攻撃力：5
物理防御力：1
ダメージを与えるアーマー</v>
      </c>
      <c r="E34" s="333" t="s">
        <v>5155</v>
      </c>
      <c r="F34" s="161" t="s">
        <v>5156</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5157</v>
      </c>
      <c r="L34" s="161" t="s">
        <v>5158</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5159</v>
      </c>
      <c r="P34" s="317" t="s">
        <v>5160</v>
      </c>
      <c r="Q34" s="337" t="s">
        <v>5161</v>
      </c>
      <c r="R34" s="338" t="s">
        <v>5162</v>
      </c>
      <c r="S34" s="17"/>
      <c r="T34" s="17"/>
      <c r="U34" s="17"/>
      <c r="V34" s="17"/>
      <c r="W34" s="17"/>
      <c r="X34" s="17"/>
      <c r="Y34" s="17"/>
      <c r="Z34" s="17"/>
    </row>
    <row r="35">
      <c r="A35" s="334" t="s">
        <v>5163</v>
      </c>
      <c r="B35" s="317" t="s">
        <v>5164</v>
      </c>
      <c r="C35" s="348" t="str">
        <f>IFERROR(__xludf.DUMMYFUNCTION("GOOGLETRANSLATE(A35,""zh-tw"",""ja"")"),"騎士のヘルメット")</f>
        <v>騎士のヘルメット</v>
      </c>
      <c r="D35" s="347" t="str">
        <f>IFERROR(__xludf.DUMMYFUNCTION("GOOGLETRANSLATE(B35,""zh-tw"",""ja"")"),"物理防御力: 5
魔法耐性: 2
スタミナが低いと能力が上昇する")</f>
        <v>物理防御力: 5
魔法耐性: 2
スタミナが低いと能力が上昇する</v>
      </c>
      <c r="E35" s="333" t="s">
        <v>5165</v>
      </c>
      <c r="F35" s="161" t="s">
        <v>5166</v>
      </c>
      <c r="G35" s="335" t="str">
        <f>IFERROR(__xludf.DUMMYFUNCTION("GOOGLETRANSLATE(A35,""zh-tw"",""zh"")"),"骑士头盔")</f>
        <v>骑士头盔</v>
      </c>
      <c r="H35" s="162" t="str">
        <f>IFERROR(__xludf.DUMMYFUNCTION("GOOGLETRANSLATE(B35,""zh-tw"",""zh"")"),"物防：5
魔抗：2
低体力增属性")</f>
        <v>物防：5
魔抗：2
低体力增属性</v>
      </c>
      <c r="I35" s="335" t="str">
        <f>IFERROR(__xludf.DUMMYFUNCTION("GOOGLETRANSLATE(A35,""zh-tw"",""es-MX"")"),"Casco de caballero")</f>
        <v>Casco de caballero</v>
      </c>
      <c r="J35" s="162" t="str">
        <f>IFERROR(__xludf.DUMMYFUNCTION("GOOGLETRANSLATE(B35,""zh-tw"",""es-MX"")"),"Defensa física: 5
Resistencia mágica: 2
Baja resistencia: aumenta los atributos")</f>
        <v>Defensa física: 5
Resistencia mágica: 2
Baja resistencia: aumenta los atributos</v>
      </c>
      <c r="K35" s="333" t="s">
        <v>5167</v>
      </c>
      <c r="L35" s="161" t="s">
        <v>5168</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4" t="s">
        <v>5169</v>
      </c>
      <c r="P35" s="317" t="s">
        <v>5170</v>
      </c>
      <c r="Q35" s="337" t="s">
        <v>5171</v>
      </c>
      <c r="R35" s="338" t="s">
        <v>5172</v>
      </c>
      <c r="S35" s="17"/>
      <c r="T35" s="17"/>
      <c r="U35" s="17"/>
      <c r="V35" s="17"/>
      <c r="W35" s="17"/>
      <c r="X35" s="17"/>
      <c r="Y35" s="17"/>
      <c r="Z35" s="17"/>
    </row>
    <row r="36">
      <c r="A36" s="334" t="s">
        <v>5173</v>
      </c>
      <c r="B36" s="317" t="s">
        <v>5174</v>
      </c>
      <c r="C36" s="346" t="s">
        <v>5175</v>
      </c>
      <c r="D36" s="347" t="str">
        <f>IFERROR(__xludf.DUMMYFUNCTION("GOOGLETRANSLATE(B36,""zh-tw"",""ja"")"),"物理攻撃: 2 物理防御: 3 HPが低いときにステータスが上昇")</f>
        <v>物理攻撃: 2 物理防御: 3 HPが低いときにステータスが上昇</v>
      </c>
      <c r="E36" s="333" t="s">
        <v>5176</v>
      </c>
      <c r="F36" s="161" t="s">
        <v>5177</v>
      </c>
      <c r="G36" s="335" t="str">
        <f>IFERROR(__xludf.DUMMYFUNCTION("GOOGLETRANSLATE(A36,""zh-tw"",""zh"")"),"骑士护臂")</f>
        <v>骑士护臂</v>
      </c>
      <c r="H36" s="162" t="str">
        <f>IFERROR(__xludf.DUMMYFUNCTION("GOOGLETRANSLATE(B36,""zh-tw"",""zh"")"),"物攻：2
物防：3
低体力增属性")</f>
        <v>物攻：2
物防：3
低体力增属性</v>
      </c>
      <c r="I36" s="333" t="s">
        <v>5178</v>
      </c>
      <c r="J36" s="162" t="str">
        <f>IFERROR(__xludf.DUMMYFUNCTION("GOOGLETRANSLATE(B36,""zh-tw"",""es-MX"")"),"Ataque físico: 2 Defensa física: 3 Aumenta las estadísticas cuando la salud está baja")</f>
        <v>Ataque físico: 2 Defensa física: 3 Aumenta las estadísticas cuando la salud está baja</v>
      </c>
      <c r="K36" s="334" t="s">
        <v>5179</v>
      </c>
      <c r="L36" s="161" t="s">
        <v>5180</v>
      </c>
      <c r="M36" s="336" t="str">
        <f>IFERROR(__xludf.DUMMYFUNCTION("GOOGLETRANSLATE(A36,""zh-tw"",""ru"")"),"Наручи рыцаря")</f>
        <v>Наручи рыцаря</v>
      </c>
      <c r="N36" s="315"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4" t="s">
        <v>5181</v>
      </c>
      <c r="P36" s="317" t="s">
        <v>5182</v>
      </c>
      <c r="Q36" s="337" t="s">
        <v>5183</v>
      </c>
      <c r="R36" s="338" t="s">
        <v>5184</v>
      </c>
      <c r="S36" s="17"/>
      <c r="T36" s="17"/>
      <c r="U36" s="17"/>
      <c r="V36" s="17"/>
      <c r="W36" s="17"/>
      <c r="X36" s="17"/>
      <c r="Y36" s="17"/>
      <c r="Z36" s="17"/>
    </row>
    <row r="37">
      <c r="A37" s="334" t="s">
        <v>5185</v>
      </c>
      <c r="B37" s="317" t="s">
        <v>5186</v>
      </c>
      <c r="C37" s="346" t="s">
        <v>5187</v>
      </c>
      <c r="D37" s="347" t="str">
        <f>IFERROR(__xludf.DUMMYFUNCTION("GOOGLETRANSLATE(B37,""zh-tw"",""ja"")"),"物理防御力: 2
魔法耐性: 2
HPが低いとステータスが上昇")</f>
        <v>物理防御力: 2
魔法耐性: 2
HPが低いとステータスが上昇</v>
      </c>
      <c r="E37" s="333" t="s">
        <v>5188</v>
      </c>
      <c r="F37" s="161" t="s">
        <v>5189</v>
      </c>
      <c r="G37" s="335" t="str">
        <f>IFERROR(__xludf.DUMMYFUNCTION("GOOGLETRANSLATE(A37,""zh-tw"",""zh"")"),"骑士胫甲")</f>
        <v>骑士胫甲</v>
      </c>
      <c r="H37" s="162" t="str">
        <f>IFERROR(__xludf.DUMMYFUNCTION("GOOGLETRANSLATE(B37,""zh-tw"",""zh"")"),"物防：2
魔抗：2
低体力增属性")</f>
        <v>物防：2
魔抗：2
低体力增属性</v>
      </c>
      <c r="I37" s="335" t="str">
        <f>IFERROR(__xludf.DUMMYFUNCTION("GOOGLETRANSLATE(A37,""zh-tw"",""es-MX"")"),"Grebas de caballero")</f>
        <v>Grebas de caballero</v>
      </c>
      <c r="J37" s="162" t="str">
        <f>IFERROR(__xludf.DUMMYFUNCTION("GOOGLETRANSLATE(B37,""zh-tw"",""es-MX"")"),"Defensa física: 2
Resistencia mágica: 2
Poca vida aumenta las estadísticas")</f>
        <v>Defensa física: 2
Resistencia mágica: 2
Poca vida aumenta las estadísticas</v>
      </c>
      <c r="K37" s="333" t="s">
        <v>5190</v>
      </c>
      <c r="L37" s="161" t="s">
        <v>5191</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4" t="s">
        <v>5192</v>
      </c>
      <c r="P37" s="317" t="s">
        <v>5193</v>
      </c>
      <c r="Q37" s="337" t="s">
        <v>5194</v>
      </c>
      <c r="R37" s="338" t="s">
        <v>5195</v>
      </c>
      <c r="S37" s="17"/>
      <c r="T37" s="17"/>
      <c r="U37" s="17"/>
      <c r="V37" s="17"/>
      <c r="W37" s="17"/>
      <c r="X37" s="17"/>
      <c r="Y37" s="17"/>
      <c r="Z37" s="17"/>
    </row>
    <row r="38">
      <c r="A38" s="334" t="s">
        <v>5196</v>
      </c>
      <c r="B38" s="317" t="s">
        <v>5197</v>
      </c>
      <c r="C38" s="348" t="str">
        <f>IFERROR(__xludf.DUMMYFUNCTION("GOOGLETRANSLATE(A38,""zh-tw"",""ja"")"),"騎士の鎧")</f>
        <v>騎士の鎧</v>
      </c>
      <c r="D38" s="347" t="str">
        <f>IFERROR(__xludf.DUMMYFUNCTION("GOOGLETRANSLATE(B38,""zh-tw"",""ja"")"),"物理防御力: 10
魔法耐性: 4
スタミナ低下時に能力値が上昇")</f>
        <v>物理防御力: 10
魔法耐性: 4
スタミナ低下時に能力値が上昇</v>
      </c>
      <c r="E38" s="333" t="s">
        <v>5198</v>
      </c>
      <c r="F38" s="161" t="s">
        <v>5199</v>
      </c>
      <c r="G38" s="335" t="str">
        <f>IFERROR(__xludf.DUMMYFUNCTION("GOOGLETRANSLATE(A38,""zh-tw"",""zh"")"),"骑士铠甲")</f>
        <v>骑士铠甲</v>
      </c>
      <c r="H38" s="162" t="str">
        <f>IFERROR(__xludf.DUMMYFUNCTION("GOOGLETRANSLATE(B38,""zh-tw"",""zh"")"),"物防：10
魔抗：4
低体力增属性")</f>
        <v>物防：10
魔抗：4
低体力增属性</v>
      </c>
      <c r="I38" s="335" t="str">
        <f>IFERROR(__xludf.DUMMYFUNCTION("GOOGLETRANSLATE(A38,""zh-tw"",""es-MX"")"),"Armadura de caballero")</f>
        <v>Armadura de caballero</v>
      </c>
      <c r="J38" s="162" t="str">
        <f>IFERROR(__xludf.DUMMYFUNCTION("GOOGLETRANSLATE(B38,""zh-tw"",""es-MX"")"),"Defensa física: 10
Resistencia mágica: 4
Aumento de atributos cuando la resistencia es baja")</f>
        <v>Defensa física: 10
Resistencia mágica: 4
Aumento de atributos cuando la resistencia es baja</v>
      </c>
      <c r="K38" s="333" t="s">
        <v>5200</v>
      </c>
      <c r="L38" s="161" t="s">
        <v>5201</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4" t="s">
        <v>5202</v>
      </c>
      <c r="P38" s="317" t="s">
        <v>5203</v>
      </c>
      <c r="Q38" s="337" t="s">
        <v>5204</v>
      </c>
      <c r="R38" s="338" t="s">
        <v>5205</v>
      </c>
      <c r="S38" s="17"/>
      <c r="T38" s="17"/>
      <c r="U38" s="17"/>
      <c r="V38" s="17"/>
      <c r="W38" s="17"/>
      <c r="X38" s="17"/>
      <c r="Y38" s="17"/>
      <c r="Z38" s="17"/>
    </row>
    <row r="39">
      <c r="A39" s="339" t="s">
        <v>5206</v>
      </c>
      <c r="B39" s="162" t="s">
        <v>5207</v>
      </c>
      <c r="C39" s="346" t="s">
        <v>5208</v>
      </c>
      <c r="D39" s="347" t="str">
        <f>IFERROR(__xludf.DUMMYFUNCTION("GOOGLETRANSLATE(B39,""zh-tw"",""ja"")"),"魔法攻撃: 10 自動照準")</f>
        <v>魔法攻撃: 10 自動照準</v>
      </c>
      <c r="E39" s="333" t="s">
        <v>5209</v>
      </c>
      <c r="F39" s="161" t="s">
        <v>5210</v>
      </c>
      <c r="G39" s="335" t="str">
        <f>IFERROR(__xludf.DUMMYFUNCTION("GOOGLETRANSLATE(A39,""zh-tw"",""zh"")"),"堕落法师的手套")</f>
        <v>堕落法师的手套</v>
      </c>
      <c r="H39" s="162" t="str">
        <f>IFERROR(__xludf.DUMMYFUNCTION("GOOGLETRANSLATE(B39,""zh-tw"",""zh"")"),"魔攻：10
自动瞄准")</f>
        <v>魔攻：10
自动瞄准</v>
      </c>
      <c r="I39" s="335" t="str">
        <f>IFERROR(__xludf.DUMMYFUNCTION("GOOGLETRANSLATE(A39,""zh-tw"",""es-MX"")"),"Los guantes del mago caído")</f>
        <v>Los guantes del mago caído</v>
      </c>
      <c r="J39" s="162" t="str">
        <f>IFERROR(__xludf.DUMMYFUNCTION("GOOGLETRANSLATE(B39,""zh-tw"",""es-MX"")"),"Ataque mágico: 10 Apuntado automático")</f>
        <v>Ataque mágico: 10 Apuntado automático</v>
      </c>
      <c r="K39" s="335" t="str">
        <f>IFERROR(__xludf.DUMMYFUNCTION("GOOGLETRANSLATE(A39,""zh-tw"",""KO"")"),"타락한 마법사의 장갑")</f>
        <v>타락한 마법사의 장갑</v>
      </c>
      <c r="L39" s="161" t="s">
        <v>5211</v>
      </c>
      <c r="M39" s="336" t="str">
        <f>IFERROR(__xludf.DUMMYFUNCTION("GOOGLETRANSLATE(A39,""zh-tw"",""ru"")"),"Перчатки падшего мага")</f>
        <v>Перчатки падшего мага</v>
      </c>
      <c r="N39" s="315" t="str">
        <f>IFERROR(__xludf.DUMMYFUNCTION("GOOGLETRANSLATE(B39,""zh-tw"",""ru"")"),"Магическая атака: 10 Автоприцеливание")</f>
        <v>Магическая атака: 10 Автоприцеливание</v>
      </c>
      <c r="O39" s="334" t="s">
        <v>5212</v>
      </c>
      <c r="P39" s="317" t="s">
        <v>5213</v>
      </c>
      <c r="Q39" s="337" t="s">
        <v>5214</v>
      </c>
      <c r="R39" s="325" t="s">
        <v>5215</v>
      </c>
      <c r="S39" s="17"/>
      <c r="T39" s="17"/>
      <c r="U39" s="17"/>
      <c r="V39" s="17"/>
      <c r="W39" s="17"/>
      <c r="X39" s="17"/>
      <c r="Y39" s="17"/>
      <c r="Z39" s="17"/>
    </row>
    <row r="40">
      <c r="A40" s="333" t="s">
        <v>5216</v>
      </c>
      <c r="B40" s="161" t="s">
        <v>5217</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5218</v>
      </c>
      <c r="F40" s="161" t="s">
        <v>5219</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5220</v>
      </c>
      <c r="L40" s="161" t="s">
        <v>5221</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5222</v>
      </c>
      <c r="P40" s="317" t="s">
        <v>5223</v>
      </c>
      <c r="Q40" s="337" t="s">
        <v>5224</v>
      </c>
      <c r="R40" s="338" t="s">
        <v>5225</v>
      </c>
      <c r="S40" s="17"/>
      <c r="T40" s="17"/>
      <c r="U40" s="17"/>
      <c r="V40" s="17"/>
      <c r="W40" s="17"/>
      <c r="X40" s="17"/>
      <c r="Y40" s="17"/>
      <c r="Z40" s="17"/>
    </row>
    <row r="41">
      <c r="A41" s="333" t="s">
        <v>5226</v>
      </c>
      <c r="B41" s="161" t="s">
        <v>5227</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5228</v>
      </c>
      <c r="F41" s="161" t="s">
        <v>5229</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5230</v>
      </c>
      <c r="L41" s="161" t="s">
        <v>5231</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5232</v>
      </c>
      <c r="P41" s="317" t="s">
        <v>5233</v>
      </c>
      <c r="Q41" s="337" t="s">
        <v>5234</v>
      </c>
      <c r="R41" s="338" t="s">
        <v>5235</v>
      </c>
      <c r="S41" s="17"/>
      <c r="T41" s="17"/>
      <c r="U41" s="17"/>
      <c r="V41" s="17"/>
      <c r="W41" s="17"/>
      <c r="X41" s="17"/>
      <c r="Y41" s="17"/>
      <c r="Z41" s="17"/>
    </row>
    <row r="42">
      <c r="A42" s="339" t="s">
        <v>5236</v>
      </c>
      <c r="B42" s="161" t="s">
        <v>5237</v>
      </c>
      <c r="C42" s="348" t="str">
        <f>IFERROR(__xludf.DUMMYFUNCTION("GOOGLETRANSLATE(A42,""zh-tw"",""ja"")"),"堕落した魔術師の軽い足音")</f>
        <v>堕落した魔術師の軽い足音</v>
      </c>
      <c r="D42" s="347" t="str">
        <f>IFERROR(__xludf.DUMMYFUNCTION("GOOGLETRANSLATE(B42,""zh-tw"",""ja"")"),"魔法攻撃力：10
魔法耐性：20
ボイド：敵弾を含むあらゆる障害物を無視")</f>
        <v>魔法攻撃力：10
魔法耐性：20
ボイド：敵弾を含むあらゆる障害物を無視</v>
      </c>
      <c r="E42" s="333" t="s">
        <v>5238</v>
      </c>
      <c r="F42" s="161" t="s">
        <v>5239</v>
      </c>
      <c r="G42" s="335" t="str">
        <f>IFERROR(__xludf.DUMMYFUNCTION("GOOGLETRANSLATE(A42,""zh-tw"",""zh"")"),"堕落法师的轻履")</f>
        <v>堕落法师的轻履</v>
      </c>
      <c r="H42" s="162" t="str">
        <f>IFERROR(__xludf.DUMMYFUNCTION("GOOGLETRANSLATE(B42,""zh-tw"",""zh"")"),"魔攻：10
魔抗：20
虚无：无视一切阻碍、包括敌人子弹")</f>
        <v>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3" t="s">
        <v>5240</v>
      </c>
      <c r="L42" s="161" t="s">
        <v>5241</v>
      </c>
      <c r="M42" s="336" t="str">
        <f>IFERROR(__xludf.DUMMYFUNCTION("GOOGLETRANSLATE(A42,""zh-tw"",""ru"")"),"Легкие шаги падшего мага")</f>
        <v>Легкие шаги падшего мага</v>
      </c>
      <c r="N42" s="315"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4" t="s">
        <v>5242</v>
      </c>
      <c r="P42" s="317" t="s">
        <v>5243</v>
      </c>
      <c r="Q42" s="337" t="s">
        <v>5244</v>
      </c>
      <c r="R42" s="338" t="s">
        <v>5245</v>
      </c>
      <c r="S42" s="17"/>
      <c r="T42" s="17"/>
      <c r="U42" s="17"/>
      <c r="V42" s="17"/>
      <c r="W42" s="17"/>
      <c r="X42" s="17"/>
      <c r="Y42" s="17"/>
      <c r="Z42" s="17"/>
    </row>
    <row r="43">
      <c r="A43" s="333" t="s">
        <v>5246</v>
      </c>
      <c r="B43" s="161" t="s">
        <v>5247</v>
      </c>
      <c r="C43" s="346" t="s">
        <v>5248</v>
      </c>
      <c r="D43" s="347" t="str">
        <f>IFERROR(__xludf.DUMMYFUNCTION("GOOGLETRANSLATE(B43,""zh-tw"",""ja"")"),"魔法攻撃: 1. スタン耐性、魔法貫通力および魔法範囲の拡大。")</f>
        <v>魔法攻撃: 1. スタン耐性、魔法貫通力および魔法範囲の拡大。</v>
      </c>
      <c r="E43" s="333" t="s">
        <v>5249</v>
      </c>
      <c r="F43" s="161" t="s">
        <v>5250</v>
      </c>
      <c r="G43" s="335" t="str">
        <f>IFERROR(__xludf.DUMMYFUNCTION("GOOGLETRANSLATE(A43,""zh-tw"",""zh"")"),"精神凝聚头环")</f>
        <v>精神凝聚头环</v>
      </c>
      <c r="H43" s="162" t="str">
        <f>IFERROR(__xludf.DUMMYFUNCTION("GOOGLETRANSLATE(B43,""zh-tw"",""zh"")"),"魔攻：1
免疫晕眩、增强魔法穿透和魔法范围")</f>
        <v>魔攻：1
免疫晕眩、增强魔法穿透和魔法范围</v>
      </c>
      <c r="I43" s="335" t="str">
        <f>IFERROR(__xludf.DUMMYFUNCTION("GOOGLETRANSLATE(A43,""zh-tw"",""es-MX"")"),"Diadema de cohesión espiritual")</f>
        <v>Diadema de cohesión espiritual</v>
      </c>
      <c r="J43" s="162" t="str">
        <f>IFERROR(__xludf.DUMMYFUNCTION("GOOGLETRANSLATE(B43,""zh-tw"",""es-MX"")"),"Ataque mágico: 1. Inmune al aturdimiento, mayor penetración mágica y mayor alcance mágico.")</f>
        <v>Ataque mágico: 1. Inmune al aturdimiento, mayor penetración mágica y mayor alcance mágico.</v>
      </c>
      <c r="K43" s="333" t="s">
        <v>5251</v>
      </c>
      <c r="L43" s="161" t="s">
        <v>5252</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4" t="s">
        <v>5253</v>
      </c>
      <c r="P43" s="317" t="s">
        <v>5254</v>
      </c>
      <c r="Q43" s="337" t="s">
        <v>5255</v>
      </c>
      <c r="R43" s="338" t="s">
        <v>5256</v>
      </c>
      <c r="S43" s="17"/>
      <c r="T43" s="17"/>
      <c r="U43" s="17"/>
      <c r="V43" s="17"/>
      <c r="W43" s="17"/>
      <c r="X43" s="17"/>
      <c r="Y43" s="17"/>
      <c r="Z43" s="17"/>
    </row>
    <row r="44">
      <c r="A44" s="333" t="s">
        <v>5257</v>
      </c>
      <c r="B44" s="161" t="s">
        <v>5258</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5259</v>
      </c>
      <c r="F44" s="161" t="s">
        <v>5260</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5261</v>
      </c>
      <c r="L44" s="161" t="s">
        <v>5262</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5263</v>
      </c>
      <c r="P44" s="317" t="s">
        <v>5264</v>
      </c>
      <c r="Q44" s="337" t="s">
        <v>5265</v>
      </c>
      <c r="R44" s="338" t="s">
        <v>5266</v>
      </c>
      <c r="S44" s="17"/>
      <c r="T44" s="17"/>
      <c r="U44" s="17"/>
      <c r="V44" s="17"/>
      <c r="W44" s="17"/>
      <c r="X44" s="17"/>
      <c r="Y44" s="17"/>
      <c r="Z44" s="17"/>
    </row>
    <row r="45">
      <c r="A45" s="333" t="s">
        <v>5267</v>
      </c>
      <c r="B45" s="161" t="s">
        <v>5268</v>
      </c>
      <c r="C45" s="346" t="s">
        <v>5269</v>
      </c>
      <c r="D45" s="185" t="s">
        <v>5270</v>
      </c>
      <c r="E45" s="333" t="s">
        <v>5271</v>
      </c>
      <c r="F45" s="161" t="s">
        <v>5272</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5273</v>
      </c>
      <c r="L45" s="161" t="s">
        <v>5274</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5275</v>
      </c>
      <c r="P45" s="317" t="s">
        <v>5276</v>
      </c>
      <c r="Q45" s="337" t="s">
        <v>5277</v>
      </c>
      <c r="R45" s="338" t="s">
        <v>5278</v>
      </c>
      <c r="S45" s="17"/>
      <c r="T45" s="17"/>
      <c r="U45" s="17"/>
      <c r="V45" s="17"/>
      <c r="W45" s="17"/>
      <c r="X45" s="17"/>
      <c r="Y45" s="17"/>
      <c r="Z45" s="17"/>
    </row>
    <row r="46">
      <c r="A46" s="334" t="s">
        <v>5279</v>
      </c>
      <c r="B46" s="317" t="s">
        <v>5280</v>
      </c>
      <c r="C46" s="346" t="s">
        <v>5281</v>
      </c>
      <c r="D46" s="347" t="str">
        <f>IFERROR(__xludf.DUMMYFUNCTION("GOOGLETRANSLATE(B46,""zh-tw"",""ja"")"),"魔法耐性: 10
幸運: 10
翌日は晴れ")</f>
        <v>魔法耐性: 10
幸運: 10
翌日は晴れ</v>
      </c>
      <c r="E46" s="333" t="s">
        <v>5282</v>
      </c>
      <c r="F46" s="161" t="s">
        <v>5283</v>
      </c>
      <c r="G46" s="335" t="str">
        <f>IFERROR(__xludf.DUMMYFUNCTION("GOOGLETRANSLATE(A46,""zh-tw"",""zh"")"),"晴天娃娃")</f>
        <v>晴天娃娃</v>
      </c>
      <c r="H46" s="162" t="str">
        <f>IFERROR(__xludf.DUMMYFUNCTION("GOOGLETRANSLATE(B46,""zh-tw"",""zh"")"),"魔抗：10
幸运：10
第二天晴天")</f>
        <v>魔抗：10
幸运：10
第二天晴天</v>
      </c>
      <c r="I46" s="333" t="s">
        <v>5282</v>
      </c>
      <c r="J46" s="162" t="str">
        <f>IFERROR(__xludf.DUMMYFUNCTION("GOOGLETRANSLATE(B46,""zh-tw"",""es-MX"")"),"Resistencia mágica: 10
Suerte: 10
Día soleado al día siguiente")</f>
        <v>Resistencia mágica: 10
Suerte: 10
Día soleado al día siguiente</v>
      </c>
      <c r="K46" s="333" t="s">
        <v>5284</v>
      </c>
      <c r="L46" s="161" t="s">
        <v>5285</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5286</v>
      </c>
      <c r="P46" s="317" t="s">
        <v>5287</v>
      </c>
      <c r="Q46" s="349" t="s">
        <v>5288</v>
      </c>
      <c r="R46" s="338" t="s">
        <v>5289</v>
      </c>
      <c r="S46" s="17"/>
      <c r="T46" s="17"/>
      <c r="U46" s="17"/>
      <c r="V46" s="17"/>
      <c r="W46" s="17"/>
      <c r="X46" s="17"/>
      <c r="Y46" s="17"/>
      <c r="Z46" s="17"/>
    </row>
    <row r="47">
      <c r="A47" s="334" t="s">
        <v>5290</v>
      </c>
      <c r="B47" s="317" t="s">
        <v>5291</v>
      </c>
      <c r="C47" s="346" t="s">
        <v>5292</v>
      </c>
      <c r="D47" s="347" t="str">
        <f>IFERROR(__xludf.DUMMYFUNCTION("GOOGLETRANSLATE(B47,""zh-tw"",""ja"")"),"魔法耐性：10
幸運：10
2日目は曇りでした。")</f>
        <v>魔法耐性：10
幸運：10
2日目は曇りでした。</v>
      </c>
      <c r="E47" s="333" t="s">
        <v>5293</v>
      </c>
      <c r="F47" s="161" t="s">
        <v>5294</v>
      </c>
      <c r="G47" s="335" t="str">
        <f>IFERROR(__xludf.DUMMYFUNCTION("GOOGLETRANSLATE(A47,""zh-tw"",""zh"")"),"阴天娃娃")</f>
        <v>阴天娃娃</v>
      </c>
      <c r="H47" s="162" t="str">
        <f>IFERROR(__xludf.DUMMYFUNCTION("GOOGLETRANSLATE(B47,""zh-tw"",""zh"")"),"魔抗：10
幸运：10
第二天阴天")</f>
        <v>魔抗：10
幸运：10
第二天阴天</v>
      </c>
      <c r="I47" s="333" t="s">
        <v>5293</v>
      </c>
      <c r="J47" s="162" t="str">
        <f>IFERROR(__xludf.DUMMYFUNCTION("GOOGLETRANSLATE(B47,""zh-tw"",""es-MX"")"),"Resistencia mágica: 10
Suerte: 10
El segundo día estuvo nublado.")</f>
        <v>Resistencia mágica: 10
Suerte: 10
El segundo día estuvo nublado.</v>
      </c>
      <c r="K47" s="334" t="s">
        <v>5295</v>
      </c>
      <c r="L47" s="161" t="s">
        <v>5296</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5297</v>
      </c>
      <c r="P47" s="317" t="s">
        <v>5298</v>
      </c>
      <c r="Q47" s="349" t="s">
        <v>5299</v>
      </c>
      <c r="R47" s="338" t="s">
        <v>5300</v>
      </c>
      <c r="S47" s="17"/>
      <c r="T47" s="17"/>
      <c r="U47" s="17"/>
      <c r="V47" s="17"/>
      <c r="W47" s="17"/>
      <c r="X47" s="17"/>
      <c r="Y47" s="17"/>
      <c r="Z47" s="17"/>
    </row>
    <row r="48">
      <c r="A48" s="334" t="s">
        <v>5301</v>
      </c>
      <c r="B48" s="317" t="s">
        <v>5302</v>
      </c>
      <c r="C48" s="346" t="s">
        <v>5303</v>
      </c>
      <c r="D48" s="347" t="str">
        <f>IFERROR(__xludf.DUMMYFUNCTION("GOOGLETRANSLATE(B48,""zh-tw"",""ja"")"),"魔法耐性：10
幸運：10
翌日は雨だった。")</f>
        <v>魔法耐性：10
幸運：10
翌日は雨だった。</v>
      </c>
      <c r="E48" s="333" t="s">
        <v>5304</v>
      </c>
      <c r="F48" s="161" t="s">
        <v>5305</v>
      </c>
      <c r="G48" s="335" t="str">
        <f>IFERROR(__xludf.DUMMYFUNCTION("GOOGLETRANSLATE(A48,""zh-tw"",""zh"")"),"雨天娃娃")</f>
        <v>雨天娃娃</v>
      </c>
      <c r="H48" s="162" t="str">
        <f>IFERROR(__xludf.DUMMYFUNCTION("GOOGLETRANSLATE(B48,""zh-tw"",""zh"")"),"魔抗：10
幸运：10
第二天雨天")</f>
        <v>魔抗：10
幸运：10
第二天雨天</v>
      </c>
      <c r="I48" s="333" t="s">
        <v>5304</v>
      </c>
      <c r="J48" s="162" t="str">
        <f>IFERROR(__xludf.DUMMYFUNCTION("GOOGLETRANSLATE(B48,""zh-tw"",""es-MX"")"),"Resistencia mágica: 10
Suerte: 10
Al día siguiente llovió.")</f>
        <v>Resistencia mágica: 10
Suerte: 10
Al día siguiente llovió.</v>
      </c>
      <c r="K48" s="333" t="s">
        <v>5306</v>
      </c>
      <c r="L48" s="161" t="s">
        <v>5307</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5308</v>
      </c>
      <c r="P48" s="317" t="s">
        <v>5309</v>
      </c>
      <c r="Q48" s="349" t="s">
        <v>5310</v>
      </c>
      <c r="R48" s="338" t="s">
        <v>5311</v>
      </c>
      <c r="S48" s="17"/>
      <c r="T48" s="17"/>
      <c r="U48" s="17"/>
      <c r="V48" s="17"/>
      <c r="W48" s="17"/>
      <c r="X48" s="17"/>
      <c r="Y48" s="17"/>
      <c r="Z48" s="17"/>
    </row>
    <row r="49">
      <c r="A49" s="333" t="s">
        <v>5312</v>
      </c>
      <c r="B49" s="161" t="s">
        <v>5313</v>
      </c>
      <c r="C49" s="346" t="s">
        <v>5312</v>
      </c>
      <c r="D49" s="347" t="str">
        <f>IFERROR(__xludf.DUMMYFUNCTION("GOOGLETRANSLATE(B49,""zh-tw"",""ja"")"),"物理防御力：1
魔法耐性：10
幸運：5
最大HPを増加")</f>
        <v>物理防御力：1
魔法耐性：10
幸運：5
最大HPを増加</v>
      </c>
      <c r="E49" s="333" t="s">
        <v>5314</v>
      </c>
      <c r="F49" s="161" t="s">
        <v>5315</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5316</v>
      </c>
      <c r="L49" s="161" t="s">
        <v>5317</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5318</v>
      </c>
      <c r="P49" s="317" t="s">
        <v>5319</v>
      </c>
      <c r="Q49" s="337" t="s">
        <v>5320</v>
      </c>
      <c r="R49" s="338" t="s">
        <v>5321</v>
      </c>
      <c r="S49" s="17"/>
      <c r="T49" s="17"/>
      <c r="U49" s="17"/>
      <c r="V49" s="17"/>
      <c r="W49" s="17"/>
      <c r="X49" s="17"/>
      <c r="Y49" s="17"/>
      <c r="Z49" s="17"/>
    </row>
    <row r="50">
      <c r="A50" s="333" t="s">
        <v>4264</v>
      </c>
      <c r="B50" s="161" t="s">
        <v>5322</v>
      </c>
      <c r="C50" s="346" t="s">
        <v>4266</v>
      </c>
      <c r="D50" s="347" t="str">
        <f>IFERROR(__xludf.DUMMYFUNCTION("GOOGLETRANSLATE(B50,""zh-tw"",""ja"")"),"魔法耐性: 30 回復不能、7秒間無敵")</f>
        <v>魔法耐性: 30 回復不能、7秒間無敵</v>
      </c>
      <c r="E50" s="333" t="s">
        <v>4268</v>
      </c>
      <c r="F50" s="161" t="s">
        <v>5323</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5324</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5325</v>
      </c>
      <c r="Q50" s="337" t="s">
        <v>4274</v>
      </c>
      <c r="R50" s="338" t="s">
        <v>5326</v>
      </c>
      <c r="S50" s="17"/>
      <c r="T50" s="17"/>
      <c r="U50" s="17"/>
      <c r="V50" s="17"/>
      <c r="W50" s="17"/>
      <c r="X50" s="17"/>
      <c r="Y50" s="17"/>
      <c r="Z50" s="17"/>
    </row>
    <row r="51">
      <c r="A51" s="333" t="s">
        <v>5327</v>
      </c>
      <c r="B51" s="161" t="s">
        <v>5328</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5329</v>
      </c>
      <c r="F51" s="161" t="s">
        <v>5330</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5331</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5332</v>
      </c>
      <c r="P51" s="317" t="s">
        <v>5333</v>
      </c>
      <c r="Q51" s="337" t="s">
        <v>5334</v>
      </c>
      <c r="R51" s="338" t="s">
        <v>5335</v>
      </c>
      <c r="S51" s="17"/>
      <c r="T51" s="17"/>
      <c r="U51" s="17"/>
      <c r="V51" s="17"/>
      <c r="W51" s="17"/>
      <c r="X51" s="17"/>
      <c r="Y51" s="17"/>
      <c r="Z51" s="17"/>
    </row>
    <row r="52">
      <c r="A52" s="333" t="s">
        <v>5336</v>
      </c>
      <c r="B52" s="161" t="s">
        <v>5337</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5338</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5339</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5340</v>
      </c>
      <c r="P52" s="317" t="s">
        <v>5341</v>
      </c>
      <c r="Q52" s="337" t="s">
        <v>5342</v>
      </c>
      <c r="R52" s="338" t="s">
        <v>5343</v>
      </c>
      <c r="S52" s="17"/>
      <c r="T52" s="17"/>
      <c r="U52" s="17"/>
      <c r="V52" s="17"/>
      <c r="W52" s="17"/>
      <c r="X52" s="17"/>
      <c r="Y52" s="17"/>
      <c r="Z52" s="17"/>
    </row>
    <row r="53">
      <c r="A53" s="333" t="s">
        <v>5344</v>
      </c>
      <c r="B53" s="161" t="s">
        <v>5345</v>
      </c>
      <c r="C53" s="346" t="s">
        <v>5346</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5347</v>
      </c>
      <c r="F53" s="161" t="s">
        <v>5348</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5349</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5350</v>
      </c>
      <c r="P53" s="317" t="s">
        <v>5351</v>
      </c>
      <c r="Q53" s="337" t="s">
        <v>5352</v>
      </c>
      <c r="R53" s="164" t="s">
        <v>5353</v>
      </c>
      <c r="S53" s="17"/>
      <c r="T53" s="17"/>
      <c r="U53" s="17"/>
      <c r="V53" s="17"/>
      <c r="W53" s="17"/>
      <c r="X53" s="17"/>
      <c r="Y53" s="17"/>
      <c r="Z53" s="17"/>
    </row>
    <row r="54">
      <c r="A54" s="333" t="s">
        <v>5354</v>
      </c>
      <c r="B54" s="161" t="s">
        <v>5355</v>
      </c>
      <c r="C54" s="346" t="s">
        <v>5356</v>
      </c>
      <c r="D54" s="161" t="s">
        <v>5357</v>
      </c>
      <c r="E54" s="333" t="s">
        <v>5358</v>
      </c>
      <c r="F54" s="161" t="s">
        <v>5359</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5360</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5361</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5362</v>
      </c>
      <c r="P54" s="317" t="s">
        <v>5363</v>
      </c>
      <c r="Q54" s="337" t="s">
        <v>5364</v>
      </c>
      <c r="R54" s="338" t="s">
        <v>5365</v>
      </c>
      <c r="S54" s="17"/>
      <c r="T54" s="17"/>
      <c r="U54" s="17"/>
      <c r="V54" s="17"/>
      <c r="W54" s="17"/>
      <c r="X54" s="17"/>
      <c r="Y54" s="17"/>
      <c r="Z54" s="17"/>
    </row>
    <row r="55">
      <c r="A55" s="333" t="s">
        <v>4302</v>
      </c>
      <c r="B55" s="161" t="s">
        <v>5366</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5367</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5368</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5369</v>
      </c>
      <c r="Q55" s="337" t="s">
        <v>5370</v>
      </c>
      <c r="R55" s="338" t="s">
        <v>5371</v>
      </c>
      <c r="S55" s="17"/>
      <c r="T55" s="17"/>
      <c r="U55" s="17"/>
      <c r="V55" s="17"/>
      <c r="W55" s="17"/>
      <c r="X55" s="17"/>
      <c r="Y55" s="17"/>
      <c r="Z55" s="17"/>
    </row>
    <row r="56">
      <c r="A56" s="333" t="s">
        <v>5372</v>
      </c>
      <c r="B56" s="317" t="s">
        <v>5373</v>
      </c>
      <c r="C56" s="346" t="s">
        <v>5374</v>
      </c>
      <c r="D56" s="185" t="s">
        <v>5375</v>
      </c>
      <c r="E56" s="333" t="s">
        <v>5376</v>
      </c>
      <c r="F56" s="161" t="s">
        <v>5377</v>
      </c>
      <c r="G56" s="335" t="str">
        <f>IFERROR(__xludf.DUMMYFUNCTION("GOOGLETRANSLATE(A56,""zh-tw"",""zh"")"),"炎天娃娃")</f>
        <v>炎天娃娃</v>
      </c>
      <c r="H56" s="162" t="str">
        <f>IFERROR(__xludf.DUMMYFUNCTION("GOOGLETRANSLATE(B56,""zh-tw"",""zh"")"),"魔抗：10
幸运：10
第二天炎热")</f>
        <v>魔抗：10
幸运：10
第二天炎热</v>
      </c>
      <c r="I56" s="333" t="s">
        <v>5376</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5378</v>
      </c>
      <c r="P56" s="317" t="s">
        <v>5379</v>
      </c>
      <c r="Q56" s="349" t="s">
        <v>5380</v>
      </c>
      <c r="R56" s="338" t="s">
        <v>5381</v>
      </c>
      <c r="S56" s="17"/>
      <c r="T56" s="17"/>
      <c r="U56" s="17"/>
      <c r="V56" s="17"/>
      <c r="W56" s="17"/>
      <c r="X56" s="17"/>
      <c r="Y56" s="17"/>
      <c r="Z56" s="17"/>
    </row>
    <row r="57">
      <c r="A57" s="333" t="s">
        <v>5382</v>
      </c>
      <c r="B57" s="161" t="s">
        <v>5383</v>
      </c>
      <c r="C57" s="346" t="s">
        <v>5384</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5385</v>
      </c>
      <c r="F57" s="161" t="s">
        <v>5386</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5387</v>
      </c>
      <c r="J57" s="351" t="s">
        <v>5388</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5389</v>
      </c>
      <c r="P57" s="317" t="s">
        <v>5390</v>
      </c>
      <c r="Q57" s="337" t="s">
        <v>5391</v>
      </c>
      <c r="R57" s="338" t="s">
        <v>5392</v>
      </c>
      <c r="S57" s="17"/>
      <c r="T57" s="17"/>
      <c r="U57" s="17"/>
      <c r="V57" s="17"/>
      <c r="W57" s="17"/>
      <c r="X57" s="17"/>
      <c r="Y57" s="17"/>
      <c r="Z57" s="17"/>
    </row>
    <row r="58">
      <c r="A58" s="335" t="s">
        <v>5393</v>
      </c>
      <c r="B58" s="162" t="s">
        <v>5394</v>
      </c>
      <c r="C58" s="333" t="s">
        <v>5395</v>
      </c>
      <c r="D58" s="162" t="s">
        <v>5396</v>
      </c>
      <c r="E58" s="335" t="s">
        <v>5397</v>
      </c>
      <c r="F58" s="162" t="s">
        <v>5398</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5397</v>
      </c>
      <c r="P58" s="161" t="s">
        <v>5399</v>
      </c>
      <c r="Q58" s="352" t="s">
        <v>5400</v>
      </c>
      <c r="R58" s="353" t="s">
        <v>5401</v>
      </c>
      <c r="S58" s="17"/>
      <c r="T58" s="17"/>
      <c r="U58" s="17"/>
      <c r="V58" s="17"/>
      <c r="W58" s="17"/>
      <c r="X58" s="17"/>
      <c r="Y58" s="17"/>
      <c r="Z58" s="17"/>
    </row>
    <row r="59">
      <c r="A59" s="335" t="s">
        <v>5402</v>
      </c>
      <c r="B59" s="162" t="s">
        <v>5403</v>
      </c>
      <c r="C59" s="333" t="s">
        <v>4323</v>
      </c>
      <c r="D59" s="162" t="s">
        <v>5404</v>
      </c>
      <c r="E59" s="335" t="s">
        <v>5405</v>
      </c>
      <c r="F59" s="162" t="s">
        <v>5406</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5407</v>
      </c>
      <c r="P59" s="161" t="s">
        <v>5408</v>
      </c>
      <c r="Q59" s="354" t="s">
        <v>5409</v>
      </c>
      <c r="R59" s="325" t="s">
        <v>5410</v>
      </c>
      <c r="S59" s="17"/>
      <c r="T59" s="17"/>
      <c r="U59" s="17"/>
      <c r="V59" s="17"/>
      <c r="W59" s="17"/>
      <c r="X59" s="17"/>
      <c r="Y59" s="17"/>
      <c r="Z59" s="17"/>
    </row>
    <row r="60">
      <c r="A60" s="335" t="s">
        <v>5411</v>
      </c>
      <c r="B60" s="162" t="s">
        <v>5412</v>
      </c>
      <c r="C60" s="354" t="s">
        <v>5413</v>
      </c>
      <c r="D60" s="186" t="s">
        <v>5414</v>
      </c>
      <c r="E60" s="333" t="s">
        <v>5415</v>
      </c>
      <c r="F60" s="161" t="s">
        <v>5416</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5417</v>
      </c>
      <c r="P60" s="161" t="s">
        <v>5418</v>
      </c>
      <c r="Q60" s="352" t="s">
        <v>5419</v>
      </c>
      <c r="R60" s="325" t="s">
        <v>5420</v>
      </c>
      <c r="S60" s="355"/>
      <c r="T60" s="355"/>
      <c r="U60" s="355"/>
      <c r="V60" s="355"/>
      <c r="W60" s="355"/>
      <c r="X60" s="355"/>
      <c r="Y60" s="355"/>
      <c r="Z60" s="355"/>
    </row>
    <row r="61">
      <c r="A61" s="333" t="s">
        <v>5421</v>
      </c>
      <c r="B61" s="161" t="s">
        <v>5422</v>
      </c>
      <c r="C61" s="346" t="s">
        <v>5423</v>
      </c>
      <c r="D61" s="185" t="s">
        <v>5424</v>
      </c>
      <c r="E61" s="333" t="s">
        <v>5425</v>
      </c>
      <c r="F61" s="161" t="s">
        <v>5426</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5427</v>
      </c>
      <c r="P61" s="161" t="s">
        <v>5428</v>
      </c>
      <c r="Q61" s="337" t="s">
        <v>5429</v>
      </c>
      <c r="R61" s="338" t="s">
        <v>5430</v>
      </c>
      <c r="S61" s="17"/>
      <c r="T61" s="17"/>
      <c r="U61" s="17"/>
      <c r="V61" s="17"/>
      <c r="W61" s="17"/>
      <c r="X61" s="17"/>
      <c r="Y61" s="17"/>
      <c r="Z61" s="17"/>
    </row>
    <row r="62">
      <c r="A62" s="339" t="s">
        <v>5431</v>
      </c>
      <c r="B62" s="322" t="s">
        <v>5432</v>
      </c>
      <c r="C62" s="339" t="s">
        <v>5433</v>
      </c>
      <c r="D62" s="322" t="s">
        <v>5434</v>
      </c>
      <c r="E62" s="339" t="s">
        <v>5435</v>
      </c>
      <c r="F62" s="322" t="s">
        <v>5436</v>
      </c>
      <c r="G62" s="335" t="str">
        <f>IFERROR(__xludf.DUMMYFUNCTION("GOOGLETRANSLATE(A62,""zh-tw"",""zh"")"),"火蝾螈之卷")</f>
        <v>火蝾螈之卷</v>
      </c>
      <c r="H62" s="162" t="str">
        <f>IFERROR(__xludf.DUMMYFUNCTION("GOOGLETRANSLATE(B62,""zh-tw"",""zh"")"),"魔攻：50
魔防：15
强化火焰元素")</f>
        <v>魔攻：50
魔防：15
强化火焰元素</v>
      </c>
      <c r="I62" s="335" t="str">
        <f>IFERROR(__xludf.DUMMYFUNCTION("GOOGLETRANSLATE(A62,""zh-tw"",""es-MX"")"),"Pergamino de la Salamandra de Fuego")</f>
        <v>Pergamino de la Salamandra de Fuego</v>
      </c>
      <c r="J62" s="162" t="str">
        <f>IFERROR(__xludf.DUMMYFUNCTION("GOOGLETRANSLATE(B62,""zh-tw"",""es-MX"")"),"Ataque mágico: 50
Defensa mágica: 15
Elemento fuego potenciado")</f>
        <v>Ataque mágico: 50
Defensa mágica: 15
Elemento fuego potenciado</v>
      </c>
      <c r="K62" s="335" t="str">
        <f>IFERROR(__xludf.DUMMYFUNCTION("GOOGLETRANSLATE(A62,""zh-tw"",""KO"")"),"불도롱뇽 두루마리")</f>
        <v>불도롱뇽 두루마리</v>
      </c>
      <c r="L62" s="162" t="str">
        <f>IFERROR(__xludf.DUMMYFUNCTION("GOOGLETRANSLATE(B62,""zh-tw"",""KO"")"),"마법 공격력: 50
마법 방어력: 15
향상된 화속성")</f>
        <v>마법 공격력: 50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5" t="s">
        <v>5437</v>
      </c>
      <c r="P62" s="162" t="s">
        <v>5438</v>
      </c>
      <c r="Q62" s="337" t="s">
        <v>5439</v>
      </c>
      <c r="R62" s="338" t="s">
        <v>5440</v>
      </c>
      <c r="S62" s="17"/>
      <c r="T62" s="17"/>
      <c r="U62" s="17"/>
      <c r="V62" s="17"/>
      <c r="W62" s="17"/>
      <c r="X62" s="17"/>
      <c r="Y62" s="17"/>
      <c r="Z62" s="17"/>
    </row>
    <row r="63">
      <c r="A63" s="339" t="s">
        <v>5441</v>
      </c>
      <c r="B63" s="322" t="s">
        <v>5442</v>
      </c>
      <c r="C63" s="346" t="s">
        <v>5443</v>
      </c>
      <c r="D63" s="185" t="s">
        <v>5444</v>
      </c>
      <c r="E63" s="339" t="s">
        <v>5445</v>
      </c>
      <c r="F63" s="322" t="s">
        <v>5446</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5447</v>
      </c>
      <c r="P63" s="162" t="s">
        <v>5448</v>
      </c>
      <c r="Q63" s="337" t="s">
        <v>5449</v>
      </c>
      <c r="R63" s="338" t="s">
        <v>5450</v>
      </c>
      <c r="S63" s="17"/>
      <c r="T63" s="17"/>
      <c r="U63" s="17"/>
      <c r="V63" s="17"/>
      <c r="W63" s="17"/>
      <c r="X63" s="17"/>
      <c r="Y63" s="17"/>
      <c r="Z63" s="17"/>
    </row>
    <row r="64">
      <c r="A64" s="333" t="s">
        <v>5451</v>
      </c>
      <c r="B64" s="161" t="s">
        <v>5452</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5453</v>
      </c>
      <c r="F64" s="161" t="s">
        <v>5454</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5455</v>
      </c>
      <c r="R64" s="338" t="s">
        <v>5456</v>
      </c>
      <c r="S64" s="17"/>
      <c r="T64" s="17"/>
      <c r="U64" s="17"/>
      <c r="V64" s="17"/>
      <c r="W64" s="17"/>
      <c r="X64" s="17"/>
      <c r="Y64" s="17"/>
      <c r="Z64" s="17"/>
    </row>
    <row r="65">
      <c r="A65" s="333" t="s">
        <v>5457</v>
      </c>
      <c r="B65" s="161" t="s">
        <v>5458</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5459</v>
      </c>
      <c r="F65" s="161" t="s">
        <v>5460</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5461</v>
      </c>
      <c r="R65" s="338" t="s">
        <v>5462</v>
      </c>
      <c r="S65" s="17"/>
      <c r="T65" s="17"/>
      <c r="U65" s="17"/>
      <c r="V65" s="17"/>
      <c r="W65" s="17"/>
      <c r="X65" s="17"/>
      <c r="Y65" s="17"/>
      <c r="Z65" s="17"/>
    </row>
    <row r="66">
      <c r="A66" s="333" t="s">
        <v>5463</v>
      </c>
      <c r="B66" s="161" t="s">
        <v>5464</v>
      </c>
      <c r="C66" s="335"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3" t="s">
        <v>5465</v>
      </c>
      <c r="F66" s="161" t="s">
        <v>5466</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5467</v>
      </c>
      <c r="R66" s="338" t="s">
        <v>5468</v>
      </c>
      <c r="S66" s="17"/>
      <c r="T66" s="17"/>
      <c r="U66" s="17"/>
      <c r="V66" s="17"/>
      <c r="W66" s="17"/>
      <c r="X66" s="17"/>
      <c r="Y66" s="17"/>
      <c r="Z66" s="17"/>
    </row>
    <row r="67">
      <c r="A67" s="333" t="s">
        <v>5469</v>
      </c>
      <c r="B67" s="161" t="s">
        <v>5470</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5471</v>
      </c>
      <c r="F67" s="161" t="s">
        <v>5472</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5473</v>
      </c>
      <c r="R67" s="338" t="s">
        <v>5474</v>
      </c>
      <c r="S67" s="17"/>
      <c r="T67" s="17"/>
      <c r="U67" s="17"/>
      <c r="V67" s="17"/>
      <c r="W67" s="17"/>
      <c r="X67" s="17"/>
      <c r="Y67" s="17"/>
      <c r="Z67" s="17"/>
    </row>
    <row r="68">
      <c r="A68" s="333" t="s">
        <v>5475</v>
      </c>
      <c r="B68" s="161" t="s">
        <v>5476</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5477</v>
      </c>
      <c r="F68" s="161" t="s">
        <v>5478</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5479</v>
      </c>
      <c r="R68" s="338" t="s">
        <v>5480</v>
      </c>
      <c r="S68" s="17"/>
      <c r="T68" s="17"/>
      <c r="U68" s="17"/>
      <c r="V68" s="17"/>
      <c r="W68" s="17"/>
      <c r="X68" s="17"/>
      <c r="Y68" s="17"/>
      <c r="Z68" s="17"/>
    </row>
    <row r="69">
      <c r="A69" s="333" t="s">
        <v>5481</v>
      </c>
      <c r="B69" s="161" t="s">
        <v>5482</v>
      </c>
      <c r="C69" s="335" t="str">
        <f>IFERROR(__xludf.DUMMYFUNCTION("GOOGLETRANSLATE(A69,""zh-tw"",""ja"")"),"安全手袋")</f>
        <v>安全手袋</v>
      </c>
      <c r="D69" s="162" t="str">
        <f>IFERROR(__xludf.DUMMYFUNCTION("GOOGLETRANSLATE(B69,""zh-tw"",""ja"")"),"物理防御力: 2 魔法耐性: 45 雷防御")</f>
        <v>物理防御力: 2 魔法耐性: 45 雷防御</v>
      </c>
      <c r="E69" s="333" t="s">
        <v>5483</v>
      </c>
      <c r="F69" s="161" t="s">
        <v>5484</v>
      </c>
      <c r="G69" s="335" t="str">
        <f>IFERROR(__xludf.DUMMYFUNCTION("GOOGLETRANSLATE(A69,""zh-tw"",""zh"")"),"安全手套")</f>
        <v>安全手套</v>
      </c>
      <c r="H69" s="162" t="str">
        <f>IFERROR(__xludf.DUMMYFUNCTION("GOOGLETRANSLATE(B69,""zh-tw"",""zh"")"),"物防：2
魔抗：45
防御雷电")</f>
        <v>物防：2
魔抗：45
防御雷电</v>
      </c>
      <c r="I69" s="335" t="str">
        <f>IFERROR(__xludf.DUMMYFUNCTION("GOOGLETRANSLATE(A69,""zh-tw"",""es-MX"")"),"guantes de seguridad")</f>
        <v>guantes de seguridad</v>
      </c>
      <c r="J69" s="162" t="str">
        <f>IFERROR(__xludf.DUMMYFUNCTION("GOOGLETRANSLATE(B69,""zh-tw"",""es-MX"")"),"Defensa física: 2 Resistencia mágica: 45 Defensa contra rayos")</f>
        <v>Defensa física: 2 Resistencia mágica: 45 Defensa contra rayos</v>
      </c>
      <c r="K69" s="335" t="str">
        <f>IFERROR(__xludf.DUMMYFUNCTION("GOOGLETRANSLATE(A69,""zh-tw"",""KO"")"),"안전 장갑")</f>
        <v>안전 장갑</v>
      </c>
      <c r="L69" s="162" t="str">
        <f>IFERROR(__xludf.DUMMYFUNCTION("GOOGLETRANSLATE(B69,""zh-tw"",""KO"")"),"물리 방어력: 2 마법 저항력: 45 번개 방어력")</f>
        <v>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 Verteidigung: 2 Magieresistenz: 45 Blitzverteidigung")</f>
        <v>Physische Verteidigung: 2 Magieresistenz: 45 Blitzverteidigung</v>
      </c>
      <c r="Q69" s="337" t="s">
        <v>5485</v>
      </c>
      <c r="R69" s="338" t="s">
        <v>5486</v>
      </c>
      <c r="S69" s="17"/>
      <c r="T69" s="17"/>
      <c r="U69" s="17"/>
      <c r="V69" s="17"/>
      <c r="W69" s="17"/>
      <c r="X69" s="17"/>
      <c r="Y69" s="17"/>
      <c r="Z69" s="17"/>
    </row>
    <row r="70">
      <c r="A70" s="333" t="s">
        <v>5487</v>
      </c>
      <c r="B70" s="161" t="s">
        <v>5488</v>
      </c>
      <c r="C70" s="335" t="str">
        <f>IFERROR(__xludf.DUMMYFUNCTION("GOOGLETRANSLATE(A70,""zh-tw"",""ja"")"),"シャープブレードリング")</f>
        <v>シャープブレードリング</v>
      </c>
      <c r="D70" s="162" t="str">
        <f>IFERROR(__xludf.DUMMYFUNCTION("GOOGLETRANSLATE(B70,""zh-tw"",""ja"")"),"物理攻撃力+15%")</f>
        <v>物理攻撃力+15%</v>
      </c>
      <c r="E70" s="333" t="s">
        <v>5489</v>
      </c>
      <c r="F70" s="161" t="s">
        <v>5490</v>
      </c>
      <c r="G70" s="335" t="str">
        <f>IFERROR(__xludf.DUMMYFUNCTION("GOOGLETRANSLATE(A70,""zh-tw"",""zh"")"),"锐刃指环")</f>
        <v>锐刃指环</v>
      </c>
      <c r="H70" s="162" t="str">
        <f>IFERROR(__xludf.DUMMYFUNCTION("GOOGLETRANSLATE(B70,""zh-tw"",""zh"")"),"物攻+15%")</f>
        <v>物攻+15%</v>
      </c>
      <c r="I70" s="335" t="str">
        <f>IFERROR(__xludf.DUMMYFUNCTION("GOOGLETRANSLATE(A70,""zh-tw"",""es-MX"")"),"Anillo de hoja afilada")</f>
        <v>Anillo de hoja afilada</v>
      </c>
      <c r="J70" s="162" t="str">
        <f>IFERROR(__xludf.DUMMYFUNCTION("GOOGLETRANSLATE(B70,""zh-tw"",""es-MX"")"),"Ataque físico +15%")</f>
        <v>Ataque físico +15%</v>
      </c>
      <c r="K70" s="335" t="str">
        <f>IFERROR(__xludf.DUMMYFUNCTION("GOOGLETRANSLATE(A70,""zh-tw"",""KO"")"),"날카로운 칼날 반지")</f>
        <v>날카로운 칼날 반지</v>
      </c>
      <c r="L70" s="162" t="str">
        <f>IFERROR(__xludf.DUMMYFUNCTION("GOOGLETRANSLATE(B70,""zh-tw"",""KO"")"),"물리 공격력 +15%")</f>
        <v>물리 공격력 +15%</v>
      </c>
      <c r="M70" s="336" t="str">
        <f>IFERROR(__xludf.DUMMYFUNCTION("GOOGLETRANSLATE(A70,""zh-tw"",""ru"")"),"Кольцо с острым лезвием")</f>
        <v>Кольцо с острым лезвием</v>
      </c>
      <c r="N70" s="315" t="str">
        <f>IFERROR(__xludf.DUMMYFUNCTION("GOOGLETRANSLATE(B70,""zh-tw"",""ru"")"),"Физическая атака +15%")</f>
        <v>Физическая атака +15%</v>
      </c>
      <c r="O70" s="336" t="str">
        <f>IFERROR(__xludf.DUMMYFUNCTION("GOOGLETRANSLATE(A70,""zh-tw"",""de"")"),"Scharfer Klingenring")</f>
        <v>Scharfer Klingenring</v>
      </c>
      <c r="P70" s="315" t="str">
        <f>IFERROR(__xludf.DUMMYFUNCTION("GOOGLETRANSLATE(B70,""zh-tw"",""de"")"),"Physischer Angriff +15 %")</f>
        <v>Physischer Angriff +15 %</v>
      </c>
      <c r="Q70" s="337" t="s">
        <v>5491</v>
      </c>
      <c r="R70" s="338" t="s">
        <v>5492</v>
      </c>
      <c r="S70" s="17"/>
      <c r="T70" s="17"/>
      <c r="U70" s="17"/>
      <c r="V70" s="17"/>
      <c r="W70" s="17"/>
      <c r="X70" s="17"/>
      <c r="Y70" s="17"/>
      <c r="Z70" s="17"/>
    </row>
    <row r="71">
      <c r="A71" s="333" t="s">
        <v>5493</v>
      </c>
      <c r="B71" s="161" t="s">
        <v>5494</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5495</v>
      </c>
      <c r="F71" s="161" t="s">
        <v>5496</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5495</v>
      </c>
      <c r="R71" s="338" t="s">
        <v>5497</v>
      </c>
      <c r="S71" s="17"/>
      <c r="T71" s="17"/>
      <c r="U71" s="17"/>
      <c r="V71" s="17"/>
      <c r="W71" s="17"/>
      <c r="X71" s="17"/>
      <c r="Y71" s="17"/>
      <c r="Z71" s="17"/>
    </row>
    <row r="72">
      <c r="A72" s="333" t="s">
        <v>5498</v>
      </c>
      <c r="B72" s="161" t="s">
        <v>5499</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5500</v>
      </c>
      <c r="F72" s="161" t="s">
        <v>5501</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5502</v>
      </c>
      <c r="R72" s="338" t="s">
        <v>5503</v>
      </c>
      <c r="S72" s="17"/>
      <c r="T72" s="17"/>
      <c r="U72" s="17"/>
      <c r="V72" s="17"/>
      <c r="W72" s="17"/>
      <c r="X72" s="17"/>
      <c r="Y72" s="17"/>
      <c r="Z72" s="17"/>
    </row>
    <row r="73">
      <c r="A73" s="333" t="s">
        <v>5504</v>
      </c>
      <c r="B73" s="161" t="s">
        <v>5505</v>
      </c>
      <c r="C73" s="335" t="str">
        <f>IFERROR(__xludf.DUMMYFUNCTION("GOOGLETRANSLATE(A73,""zh-tw"",""ja"")"),"五剣くんのバッジ")</f>
        <v>五剣くんのバッジ</v>
      </c>
      <c r="D73" s="162" t="str">
        <f>IFERROR(__xludf.DUMMYFUNCTION("GOOGLETRANSLATE(B73,""zh-tw"",""ja"")"),"攻撃力と攻撃上限ボーナスを減らし、武器の耐久性消費を減らします。")</f>
        <v>攻撃力と攻撃上限ボーナスを減らし、武器の耐久性消費を減らします。</v>
      </c>
      <c r="E73" s="333" t="s">
        <v>5506</v>
      </c>
      <c r="F73" s="161" t="s">
        <v>5507</v>
      </c>
      <c r="G73" s="335" t="str">
        <f>IFERROR(__xludf.DUMMYFUNCTION("GOOGLETRANSLATE(A73,""zh-tw"",""zh"")"),"护刃众的徽章")</f>
        <v>护刃众的徽章</v>
      </c>
      <c r="H73" s="162" t="str">
        <f>IFERROR(__xludf.DUMMYFUNCTION("GOOGLETRANSLATE(B73,""zh-tw"",""zh"")"),"减少攻击力以及攻击上限加成
降低武器耐久度消耗")</f>
        <v>减少攻击力以及攻击上限加成
降低武器耐久度消耗</v>
      </c>
      <c r="I73" s="335" t="str">
        <f>IFERROR(__xludf.DUMMYFUNCTION("GOOGLETRANSLATE(A73,""zh-tw"",""es-MX"")"),"Insignias de Goken-kun")</f>
        <v>Insignias de Goken-kun</v>
      </c>
      <c r="J73" s="162"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5" t="str">
        <f>IFERROR(__xludf.DUMMYFUNCTION("GOOGLETRANSLATE(A73,""zh-tw"",""KO"")"),"고켄군의 배지")</f>
        <v>고켄군의 배지</v>
      </c>
      <c r="L73" s="162"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6" t="str">
        <f>IFERROR(__xludf.DUMMYFUNCTION("GOOGLETRANSLATE(A73,""zh-tw"",""ru"")"),"Значки Гокен-куна")</f>
        <v>Значки Гокен-куна</v>
      </c>
      <c r="N73" s="315"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6" t="str">
        <f>IFERROR(__xludf.DUMMYFUNCTION("GOOGLETRANSLATE(A73,""zh-tw"",""de"")"),"Abzeichen des Goken-kun")</f>
        <v>Abzeichen des Goken-kun</v>
      </c>
      <c r="P73" s="315" t="str">
        <f>IFERROR(__xludf.DUMMYFUNCTION("GOOGLETRANSLATE(B73,""zh-tw"",""de"")"),"Verringert Angriffskraft und Angriffslimitboni; verringert den Waffenhaltbarkeitsverbrauch.")</f>
        <v>Verringert Angriffskraft und Angriffslimitboni; verringert den Waffenhaltbarkeitsverbrauch.</v>
      </c>
      <c r="Q73" s="337" t="s">
        <v>5508</v>
      </c>
      <c r="R73" s="338" t="s">
        <v>5509</v>
      </c>
      <c r="S73" s="17"/>
      <c r="T73" s="17"/>
      <c r="U73" s="17"/>
      <c r="V73" s="17"/>
      <c r="W73" s="17"/>
      <c r="X73" s="17"/>
      <c r="Y73" s="17"/>
      <c r="Z73" s="17"/>
    </row>
    <row r="74">
      <c r="A74" s="333" t="s">
        <v>5510</v>
      </c>
      <c r="B74" s="161" t="s">
        <v>5511</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5512</v>
      </c>
      <c r="F74" s="161" t="s">
        <v>5513</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5514</v>
      </c>
      <c r="R74" s="338" t="s">
        <v>5515</v>
      </c>
      <c r="S74" s="17"/>
      <c r="T74" s="17"/>
      <c r="U74" s="17"/>
      <c r="V74" s="17"/>
      <c r="W74" s="17"/>
      <c r="X74" s="17"/>
      <c r="Y74" s="17"/>
      <c r="Z74" s="17"/>
    </row>
    <row r="75">
      <c r="A75" s="339" t="s">
        <v>4375</v>
      </c>
      <c r="B75" s="161" t="s">
        <v>5516</v>
      </c>
      <c r="C75" s="346" t="s">
        <v>5517</v>
      </c>
      <c r="D75" s="185" t="s">
        <v>5518</v>
      </c>
      <c r="E75" s="333" t="s">
        <v>4381</v>
      </c>
      <c r="F75" s="161" t="s">
        <v>5519</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5520</v>
      </c>
      <c r="Q75" s="337" t="s">
        <v>4387</v>
      </c>
      <c r="R75" s="338" t="s">
        <v>5521</v>
      </c>
      <c r="S75" s="17"/>
      <c r="T75" s="17"/>
      <c r="U75" s="17"/>
      <c r="V75" s="17"/>
      <c r="W75" s="17"/>
      <c r="X75" s="17"/>
      <c r="Y75" s="17"/>
      <c r="Z75" s="17"/>
    </row>
    <row r="76">
      <c r="A76" s="335" t="s">
        <v>4390</v>
      </c>
      <c r="B76" s="161" t="s">
        <v>5522</v>
      </c>
      <c r="C76" s="335" t="s">
        <v>4390</v>
      </c>
      <c r="D76" s="185" t="s">
        <v>5523</v>
      </c>
      <c r="E76" s="333" t="s">
        <v>4394</v>
      </c>
      <c r="F76" s="161" t="s">
        <v>5524</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5525</v>
      </c>
      <c r="Q76" s="352" t="s">
        <v>4398</v>
      </c>
      <c r="R76" s="338" t="s">
        <v>5526</v>
      </c>
      <c r="S76" s="17"/>
      <c r="T76" s="17"/>
      <c r="U76" s="17"/>
      <c r="V76" s="17"/>
      <c r="W76" s="17"/>
      <c r="X76" s="17"/>
      <c r="Y76" s="17"/>
      <c r="Z76" s="17"/>
    </row>
    <row r="77">
      <c r="A77" s="335" t="s">
        <v>5527</v>
      </c>
      <c r="B77" s="161" t="s">
        <v>5528</v>
      </c>
      <c r="C77" s="346" t="s">
        <v>5529</v>
      </c>
      <c r="D77" s="185" t="s">
        <v>5530</v>
      </c>
      <c r="E77" s="333" t="s">
        <v>5531</v>
      </c>
      <c r="F77" s="161" t="s">
        <v>5532</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y puede ser eliminado. Suerte: 40")</f>
        <v>Ataque arrojadizo. Desaparece al contacto con el agua y puede ser eliminado. Suerte: 40</v>
      </c>
      <c r="K77" s="335" t="str">
        <f>IFERROR(__xludf.DUMMYFUNCTION("GOOGLETRANSLATE(A77,""zh-tw"",""KO"")"),"◉▽◉(분홍색)")</f>
        <v>◉▽◉(분홍색)</v>
      </c>
      <c r="L77" s="162" t="str">
        <f>IFERROR(__xludf.DUMMYFUNCTION("GOOGLETRANSLATE(B77,""zh-tw"",""KO"")"),"던지기 공격. 물에 닿으면 사라지며, 죽을 수도 있습니다. 행운: 40")</f>
        <v>던지기 공격. 물에 닿으면 사라지며, 죽을 수도 있습니다. 행운: 40</v>
      </c>
      <c r="M77" s="336" t="str">
        <f>IFERROR(__xludf.DUMMYFUNCTION("GOOGLETRANSLATE(A77,""zh-tw"",""ru"")"),"◉▽◉(Розовый)")</f>
        <v>◉▽◉(Розовый)</v>
      </c>
      <c r="N77" s="315" t="str">
        <f>IFERROR(__xludf.DUMMYFUNCTION("GOOGLETRANSLATE(B77,""zh-tw"",""ru"")"),"Бросок. Исчезает при контакте с водой и может быть убит. Удача: 40.")</f>
        <v>Бросок. Исчезает при контакте с водой и может быть убит. Удача: 40.</v>
      </c>
      <c r="O77" s="333" t="s">
        <v>5533</v>
      </c>
      <c r="P77" s="161" t="s">
        <v>5534</v>
      </c>
      <c r="Q77" s="352" t="s">
        <v>5535</v>
      </c>
      <c r="R77" s="338" t="s">
        <v>5536</v>
      </c>
      <c r="S77" s="17"/>
      <c r="T77" s="17"/>
      <c r="U77" s="17"/>
      <c r="V77" s="17"/>
      <c r="W77" s="17"/>
      <c r="X77" s="17"/>
      <c r="Y77" s="17"/>
      <c r="Z77" s="17"/>
    </row>
    <row r="78">
      <c r="A78" s="333" t="s">
        <v>5537</v>
      </c>
      <c r="B78" s="161" t="s">
        <v>5538</v>
      </c>
      <c r="C78" s="346" t="s">
        <v>5539</v>
      </c>
      <c r="D78" s="185" t="s">
        <v>5540</v>
      </c>
      <c r="E78" s="333" t="s">
        <v>5541</v>
      </c>
      <c r="F78" s="161" t="s">
        <v>5542</v>
      </c>
      <c r="G78" s="335" t="str">
        <f>IFERROR(__xludf.DUMMYFUNCTION("GOOGLETRANSLATE(A78,""zh-tw"",""zh"")"),"初号核心I~VII")</f>
        <v>初号核心I~VII</v>
      </c>
      <c r="H78" s="162"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5" t="str">
        <f>IFERROR(__xludf.DUMMYFUNCTION("GOOGLETRANSLATE(A78,""zh-tw"",""es-MX"")"),"Núcleo inicial I~VII")</f>
        <v>Núcleo inicial I~VII</v>
      </c>
      <c r="J78" s="162"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5" t="str">
        <f>IFERROR(__xludf.DUMMYFUNCTION("GOOGLETRANSLATE(A78,""zh-tw"",""KO"")"),"초기 코어 I~VII")</f>
        <v>초기 코어 I~VII</v>
      </c>
      <c r="L78" s="162"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6" t="str">
        <f>IFERROR(__xludf.DUMMYFUNCTION("GOOGLETRANSLATE(A78,""zh-tw"",""ru"")"),"Начальное ядро ​​I~VII")</f>
        <v>Начальное ядро ​​I~VII</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3" t="s">
        <v>5543</v>
      </c>
      <c r="P78" s="161" t="s">
        <v>5544</v>
      </c>
      <c r="Q78" s="337" t="s">
        <v>5541</v>
      </c>
      <c r="R78" s="338" t="s">
        <v>5545</v>
      </c>
      <c r="S78" s="17"/>
      <c r="T78" s="17"/>
      <c r="U78" s="17"/>
      <c r="V78" s="17"/>
      <c r="W78" s="17"/>
      <c r="X78" s="17"/>
      <c r="Y78" s="17"/>
      <c r="Z78" s="17"/>
    </row>
    <row r="79">
      <c r="A79" s="333" t="s">
        <v>5546</v>
      </c>
      <c r="B79" s="161" t="s">
        <v>5547</v>
      </c>
      <c r="C79" s="346" t="s">
        <v>5548</v>
      </c>
      <c r="D79" s="185" t="s">
        <v>5549</v>
      </c>
      <c r="E79" s="333" t="s">
        <v>5550</v>
      </c>
      <c r="F79" s="161" t="s">
        <v>5551</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5552</v>
      </c>
      <c r="R79" s="323" t="s">
        <v>5553</v>
      </c>
      <c r="S79" s="17"/>
      <c r="T79" s="17"/>
      <c r="U79" s="17"/>
      <c r="V79" s="17"/>
      <c r="W79" s="17"/>
      <c r="X79" s="17"/>
      <c r="Y79" s="17"/>
      <c r="Z79" s="17"/>
    </row>
    <row r="80">
      <c r="A80" s="333" t="s">
        <v>5554</v>
      </c>
      <c r="B80" s="161" t="s">
        <v>5555</v>
      </c>
      <c r="C80" s="346" t="s">
        <v>5556</v>
      </c>
      <c r="D80" s="185" t="s">
        <v>5557</v>
      </c>
      <c r="E80" s="333" t="s">
        <v>5558</v>
      </c>
      <c r="F80" s="161" t="s">
        <v>5559</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5560</v>
      </c>
      <c r="R80" s="323" t="s">
        <v>5561</v>
      </c>
      <c r="S80" s="17"/>
      <c r="T80" s="17"/>
      <c r="U80" s="17"/>
      <c r="V80" s="17"/>
      <c r="W80" s="17"/>
      <c r="X80" s="17"/>
      <c r="Y80" s="17"/>
      <c r="Z80" s="17"/>
    </row>
    <row r="81">
      <c r="A81" s="333" t="s">
        <v>5562</v>
      </c>
      <c r="B81" s="161" t="s">
        <v>5563</v>
      </c>
      <c r="C81" s="346" t="s">
        <v>5564</v>
      </c>
      <c r="D81" s="185" t="s">
        <v>5565</v>
      </c>
      <c r="E81" s="333" t="s">
        <v>5566</v>
      </c>
      <c r="F81" s="161" t="s">
        <v>5567</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5568</v>
      </c>
      <c r="R81" s="323" t="s">
        <v>5569</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5570</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5571</v>
      </c>
      <c r="S1" s="300"/>
      <c r="T1" s="300"/>
      <c r="U1" s="300"/>
      <c r="V1" s="300"/>
    </row>
    <row r="2">
      <c r="A2" s="328" t="s">
        <v>5572</v>
      </c>
      <c r="B2" s="72" t="s">
        <v>5573</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5574</v>
      </c>
      <c r="P2" s="72" t="s">
        <v>5575</v>
      </c>
      <c r="Q2" s="359" t="s">
        <v>5576</v>
      </c>
      <c r="R2" s="360" t="s">
        <v>5577</v>
      </c>
      <c r="S2" s="361"/>
      <c r="T2" s="361"/>
      <c r="U2" s="361"/>
      <c r="V2" s="361"/>
    </row>
    <row r="3">
      <c r="A3" s="333" t="s">
        <v>5578</v>
      </c>
      <c r="B3" s="161" t="s">
        <v>5579</v>
      </c>
      <c r="C3" s="333" t="s">
        <v>5580</v>
      </c>
      <c r="D3" s="161" t="s">
        <v>5581</v>
      </c>
      <c r="E3" s="333" t="s">
        <v>5582</v>
      </c>
      <c r="F3" s="161" t="s">
        <v>5583</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5584</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5585</v>
      </c>
      <c r="P3" s="161" t="s">
        <v>5586</v>
      </c>
      <c r="Q3" s="340" t="s">
        <v>5587</v>
      </c>
      <c r="R3" s="164" t="s">
        <v>5588</v>
      </c>
      <c r="S3" s="17"/>
      <c r="T3" s="17"/>
      <c r="U3" s="17"/>
      <c r="V3" s="17"/>
    </row>
    <row r="4">
      <c r="A4" s="333" t="s">
        <v>5589</v>
      </c>
      <c r="B4" s="161" t="s">
        <v>5590</v>
      </c>
      <c r="C4" s="333" t="s">
        <v>5591</v>
      </c>
      <c r="D4" s="161" t="s">
        <v>5592</v>
      </c>
      <c r="E4" s="333" t="s">
        <v>5593</v>
      </c>
      <c r="F4" s="161" t="s">
        <v>5594</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5595</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5596</v>
      </c>
      <c r="P4" s="161" t="s">
        <v>5597</v>
      </c>
      <c r="Q4" s="340" t="s">
        <v>5598</v>
      </c>
      <c r="R4" s="164" t="s">
        <v>5599</v>
      </c>
      <c r="S4" s="17"/>
      <c r="T4" s="17"/>
      <c r="U4" s="17"/>
      <c r="V4" s="17"/>
    </row>
    <row r="5">
      <c r="A5" s="333" t="s">
        <v>5600</v>
      </c>
      <c r="B5" s="161" t="s">
        <v>5601</v>
      </c>
      <c r="C5" s="333" t="s">
        <v>5602</v>
      </c>
      <c r="D5" s="161" t="s">
        <v>5603</v>
      </c>
      <c r="E5" s="333" t="s">
        <v>5604</v>
      </c>
      <c r="F5" s="161" t="s">
        <v>5605</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5606</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5607</v>
      </c>
      <c r="P5" s="161" t="s">
        <v>5608</v>
      </c>
      <c r="Q5" s="340" t="s">
        <v>5609</v>
      </c>
      <c r="R5" s="164" t="s">
        <v>5610</v>
      </c>
      <c r="S5" s="17"/>
      <c r="T5" s="17"/>
      <c r="U5" s="17"/>
      <c r="V5" s="17"/>
    </row>
    <row r="6">
      <c r="A6" s="333" t="s">
        <v>5611</v>
      </c>
      <c r="B6" s="161" t="s">
        <v>5612</v>
      </c>
      <c r="C6" s="333" t="s">
        <v>5613</v>
      </c>
      <c r="D6" s="161" t="s">
        <v>5614</v>
      </c>
      <c r="E6" s="333" t="s">
        <v>5615</v>
      </c>
      <c r="F6" s="161" t="s">
        <v>5616</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poder mágico en un 50%.")</f>
        <v>Restaura 75 puntos de resistencia y aumenta el poder mágico en un 50%.</v>
      </c>
      <c r="K6" s="333" t="s">
        <v>5617</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5618</v>
      </c>
      <c r="P6" s="161" t="s">
        <v>5619</v>
      </c>
      <c r="Q6" s="340" t="s">
        <v>5620</v>
      </c>
      <c r="R6" s="164" t="s">
        <v>5621</v>
      </c>
      <c r="S6" s="17"/>
      <c r="T6" s="17"/>
      <c r="U6" s="17"/>
      <c r="V6" s="17"/>
    </row>
    <row r="7">
      <c r="A7" s="333" t="s">
        <v>5622</v>
      </c>
      <c r="B7" s="161" t="s">
        <v>5623</v>
      </c>
      <c r="C7" s="333" t="s">
        <v>5624</v>
      </c>
      <c r="D7" s="161" t="s">
        <v>5625</v>
      </c>
      <c r="E7" s="333" t="s">
        <v>5626</v>
      </c>
      <c r="F7" s="161" t="s">
        <v>5627</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aumenta la velocidad de movimiento.")</f>
        <v>Restaura 75 puntos de resistencia, aumenta la velocidad de movimiento.</v>
      </c>
      <c r="K7" s="335" t="str">
        <f>IFERROR(__xludf.DUMMYFUNCTION("GOOGLETRANSLATE(A7,""zh-tw"",""KO"")"),"바나나맛 우유")</f>
        <v>바나나맛 우유</v>
      </c>
      <c r="L7" s="161" t="s">
        <v>5628</v>
      </c>
      <c r="M7" s="335" t="str">
        <f>IFERROR(__xludf.DUMMYFUNCTION("GOOGLETRANSLATE(A7,""zh-tw"",""ru"")"),"Банановое молоко")</f>
        <v>Банановое молоко</v>
      </c>
      <c r="N7" s="16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33" t="s">
        <v>5629</v>
      </c>
      <c r="P7" s="161" t="s">
        <v>5630</v>
      </c>
      <c r="Q7" s="340" t="s">
        <v>5631</v>
      </c>
      <c r="R7" s="164" t="s">
        <v>5632</v>
      </c>
      <c r="S7" s="17"/>
      <c r="T7" s="17"/>
      <c r="U7" s="17"/>
      <c r="V7" s="17"/>
    </row>
    <row r="8">
      <c r="A8" s="333" t="s">
        <v>5633</v>
      </c>
      <c r="B8" s="161" t="s">
        <v>5634</v>
      </c>
      <c r="C8" s="333" t="s">
        <v>5635</v>
      </c>
      <c r="D8" s="161" t="s">
        <v>5636</v>
      </c>
      <c r="E8" s="333" t="s">
        <v>5637</v>
      </c>
      <c r="F8" s="161" t="s">
        <v>5638</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5639</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5640</v>
      </c>
      <c r="P8" s="161" t="s">
        <v>5641</v>
      </c>
      <c r="Q8" s="340" t="s">
        <v>5642</v>
      </c>
      <c r="R8" s="164" t="s">
        <v>5643</v>
      </c>
      <c r="S8" s="17"/>
      <c r="T8" s="17"/>
      <c r="U8" s="17"/>
      <c r="V8" s="17"/>
    </row>
    <row r="9">
      <c r="A9" s="333" t="s">
        <v>5644</v>
      </c>
      <c r="B9" s="161" t="s">
        <v>5645</v>
      </c>
      <c r="C9" s="333" t="s">
        <v>5646</v>
      </c>
      <c r="D9" s="161" t="s">
        <v>5647</v>
      </c>
      <c r="E9" s="333" t="s">
        <v>5648</v>
      </c>
      <c r="F9" s="161" t="s">
        <v>5649</v>
      </c>
      <c r="G9" s="333" t="str">
        <f>IFERROR(__xludf.DUMMYFUNCTION("GOOGLETRANSLATE(A9,""zh-tw"",""zh"")"),"逆流可乐")</f>
        <v>逆流可乐</v>
      </c>
      <c r="H9" s="161" t="str">
        <f>IFERROR(__xludf.DUMMYFUNCTION("GOOGLETRANSLATE(B9,""zh-tw"",""zh"")"),"(战斗效果未实装)")</f>
        <v>(战斗效果未实装)</v>
      </c>
      <c r="I9" s="333" t="s">
        <v>5648</v>
      </c>
      <c r="J9" s="162" t="str">
        <f>IFERROR(__xludf.DUMMYFUNCTION("GOOGLETRANSLATE(B9,""zh-tw"",""es-MX"")"),"(Efectos de combate aún no implementados)")</f>
        <v>(Efectos de combate aún no implementados)</v>
      </c>
      <c r="K9" s="333" t="s">
        <v>5650</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5648</v>
      </c>
      <c r="P9" s="161" t="s">
        <v>5651</v>
      </c>
      <c r="Q9" s="340" t="s">
        <v>5648</v>
      </c>
      <c r="R9" s="164" t="s">
        <v>5652</v>
      </c>
      <c r="S9" s="17"/>
      <c r="T9" s="17"/>
      <c r="U9" s="17"/>
      <c r="V9" s="17"/>
    </row>
    <row r="10">
      <c r="A10" s="333" t="s">
        <v>5653</v>
      </c>
      <c r="B10" s="161" t="s">
        <v>5654</v>
      </c>
      <c r="C10" s="333" t="s">
        <v>5655</v>
      </c>
      <c r="D10" s="161" t="s">
        <v>5656</v>
      </c>
      <c r="E10" s="333" t="s">
        <v>5657</v>
      </c>
      <c r="F10" s="161" t="s">
        <v>5658</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5659</v>
      </c>
      <c r="L10" s="161" t="s">
        <v>5660</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5661</v>
      </c>
      <c r="P10" s="161" t="s">
        <v>5662</v>
      </c>
      <c r="Q10" s="340" t="s">
        <v>5663</v>
      </c>
      <c r="R10" s="164" t="s">
        <v>5664</v>
      </c>
      <c r="S10" s="17"/>
      <c r="T10" s="17"/>
      <c r="U10" s="17"/>
      <c r="V10" s="17"/>
    </row>
    <row r="11">
      <c r="A11" s="333" t="s">
        <v>5665</v>
      </c>
      <c r="B11" s="161" t="s">
        <v>5666</v>
      </c>
      <c r="C11" s="333" t="s">
        <v>5667</v>
      </c>
      <c r="D11" s="161" t="s">
        <v>5668</v>
      </c>
      <c r="E11" s="333" t="s">
        <v>5669</v>
      </c>
      <c r="F11" s="161" t="s">
        <v>5670</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5671</v>
      </c>
      <c r="L11" s="161" t="s">
        <v>5672</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5673</v>
      </c>
      <c r="P11" s="161" t="s">
        <v>5674</v>
      </c>
      <c r="Q11" s="340" t="s">
        <v>5675</v>
      </c>
      <c r="R11" s="164" t="s">
        <v>5676</v>
      </c>
      <c r="S11" s="17"/>
      <c r="T11" s="17"/>
      <c r="U11" s="17"/>
      <c r="V11" s="17"/>
    </row>
    <row r="12">
      <c r="A12" s="333" t="s">
        <v>5677</v>
      </c>
      <c r="B12" s="161" t="s">
        <v>5678</v>
      </c>
      <c r="C12" s="333" t="s">
        <v>5679</v>
      </c>
      <c r="D12" s="161" t="s">
        <v>593</v>
      </c>
      <c r="E12" s="333" t="s">
        <v>5680</v>
      </c>
      <c r="F12" s="161" t="s">
        <v>5681</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5682</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5683</v>
      </c>
      <c r="P12" s="161" t="s">
        <v>2480</v>
      </c>
      <c r="Q12" s="340" t="s">
        <v>5684</v>
      </c>
      <c r="R12" s="164" t="s">
        <v>5685</v>
      </c>
      <c r="S12" s="17"/>
      <c r="T12" s="17"/>
      <c r="U12" s="17"/>
      <c r="V12" s="17"/>
    </row>
    <row r="13">
      <c r="A13" s="333" t="s">
        <v>5686</v>
      </c>
      <c r="B13" s="161" t="s">
        <v>5687</v>
      </c>
      <c r="C13" s="333" t="s">
        <v>5688</v>
      </c>
      <c r="D13" s="161" t="s">
        <v>5689</v>
      </c>
      <c r="E13" s="333" t="s">
        <v>5690</v>
      </c>
      <c r="F13" s="161" t="s">
        <v>5691</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5692</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5693</v>
      </c>
      <c r="P13" s="161" t="s">
        <v>5694</v>
      </c>
      <c r="Q13" s="340" t="s">
        <v>5695</v>
      </c>
      <c r="R13" s="186" t="s">
        <v>5696</v>
      </c>
      <c r="S13" s="17"/>
      <c r="T13" s="17"/>
      <c r="U13" s="17"/>
      <c r="V13" s="17"/>
    </row>
    <row r="14">
      <c r="A14" s="333" t="s">
        <v>5697</v>
      </c>
      <c r="B14" s="161" t="s">
        <v>5698</v>
      </c>
      <c r="C14" s="333" t="s">
        <v>5699</v>
      </c>
      <c r="D14" s="161" t="s">
        <v>5700</v>
      </c>
      <c r="E14" s="333" t="s">
        <v>5701</v>
      </c>
      <c r="F14" s="161" t="s">
        <v>5702</v>
      </c>
      <c r="G14" s="333" t="str">
        <f>IFERROR(__xludf.DUMMYFUNCTION("GOOGLETRANSLATE(A14,""zh-tw"",""zh"")"),"卢恩符文A")</f>
        <v>卢恩符文A</v>
      </c>
      <c r="H14" s="161" t="s">
        <v>5703</v>
      </c>
      <c r="I14" s="335" t="str">
        <f>IFERROR(__xludf.DUMMYFUNCTION("GOOGLETRANSLATE(A14,""zh-tw"",""es-MX"")"),"Runa A")</f>
        <v>Runa A</v>
      </c>
      <c r="J14" s="162" t="str">
        <f>IFERROR(__xludf.DUMMYFUNCTION("GOOGLETRANSLATE(B14,""zh-tw"",""es-MX"")"),"Deje un registro escrito")</f>
        <v>Deje un registro escrito</v>
      </c>
      <c r="K14" s="333" t="s">
        <v>5704</v>
      </c>
      <c r="L14" s="161" t="s">
        <v>5705</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5706</v>
      </c>
      <c r="P14" s="161" t="s">
        <v>5707</v>
      </c>
      <c r="Q14" s="340" t="s">
        <v>5701</v>
      </c>
      <c r="R14" s="164" t="s">
        <v>5708</v>
      </c>
      <c r="S14" s="17"/>
      <c r="T14" s="17"/>
      <c r="U14" s="17"/>
      <c r="V14" s="17"/>
    </row>
    <row r="15">
      <c r="A15" s="333" t="s">
        <v>5709</v>
      </c>
      <c r="B15" s="161" t="s">
        <v>5710</v>
      </c>
      <c r="C15" s="333" t="s">
        <v>5711</v>
      </c>
      <c r="D15" s="161" t="s">
        <v>5712</v>
      </c>
      <c r="E15" s="333" t="s">
        <v>5713</v>
      </c>
      <c r="F15" s="161" t="s">
        <v>5714</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5715</v>
      </c>
      <c r="L15" s="161" t="s">
        <v>5716</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5717</v>
      </c>
      <c r="P15" s="161" t="s">
        <v>5718</v>
      </c>
      <c r="Q15" s="340" t="s">
        <v>5713</v>
      </c>
      <c r="R15" s="164" t="s">
        <v>5719</v>
      </c>
      <c r="S15" s="17"/>
      <c r="T15" s="17"/>
      <c r="U15" s="17"/>
      <c r="V15" s="17"/>
    </row>
    <row r="16">
      <c r="A16" s="333" t="s">
        <v>5720</v>
      </c>
      <c r="B16" s="161" t="s">
        <v>5721</v>
      </c>
      <c r="C16" s="333" t="s">
        <v>5722</v>
      </c>
      <c r="D16" s="161" t="s">
        <v>5723</v>
      </c>
      <c r="E16" s="333" t="s">
        <v>5724</v>
      </c>
      <c r="F16" s="161" t="s">
        <v>5725</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5726</v>
      </c>
      <c r="L16" s="161" t="s">
        <v>5727</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5728</v>
      </c>
      <c r="P16" s="161" t="s">
        <v>5729</v>
      </c>
      <c r="Q16" s="340" t="s">
        <v>5724</v>
      </c>
      <c r="R16" s="164" t="s">
        <v>5730</v>
      </c>
      <c r="S16" s="17"/>
      <c r="T16" s="17"/>
      <c r="U16" s="17"/>
      <c r="V16" s="17"/>
    </row>
    <row r="17">
      <c r="A17" s="333" t="s">
        <v>5731</v>
      </c>
      <c r="B17" s="161" t="s">
        <v>5732</v>
      </c>
      <c r="C17" s="333" t="s">
        <v>5733</v>
      </c>
      <c r="D17" s="161" t="s">
        <v>5734</v>
      </c>
      <c r="E17" s="333" t="s">
        <v>5735</v>
      </c>
      <c r="F17" s="161" t="s">
        <v>5736</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5737</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5738</v>
      </c>
      <c r="P17" s="161" t="s">
        <v>5739</v>
      </c>
      <c r="Q17" s="340" t="s">
        <v>5735</v>
      </c>
      <c r="R17" s="164" t="s">
        <v>5740</v>
      </c>
      <c r="S17" s="17"/>
      <c r="T17" s="17"/>
      <c r="U17" s="17"/>
      <c r="V17" s="17"/>
    </row>
    <row r="18">
      <c r="A18" s="333" t="s">
        <v>5741</v>
      </c>
      <c r="B18" s="161" t="s">
        <v>5742</v>
      </c>
      <c r="C18" s="333" t="s">
        <v>5743</v>
      </c>
      <c r="D18" s="161" t="s">
        <v>5744</v>
      </c>
      <c r="E18" s="333" t="s">
        <v>5745</v>
      </c>
      <c r="F18" s="161" t="s">
        <v>5746</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5747</v>
      </c>
      <c r="L18" s="317" t="s">
        <v>5748</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5749</v>
      </c>
      <c r="P18" s="161" t="s">
        <v>5750</v>
      </c>
      <c r="Q18" s="340" t="s">
        <v>5745</v>
      </c>
      <c r="R18" s="164" t="s">
        <v>5746</v>
      </c>
      <c r="S18" s="17"/>
      <c r="T18" s="17"/>
      <c r="U18" s="17"/>
      <c r="V18" s="17"/>
    </row>
    <row r="19">
      <c r="A19" s="333" t="s">
        <v>5751</v>
      </c>
      <c r="B19" s="161" t="s">
        <v>5752</v>
      </c>
      <c r="C19" s="333" t="s">
        <v>5753</v>
      </c>
      <c r="D19" s="161" t="s">
        <v>5754</v>
      </c>
      <c r="E19" s="333" t="s">
        <v>5755</v>
      </c>
      <c r="F19" s="161" t="s">
        <v>5756</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5757</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5758</v>
      </c>
      <c r="P19" s="161" t="s">
        <v>5759</v>
      </c>
      <c r="Q19" s="340" t="s">
        <v>5755</v>
      </c>
      <c r="R19" s="164" t="s">
        <v>5760</v>
      </c>
      <c r="S19" s="17"/>
      <c r="T19" s="17"/>
      <c r="U19" s="17"/>
      <c r="V19" s="17"/>
    </row>
    <row r="20">
      <c r="A20" s="333" t="s">
        <v>5761</v>
      </c>
      <c r="B20" s="161" t="s">
        <v>5762</v>
      </c>
      <c r="C20" s="333" t="s">
        <v>5763</v>
      </c>
      <c r="D20" s="161" t="s">
        <v>5764</v>
      </c>
      <c r="E20" s="333" t="s">
        <v>5765</v>
      </c>
      <c r="F20" s="161" t="s">
        <v>5766</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5767</v>
      </c>
      <c r="M20" s="335" t="str">
        <f>IFERROR(__xludf.DUMMYFUNCTION("GOOGLETRANSLATE(A20,""zh-tw"",""ru"")"),"император")</f>
        <v>император</v>
      </c>
      <c r="N20" s="162" t="str">
        <f>IFERROR(__xludf.DUMMYFUNCTION("GOOGLETRANSLATE(B20,""zh-tw"",""ru"")"),"Рев Дракона")</f>
        <v>Рев Дракона</v>
      </c>
      <c r="O20" s="333" t="s">
        <v>5768</v>
      </c>
      <c r="P20" s="161" t="s">
        <v>5769</v>
      </c>
      <c r="Q20" s="340" t="s">
        <v>5765</v>
      </c>
      <c r="R20" s="164" t="s">
        <v>5770</v>
      </c>
      <c r="S20" s="17"/>
      <c r="T20" s="17"/>
      <c r="U20" s="17"/>
      <c r="V20" s="17"/>
    </row>
    <row r="21">
      <c r="A21" s="333" t="s">
        <v>5771</v>
      </c>
      <c r="B21" s="161" t="s">
        <v>5772</v>
      </c>
      <c r="C21" s="333" t="str">
        <f>IFERROR(__xludf.DUMMYFUNCTION("GOOGLETRANSLATE(A21,""zh-tw"",""ja"")"),"星")</f>
        <v>星</v>
      </c>
      <c r="D21" s="161" t="s">
        <v>5773</v>
      </c>
      <c r="E21" s="333" t="s">
        <v>5774</v>
      </c>
      <c r="F21" s="161" t="s">
        <v>5775</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5776</v>
      </c>
      <c r="M21" s="335" t="str">
        <f>IFERROR(__xludf.DUMMYFUNCTION("GOOGLETRANSLATE(A21,""zh-tw"",""ru"")"),"звезда")</f>
        <v>звезда</v>
      </c>
      <c r="N21" s="162" t="str">
        <f>IFERROR(__xludf.DUMMYFUNCTION("GOOGLETRANSLATE(B21,""zh-tw"",""ru"")"),"Звездные Врата")</f>
        <v>Звездные Врата</v>
      </c>
      <c r="O21" s="333" t="s">
        <v>5777</v>
      </c>
      <c r="P21" s="161" t="s">
        <v>5778</v>
      </c>
      <c r="Q21" s="340" t="s">
        <v>5774</v>
      </c>
      <c r="R21" s="164" t="s">
        <v>5779</v>
      </c>
      <c r="S21" s="17"/>
      <c r="T21" s="17"/>
      <c r="U21" s="17"/>
      <c r="V21" s="17"/>
    </row>
    <row r="22">
      <c r="A22" s="333" t="s">
        <v>5780</v>
      </c>
      <c r="B22" s="161" t="s">
        <v>5781</v>
      </c>
      <c r="C22" s="333" t="s">
        <v>5782</v>
      </c>
      <c r="D22" s="161" t="s">
        <v>5783</v>
      </c>
      <c r="E22" s="333" t="s">
        <v>5784</v>
      </c>
      <c r="F22" s="161" t="s">
        <v>5785</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5786</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5787</v>
      </c>
      <c r="P22" s="161" t="s">
        <v>5788</v>
      </c>
      <c r="Q22" s="340" t="s">
        <v>5784</v>
      </c>
      <c r="R22" s="164" t="s">
        <v>5789</v>
      </c>
      <c r="S22" s="17"/>
      <c r="T22" s="17"/>
      <c r="U22" s="17"/>
      <c r="V22" s="17"/>
    </row>
    <row r="23">
      <c r="A23" s="333" t="s">
        <v>5790</v>
      </c>
      <c r="B23" s="161" t="s">
        <v>5791</v>
      </c>
      <c r="C23" s="333" t="s">
        <v>5792</v>
      </c>
      <c r="D23" s="161" t="s">
        <v>5793</v>
      </c>
      <c r="E23" s="333" t="s">
        <v>5794</v>
      </c>
      <c r="F23" s="161" t="s">
        <v>5795</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5796</v>
      </c>
      <c r="L23" s="161" t="s">
        <v>5797</v>
      </c>
      <c r="M23" s="335" t="str">
        <f>IFERROR(__xludf.DUMMYFUNCTION("GOOGLETRANSLATE(A23,""zh-tw"",""ru"")"),"Жрица")</f>
        <v>Жрица</v>
      </c>
      <c r="N23" s="162" t="str">
        <f>IFERROR(__xludf.DUMMYFUNCTION("GOOGLETRANSLATE(B23,""zh-tw"",""ru"")"),"Церковь призыва")</f>
        <v>Церковь призыва</v>
      </c>
      <c r="O23" s="333" t="s">
        <v>5798</v>
      </c>
      <c r="P23" s="161" t="s">
        <v>5799</v>
      </c>
      <c r="Q23" s="340" t="s">
        <v>5794</v>
      </c>
      <c r="R23" s="164" t="s">
        <v>5800</v>
      </c>
      <c r="S23" s="17"/>
      <c r="T23" s="17"/>
      <c r="U23" s="17"/>
      <c r="V23" s="17"/>
    </row>
    <row r="24">
      <c r="A24" s="333" t="s">
        <v>5801</v>
      </c>
      <c r="B24" s="161" t="s">
        <v>5802</v>
      </c>
      <c r="C24" s="333" t="s">
        <v>5803</v>
      </c>
      <c r="D24" s="161" t="s">
        <v>5804</v>
      </c>
      <c r="E24" s="333" t="s">
        <v>5805</v>
      </c>
      <c r="F24" s="161" t="s">
        <v>5806</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5807</v>
      </c>
      <c r="L24" s="161" t="s">
        <v>5808</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5809</v>
      </c>
      <c r="P24" s="161" t="s">
        <v>5810</v>
      </c>
      <c r="Q24" s="340" t="s">
        <v>5805</v>
      </c>
      <c r="R24" s="164" t="s">
        <v>5811</v>
      </c>
      <c r="S24" s="17"/>
      <c r="T24" s="17"/>
      <c r="U24" s="17"/>
      <c r="V24" s="17"/>
    </row>
    <row r="25">
      <c r="A25" s="333" t="s">
        <v>5812</v>
      </c>
      <c r="B25" s="161" t="s">
        <v>5813</v>
      </c>
      <c r="C25" s="333" t="s">
        <v>5814</v>
      </c>
      <c r="D25" s="161" t="s">
        <v>5815</v>
      </c>
      <c r="E25" s="333" t="s">
        <v>5816</v>
      </c>
      <c r="F25" s="161" t="s">
        <v>5817</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5818</v>
      </c>
      <c r="M25" s="335" t="str">
        <f>IFERROR(__xludf.DUMMYFUNCTION("GOOGLETRANSLATE(A25,""zh-tw"",""ru"")"),"мир")</f>
        <v>мир</v>
      </c>
      <c r="N25" s="162" t="str">
        <f>IFERROR(__xludf.DUMMYFUNCTION("GOOGLETRANSLATE(B25,""zh-tw"",""ru"")"),"Место реконструкции")</f>
        <v>Место реконструкции</v>
      </c>
      <c r="O25" s="333" t="s">
        <v>5819</v>
      </c>
      <c r="P25" s="161" t="s">
        <v>5820</v>
      </c>
      <c r="Q25" s="340" t="s">
        <v>5816</v>
      </c>
      <c r="R25" s="164" t="s">
        <v>5821</v>
      </c>
      <c r="S25" s="17"/>
      <c r="T25" s="17"/>
      <c r="U25" s="17"/>
      <c r="V25" s="17"/>
    </row>
    <row r="26">
      <c r="A26" s="333" t="s">
        <v>5822</v>
      </c>
      <c r="B26" s="161" t="s">
        <v>5823</v>
      </c>
      <c r="C26" s="346" t="s">
        <v>5824</v>
      </c>
      <c r="D26" s="347" t="str">
        <f>IFERROR(__xludf.DUMMYFUNCTION("GOOGLETRANSLATE(B26,""zh-tw"",""ja"")"),"一定時間内に1回復活することができます。")</f>
        <v>一定時間内に1回復活することができます。</v>
      </c>
      <c r="E26" s="333" t="s">
        <v>5825</v>
      </c>
      <c r="F26" s="161" t="s">
        <v>5826</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5827</v>
      </c>
      <c r="L26" s="161" t="s">
        <v>5828</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5829</v>
      </c>
      <c r="P26" s="161" t="s">
        <v>5830</v>
      </c>
      <c r="Q26" s="340" t="s">
        <v>5825</v>
      </c>
      <c r="R26" s="164" t="s">
        <v>5831</v>
      </c>
      <c r="S26" s="17"/>
      <c r="T26" s="17"/>
      <c r="U26" s="17"/>
      <c r="V26" s="17"/>
    </row>
    <row r="27">
      <c r="A27" s="339" t="s">
        <v>5832</v>
      </c>
      <c r="B27" s="161" t="s">
        <v>5833</v>
      </c>
      <c r="C27" s="339" t="s">
        <v>5834</v>
      </c>
      <c r="D27" s="161" t="s">
        <v>5835</v>
      </c>
      <c r="E27" s="339" t="s">
        <v>5836</v>
      </c>
      <c r="F27" s="322" t="s">
        <v>5837</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5838</v>
      </c>
      <c r="P27" s="161" t="s">
        <v>5839</v>
      </c>
      <c r="Q27" s="340" t="s">
        <v>5836</v>
      </c>
      <c r="R27" s="164" t="s">
        <v>5840</v>
      </c>
      <c r="S27" s="17"/>
      <c r="T27" s="17"/>
      <c r="U27" s="17"/>
      <c r="V27" s="17"/>
    </row>
    <row r="28">
      <c r="A28" s="333" t="s">
        <v>5841</v>
      </c>
      <c r="B28" s="161" t="s">
        <v>5842</v>
      </c>
      <c r="C28" s="333" t="str">
        <f>IFERROR(__xludf.DUMMYFUNCTION("GOOGLETRANSLATE(A28,""zh-tw"",""ja"")"),"ジャック・ボム")</f>
        <v>ジャック・ボム</v>
      </c>
      <c r="D28" s="161" t="s">
        <v>5843</v>
      </c>
      <c r="E28" s="333" t="s">
        <v>5844</v>
      </c>
      <c r="F28" s="161" t="s">
        <v>5845</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5846</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5847</v>
      </c>
      <c r="P28" s="161" t="s">
        <v>5848</v>
      </c>
      <c r="Q28" s="340" t="s">
        <v>5844</v>
      </c>
      <c r="R28" s="164" t="s">
        <v>5849</v>
      </c>
      <c r="S28" s="17"/>
      <c r="T28" s="17"/>
      <c r="U28" s="17"/>
      <c r="V28" s="17"/>
    </row>
    <row r="29">
      <c r="A29" s="333" t="s">
        <v>5850</v>
      </c>
      <c r="B29" s="161" t="s">
        <v>5851</v>
      </c>
      <c r="C29" s="333" t="s">
        <v>5852</v>
      </c>
      <c r="D29" s="161" t="s">
        <v>5853</v>
      </c>
      <c r="E29" s="333" t="s">
        <v>5854</v>
      </c>
      <c r="F29" s="161" t="s">
        <v>5855</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5856</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5857</v>
      </c>
      <c r="P29" s="161" t="s">
        <v>5858</v>
      </c>
      <c r="Q29" s="340" t="s">
        <v>5854</v>
      </c>
      <c r="R29" s="164" t="s">
        <v>5859</v>
      </c>
      <c r="S29" s="17"/>
      <c r="T29" s="17"/>
      <c r="U29" s="17"/>
      <c r="V29" s="17"/>
    </row>
    <row r="30">
      <c r="A30" s="333" t="s">
        <v>5860</v>
      </c>
      <c r="B30" s="161" t="s">
        <v>5861</v>
      </c>
      <c r="C30" s="333" t="s">
        <v>5862</v>
      </c>
      <c r="D30" s="161" t="s">
        <v>5863</v>
      </c>
      <c r="E30" s="333" t="s">
        <v>5864</v>
      </c>
      <c r="F30" s="161" t="s">
        <v>5865</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5866</v>
      </c>
      <c r="L30" s="161" t="s">
        <v>5867</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5868</v>
      </c>
      <c r="P30" s="161" t="s">
        <v>5869</v>
      </c>
      <c r="Q30" s="340" t="s">
        <v>5864</v>
      </c>
      <c r="R30" s="164" t="s">
        <v>5870</v>
      </c>
      <c r="S30" s="17"/>
      <c r="T30" s="17"/>
      <c r="U30" s="17"/>
      <c r="V30" s="17"/>
    </row>
    <row r="31">
      <c r="A31" s="333" t="s">
        <v>5871</v>
      </c>
      <c r="B31" s="161" t="s">
        <v>5872</v>
      </c>
      <c r="C31" s="333" t="str">
        <f>IFERROR(__xludf.DUMMYFUNCTION("GOOGLETRANSLATE(A31,""zh-tw"",""ja"")"),"密封された時計")</f>
        <v>密封された時計</v>
      </c>
      <c r="D31" s="161" t="s">
        <v>5873</v>
      </c>
      <c r="E31" s="333" t="s">
        <v>5874</v>
      </c>
      <c r="F31" s="161" t="s">
        <v>5875</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5876</v>
      </c>
      <c r="L31" s="161" t="s">
        <v>5877</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5878</v>
      </c>
      <c r="P31" s="161" t="s">
        <v>5879</v>
      </c>
      <c r="Q31" s="340" t="s">
        <v>5880</v>
      </c>
      <c r="R31" s="164" t="s">
        <v>5881</v>
      </c>
      <c r="S31" s="17"/>
      <c r="T31" s="17"/>
      <c r="U31" s="17"/>
      <c r="V31" s="17"/>
    </row>
    <row r="32">
      <c r="A32" s="333" t="s">
        <v>5882</v>
      </c>
      <c r="B32" s="161" t="s">
        <v>5883</v>
      </c>
      <c r="C32" s="333" t="str">
        <f>IFERROR(__xludf.DUMMYFUNCTION("GOOGLETRANSLATE(A32,""zh-tw"",""ja"")"),"寿司プリン")</f>
        <v>寿司プリン</v>
      </c>
      <c r="D32" s="161" t="s">
        <v>5884</v>
      </c>
      <c r="E32" s="333" t="s">
        <v>5885</v>
      </c>
      <c r="F32" s="161" t="s">
        <v>5886</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5885</v>
      </c>
      <c r="P32" s="161" t="s">
        <v>5887</v>
      </c>
      <c r="Q32" s="340" t="s">
        <v>5885</v>
      </c>
      <c r="R32" s="164" t="s">
        <v>5888</v>
      </c>
      <c r="S32" s="17"/>
      <c r="T32" s="17"/>
      <c r="U32" s="17"/>
      <c r="V32" s="17"/>
    </row>
    <row r="33">
      <c r="A33" s="333" t="s">
        <v>5889</v>
      </c>
      <c r="B33" s="161" t="s">
        <v>5890</v>
      </c>
      <c r="C33" s="333" t="str">
        <f>IFERROR(__xludf.DUMMYFUNCTION("GOOGLETRANSLATE(A33,""zh-tw"",""ja"")"),"ポラロイド 1～35")</f>
        <v>ポラロイド 1～35</v>
      </c>
      <c r="D33" s="161" t="s">
        <v>5891</v>
      </c>
      <c r="E33" s="333" t="s">
        <v>5892</v>
      </c>
      <c r="F33" s="161" t="s">
        <v>5893</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IFERROR(__xludf.DUMMYFUNCTION("GOOGLETRANSLATE(B33,""zh-tw"",""es-MX"")"),"Vea fotos de alta calidad")</f>
        <v>Vea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5894</v>
      </c>
      <c r="P33" s="161" t="s">
        <v>5895</v>
      </c>
      <c r="Q33" s="340" t="s">
        <v>5892</v>
      </c>
      <c r="R33" s="164" t="s">
        <v>5896</v>
      </c>
      <c r="S33" s="17"/>
      <c r="T33" s="17"/>
      <c r="U33" s="17"/>
      <c r="V33" s="17"/>
    </row>
    <row r="34">
      <c r="A34" s="333" t="s">
        <v>5897</v>
      </c>
      <c r="B34" s="161" t="s">
        <v>5898</v>
      </c>
      <c r="C34" s="333" t="s">
        <v>5899</v>
      </c>
      <c r="D34" s="161" t="s">
        <v>5900</v>
      </c>
      <c r="E34" s="333" t="s">
        <v>5901</v>
      </c>
      <c r="F34" s="161" t="s">
        <v>5902</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5903</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5904</v>
      </c>
      <c r="P34" s="161" t="s">
        <v>5905</v>
      </c>
      <c r="Q34" s="340" t="s">
        <v>5906</v>
      </c>
      <c r="R34" s="164" t="s">
        <v>5907</v>
      </c>
      <c r="S34" s="17"/>
      <c r="T34" s="17"/>
      <c r="U34" s="17"/>
      <c r="V34" s="17"/>
    </row>
    <row r="35">
      <c r="A35" s="333" t="s">
        <v>5908</v>
      </c>
      <c r="B35" s="161" t="s">
        <v>5909</v>
      </c>
      <c r="C35" s="333" t="s">
        <v>5910</v>
      </c>
      <c r="D35" s="161" t="s">
        <v>5911</v>
      </c>
      <c r="E35" s="333" t="s">
        <v>5912</v>
      </c>
      <c r="F35" s="161" t="s">
        <v>5913</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5914</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5915</v>
      </c>
      <c r="P35" s="161" t="s">
        <v>5916</v>
      </c>
      <c r="Q35" s="340" t="s">
        <v>5917</v>
      </c>
      <c r="R35" s="164" t="s">
        <v>5918</v>
      </c>
      <c r="S35" s="17"/>
      <c r="T35" s="17"/>
      <c r="U35" s="17"/>
      <c r="V35" s="17"/>
    </row>
    <row r="36">
      <c r="A36" s="333" t="s">
        <v>5919</v>
      </c>
      <c r="B36" s="161" t="s">
        <v>5909</v>
      </c>
      <c r="C36" s="333" t="s">
        <v>5920</v>
      </c>
      <c r="D36" s="161" t="s">
        <v>5921</v>
      </c>
      <c r="E36" s="333" t="s">
        <v>5922</v>
      </c>
      <c r="F36" s="161" t="s">
        <v>5913</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5903</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5904</v>
      </c>
      <c r="P36" s="161" t="s">
        <v>5905</v>
      </c>
      <c r="Q36" s="340" t="s">
        <v>5923</v>
      </c>
      <c r="R36" s="164" t="s">
        <v>5918</v>
      </c>
      <c r="S36" s="17"/>
      <c r="T36" s="17"/>
      <c r="U36" s="17"/>
      <c r="V36" s="17"/>
    </row>
    <row r="37">
      <c r="A37" s="333" t="s">
        <v>5924</v>
      </c>
      <c r="B37" s="161" t="s">
        <v>5925</v>
      </c>
      <c r="C37" s="333" t="s">
        <v>5926</v>
      </c>
      <c r="D37" s="161" t="s">
        <v>5927</v>
      </c>
      <c r="E37" s="333" t="s">
        <v>5928</v>
      </c>
      <c r="F37" s="161" t="s">
        <v>5929</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5914</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5915</v>
      </c>
      <c r="P37" s="161" t="s">
        <v>5916</v>
      </c>
      <c r="Q37" s="340" t="s">
        <v>5930</v>
      </c>
      <c r="R37" s="164" t="s">
        <v>5931</v>
      </c>
      <c r="S37" s="17"/>
      <c r="T37" s="17"/>
      <c r="U37" s="17"/>
      <c r="V37" s="17"/>
    </row>
    <row r="38">
      <c r="A38" s="339" t="s">
        <v>5932</v>
      </c>
      <c r="B38" s="162" t="s">
        <v>5933</v>
      </c>
      <c r="C38" s="335" t="s">
        <v>5934</v>
      </c>
      <c r="D38" s="162" t="s">
        <v>5935</v>
      </c>
      <c r="E38" s="335" t="s">
        <v>5936</v>
      </c>
      <c r="F38" s="162" t="s">
        <v>5937</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5938</v>
      </c>
      <c r="P38" s="161" t="s">
        <v>5939</v>
      </c>
      <c r="Q38" s="340" t="s">
        <v>5940</v>
      </c>
      <c r="R38" s="186" t="s">
        <v>5941</v>
      </c>
      <c r="S38" s="17"/>
      <c r="T38" s="17"/>
      <c r="U38" s="17"/>
      <c r="V38" s="17"/>
    </row>
    <row r="39">
      <c r="A39" s="333" t="s">
        <v>5942</v>
      </c>
      <c r="B39" s="161" t="s">
        <v>5943</v>
      </c>
      <c r="C39" s="333" t="s">
        <v>5944</v>
      </c>
      <c r="D39" s="161" t="s">
        <v>5945</v>
      </c>
      <c r="E39" s="333" t="s">
        <v>5946</v>
      </c>
      <c r="F39" s="161" t="s">
        <v>5947</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5948</v>
      </c>
      <c r="P39" s="161" t="s">
        <v>5949</v>
      </c>
      <c r="Q39" s="340" t="s">
        <v>5950</v>
      </c>
      <c r="R39" s="164" t="s">
        <v>5951</v>
      </c>
      <c r="S39" s="17"/>
      <c r="T39" s="17"/>
      <c r="U39" s="17"/>
      <c r="V39" s="17"/>
    </row>
    <row r="40">
      <c r="A40" s="339" t="s">
        <v>5952</v>
      </c>
      <c r="B40" s="162" t="s">
        <v>5953</v>
      </c>
      <c r="C40" s="335" t="s">
        <v>5954</v>
      </c>
      <c r="D40" s="162" t="s">
        <v>5955</v>
      </c>
      <c r="E40" s="335" t="s">
        <v>5956</v>
      </c>
      <c r="F40" s="162" t="s">
        <v>5957</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5956</v>
      </c>
      <c r="P40" s="162" t="s">
        <v>5957</v>
      </c>
      <c r="Q40" s="340" t="s">
        <v>5956</v>
      </c>
      <c r="R40" s="182" t="s">
        <v>5958</v>
      </c>
      <c r="S40" s="17"/>
      <c r="T40" s="17"/>
      <c r="U40" s="17"/>
      <c r="V40" s="17"/>
    </row>
    <row r="41">
      <c r="A41" s="333" t="s">
        <v>5959</v>
      </c>
      <c r="B41" s="161" t="s">
        <v>5960</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5961</v>
      </c>
      <c r="F41" s="161" t="s">
        <v>5962</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5963</v>
      </c>
      <c r="P41" s="317" t="s">
        <v>5964</v>
      </c>
      <c r="Q41" s="354" t="s">
        <v>5965</v>
      </c>
      <c r="R41" s="164" t="s">
        <v>5966</v>
      </c>
      <c r="S41" s="17"/>
      <c r="T41" s="17"/>
      <c r="U41" s="17"/>
      <c r="V41" s="17"/>
    </row>
    <row r="42">
      <c r="A42" s="333" t="s">
        <v>5967</v>
      </c>
      <c r="B42" s="161" t="s">
        <v>5960</v>
      </c>
      <c r="C42" s="333" t="s">
        <v>5968</v>
      </c>
      <c r="D42" s="161" t="s">
        <v>5969</v>
      </c>
      <c r="E42" s="333" t="s">
        <v>5970</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5971</v>
      </c>
      <c r="P42" s="161" t="s">
        <v>5972</v>
      </c>
      <c r="Q42" s="354" t="s">
        <v>5973</v>
      </c>
      <c r="R42" s="164" t="s">
        <v>3201</v>
      </c>
      <c r="S42" s="17"/>
      <c r="T42" s="17"/>
      <c r="U42" s="17"/>
      <c r="V42" s="17"/>
    </row>
    <row r="43">
      <c r="A43" s="339" t="s">
        <v>5974</v>
      </c>
      <c r="B43" s="162" t="s">
        <v>5975</v>
      </c>
      <c r="C43" s="333" t="s">
        <v>5976</v>
      </c>
      <c r="D43" s="161" t="s">
        <v>5977</v>
      </c>
      <c r="E43" s="333" t="s">
        <v>5978</v>
      </c>
      <c r="F43" s="161" t="s">
        <v>5979</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5980</v>
      </c>
      <c r="P43" s="161" t="s">
        <v>5981</v>
      </c>
      <c r="Q43" s="354" t="s">
        <v>5982</v>
      </c>
      <c r="R43" s="186" t="s">
        <v>5983</v>
      </c>
      <c r="S43" s="17"/>
      <c r="T43" s="17"/>
      <c r="U43" s="17"/>
      <c r="V43" s="17"/>
    </row>
    <row r="44">
      <c r="A44" s="333" t="s">
        <v>5984</v>
      </c>
      <c r="B44" s="161" t="s">
        <v>5985</v>
      </c>
      <c r="C44" s="333" t="s">
        <v>5986</v>
      </c>
      <c r="D44" s="161" t="s">
        <v>5987</v>
      </c>
      <c r="E44" s="333" t="s">
        <v>5988</v>
      </c>
      <c r="F44" s="161" t="s">
        <v>5989</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5988</v>
      </c>
      <c r="P44" s="186" t="s">
        <v>5990</v>
      </c>
      <c r="Q44" s="346" t="s">
        <v>5988</v>
      </c>
      <c r="R44" s="186" t="s">
        <v>5991</v>
      </c>
      <c r="S44" s="17"/>
      <c r="T44" s="17"/>
      <c r="U44" s="17"/>
      <c r="V44" s="17"/>
    </row>
    <row r="45">
      <c r="A45" s="333" t="s">
        <v>5992</v>
      </c>
      <c r="B45" s="161" t="s">
        <v>5993</v>
      </c>
      <c r="C45" s="333" t="s">
        <v>5994</v>
      </c>
      <c r="D45" s="161" t="s">
        <v>5995</v>
      </c>
      <c r="E45" s="333" t="s">
        <v>5996</v>
      </c>
      <c r="F45" s="161" t="s">
        <v>5997</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5998</v>
      </c>
      <c r="P45" s="186" t="s">
        <v>5999</v>
      </c>
      <c r="Q45" s="346" t="s">
        <v>6000</v>
      </c>
      <c r="R45" s="186" t="s">
        <v>6001</v>
      </c>
      <c r="S45" s="17"/>
      <c r="T45" s="17"/>
      <c r="U45" s="17"/>
      <c r="V45" s="17"/>
    </row>
    <row r="46">
      <c r="A46" s="333" t="s">
        <v>6002</v>
      </c>
      <c r="B46" s="161" t="s">
        <v>6003</v>
      </c>
      <c r="C46" s="333" t="s">
        <v>6004</v>
      </c>
      <c r="D46" s="161" t="s">
        <v>6005</v>
      </c>
      <c r="E46" s="333" t="s">
        <v>6006</v>
      </c>
      <c r="F46" s="161" t="s">
        <v>6007</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6008</v>
      </c>
      <c r="P46" s="186" t="s">
        <v>6009</v>
      </c>
      <c r="Q46" s="346" t="s">
        <v>6010</v>
      </c>
      <c r="R46" s="186" t="s">
        <v>6011</v>
      </c>
      <c r="S46" s="17"/>
      <c r="T46" s="17"/>
      <c r="U46" s="17"/>
      <c r="V46" s="17"/>
    </row>
    <row r="47">
      <c r="A47" s="333" t="s">
        <v>6012</v>
      </c>
      <c r="B47" s="161" t="s">
        <v>6013</v>
      </c>
      <c r="C47" s="333" t="s">
        <v>6014</v>
      </c>
      <c r="D47" s="161" t="s">
        <v>6015</v>
      </c>
      <c r="E47" s="333" t="s">
        <v>6016</v>
      </c>
      <c r="F47" s="161" t="s">
        <v>6017</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ósea roja")</f>
        <v>líquido de médula ósea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6018</v>
      </c>
      <c r="R47" s="186" t="s">
        <v>6019</v>
      </c>
      <c r="S47" s="17"/>
      <c r="T47" s="17"/>
      <c r="U47" s="17"/>
      <c r="V47" s="17"/>
    </row>
    <row r="48">
      <c r="A48" s="333" t="s">
        <v>6020</v>
      </c>
      <c r="B48" s="161" t="s">
        <v>6021</v>
      </c>
      <c r="C48" s="333" t="s">
        <v>6022</v>
      </c>
      <c r="D48" s="161" t="s">
        <v>6023</v>
      </c>
      <c r="E48" s="333" t="s">
        <v>6024</v>
      </c>
      <c r="F48" s="161" t="s">
        <v>6025</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6026</v>
      </c>
      <c r="R48" s="186" t="s">
        <v>6027</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6028</v>
      </c>
      <c r="B1" s="366" t="s">
        <v>236</v>
      </c>
      <c r="C1" s="367" t="s">
        <v>6029</v>
      </c>
      <c r="F1" s="365" t="s">
        <v>6030</v>
      </c>
      <c r="G1" s="366" t="s">
        <v>236</v>
      </c>
      <c r="H1" s="368" t="s">
        <v>6031</v>
      </c>
      <c r="K1" s="365" t="s">
        <v>6032</v>
      </c>
      <c r="L1" s="366" t="s">
        <v>236</v>
      </c>
      <c r="M1" s="368" t="s">
        <v>6033</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6034</v>
      </c>
      <c r="AK1" s="366" t="s">
        <v>236</v>
      </c>
      <c r="AL1" s="367" t="s">
        <v>6035</v>
      </c>
      <c r="AO1" s="371" t="s">
        <v>6036</v>
      </c>
      <c r="AP1" s="372" t="s">
        <v>236</v>
      </c>
      <c r="AQ1" s="183" t="s">
        <v>6037</v>
      </c>
    </row>
    <row r="2" ht="75.0" customHeight="1">
      <c r="A2" s="365" t="s">
        <v>6038</v>
      </c>
      <c r="B2" s="366" t="s">
        <v>787</v>
      </c>
      <c r="F2" s="365" t="s">
        <v>6039</v>
      </c>
      <c r="G2" s="366" t="s">
        <v>787</v>
      </c>
      <c r="K2" s="365" t="s">
        <v>6040</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6041</v>
      </c>
      <c r="AK2" s="366" t="s">
        <v>787</v>
      </c>
      <c r="AO2" s="181" t="s">
        <v>6042</v>
      </c>
      <c r="AP2" s="373" t="s">
        <v>787</v>
      </c>
    </row>
    <row r="3">
      <c r="A3" s="374" t="s">
        <v>6043</v>
      </c>
      <c r="B3" s="375" t="s">
        <v>5573</v>
      </c>
      <c r="F3" s="374" t="str">
        <f>IFERROR(__xludf.DUMMYFUNCTION("GOOGLETRANSLATE(A3,""zh-tw"",""ja"")"),"料理名")</f>
        <v>料理名</v>
      </c>
      <c r="G3" s="375" t="str">
        <f>IFERROR(__xludf.DUMMYFUNCTION("GOOGLETRANSLATE(B3,""zh-tw"",""ja"")"),"効果")</f>
        <v>効果</v>
      </c>
      <c r="K3" s="374" t="s">
        <v>6044</v>
      </c>
      <c r="L3" s="375" t="s">
        <v>6045</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6046</v>
      </c>
      <c r="AK3" s="376" t="s">
        <v>6047</v>
      </c>
      <c r="AO3" s="378" t="s">
        <v>6048</v>
      </c>
      <c r="AP3" s="379" t="s">
        <v>4421</v>
      </c>
    </row>
    <row r="4">
      <c r="A4" s="380" t="s">
        <v>6049</v>
      </c>
      <c r="B4" s="381"/>
      <c r="C4" s="163" t="s">
        <v>6050</v>
      </c>
      <c r="D4" s="176"/>
      <c r="E4" s="176"/>
      <c r="F4" s="380" t="s">
        <v>6051</v>
      </c>
      <c r="G4" s="381"/>
      <c r="H4" s="163" t="s">
        <v>6052</v>
      </c>
      <c r="I4" s="176"/>
      <c r="J4" s="176"/>
      <c r="K4" s="103" t="s">
        <v>6053</v>
      </c>
      <c r="L4" s="381"/>
      <c r="M4" s="161" t="s">
        <v>6054</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6055</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6056</v>
      </c>
      <c r="AK4" s="376"/>
      <c r="AL4" s="161" t="s">
        <v>6057</v>
      </c>
      <c r="AM4" s="162"/>
      <c r="AN4" s="162"/>
      <c r="AO4" s="180" t="s">
        <v>6058</v>
      </c>
      <c r="AP4" s="190"/>
      <c r="AQ4" s="182" t="s">
        <v>6059</v>
      </c>
      <c r="AR4" s="183"/>
      <c r="AS4" s="183"/>
    </row>
    <row r="5">
      <c r="A5" s="380" t="s">
        <v>6060</v>
      </c>
      <c r="B5" s="381"/>
      <c r="C5" s="163" t="s">
        <v>6061</v>
      </c>
      <c r="D5" s="163" t="s">
        <v>6062</v>
      </c>
      <c r="E5" s="176"/>
      <c r="F5" s="380" t="s">
        <v>6063</v>
      </c>
      <c r="G5" s="381"/>
      <c r="H5" s="163" t="s">
        <v>6064</v>
      </c>
      <c r="I5" s="163" t="s">
        <v>6065</v>
      </c>
      <c r="J5" s="176"/>
      <c r="K5" s="99" t="s">
        <v>6066</v>
      </c>
      <c r="L5" s="381"/>
      <c r="M5" s="161" t="s">
        <v>6067</v>
      </c>
      <c r="N5" s="161" t="s">
        <v>6068</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6069</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6070</v>
      </c>
      <c r="AK5" s="376"/>
      <c r="AL5" s="161" t="s">
        <v>6071</v>
      </c>
      <c r="AM5" s="161" t="s">
        <v>6072</v>
      </c>
      <c r="AN5" s="162"/>
      <c r="AO5" s="180" t="s">
        <v>6073</v>
      </c>
      <c r="AP5" s="190"/>
      <c r="AQ5" s="182" t="s">
        <v>6074</v>
      </c>
      <c r="AR5" s="182" t="s">
        <v>6075</v>
      </c>
      <c r="AS5" s="183"/>
    </row>
    <row r="6">
      <c r="A6" s="380" t="s">
        <v>6076</v>
      </c>
      <c r="B6" s="381"/>
      <c r="C6" s="163" t="s">
        <v>6077</v>
      </c>
      <c r="D6" s="163" t="s">
        <v>6078</v>
      </c>
      <c r="E6" s="176"/>
      <c r="F6" s="380" t="s">
        <v>6079</v>
      </c>
      <c r="G6" s="381"/>
      <c r="H6" s="163" t="s">
        <v>6080</v>
      </c>
      <c r="I6" s="163" t="s">
        <v>6081</v>
      </c>
      <c r="J6" s="176"/>
      <c r="K6" s="103" t="s">
        <v>6082</v>
      </c>
      <c r="L6" s="381"/>
      <c r="M6" s="161" t="s">
        <v>6083</v>
      </c>
      <c r="N6" s="161" t="s">
        <v>6084</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6085</v>
      </c>
      <c r="AK6" s="376"/>
      <c r="AL6" s="161" t="s">
        <v>6086</v>
      </c>
      <c r="AM6" s="161" t="s">
        <v>6087</v>
      </c>
      <c r="AN6" s="162"/>
      <c r="AO6" s="180" t="s">
        <v>6088</v>
      </c>
      <c r="AP6" s="190"/>
      <c r="AQ6" s="182" t="s">
        <v>6089</v>
      </c>
      <c r="AR6" s="182" t="s">
        <v>6090</v>
      </c>
      <c r="AS6" s="183"/>
    </row>
    <row r="7">
      <c r="A7" s="380" t="s">
        <v>6091</v>
      </c>
      <c r="B7" s="381"/>
      <c r="C7" s="163" t="s">
        <v>6077</v>
      </c>
      <c r="D7" s="176"/>
      <c r="E7" s="176"/>
      <c r="F7" s="380" t="s">
        <v>6092</v>
      </c>
      <c r="G7" s="381"/>
      <c r="H7" s="163" t="s">
        <v>6080</v>
      </c>
      <c r="I7" s="176"/>
      <c r="J7" s="176"/>
      <c r="K7" s="103" t="s">
        <v>6093</v>
      </c>
      <c r="L7" s="381"/>
      <c r="M7" s="161" t="s">
        <v>6083</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6094</v>
      </c>
      <c r="AK7" s="376"/>
      <c r="AL7" s="161" t="s">
        <v>6086</v>
      </c>
      <c r="AM7" s="162"/>
      <c r="AN7" s="162"/>
      <c r="AO7" s="180" t="s">
        <v>6095</v>
      </c>
      <c r="AP7" s="190"/>
      <c r="AQ7" s="182" t="s">
        <v>6089</v>
      </c>
      <c r="AR7" s="183"/>
      <c r="AS7" s="183"/>
    </row>
    <row r="8">
      <c r="A8" s="380" t="s">
        <v>6096</v>
      </c>
      <c r="B8" s="381"/>
      <c r="C8" s="163" t="s">
        <v>6097</v>
      </c>
      <c r="F8" s="380" t="s">
        <v>6098</v>
      </c>
      <c r="G8" s="381"/>
      <c r="H8" s="163" t="s">
        <v>593</v>
      </c>
      <c r="I8" s="176"/>
      <c r="J8" s="176"/>
      <c r="K8" s="103" t="s">
        <v>6099</v>
      </c>
      <c r="L8" s="381"/>
      <c r="M8" s="161" t="s">
        <v>6100</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y obtener conchas marinas).")</f>
        <v>Aún no implementado (más adelante, podrás pescar peces en el río y obtener conchas marinas).</v>
      </c>
      <c r="Z8" s="384" t="s">
        <v>6101</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6102</v>
      </c>
      <c r="AK8" s="376"/>
      <c r="AL8" s="161" t="s">
        <v>6103</v>
      </c>
      <c r="AO8" s="180" t="s">
        <v>6104</v>
      </c>
      <c r="AP8" s="190"/>
      <c r="AQ8" s="182" t="s">
        <v>6105</v>
      </c>
      <c r="AR8" s="183"/>
      <c r="AS8" s="183"/>
    </row>
    <row r="9">
      <c r="A9" s="380" t="s">
        <v>6106</v>
      </c>
      <c r="B9" s="381"/>
      <c r="C9" s="163" t="s">
        <v>6107</v>
      </c>
      <c r="D9" s="176"/>
      <c r="E9" s="176"/>
      <c r="F9" s="380" t="s">
        <v>6108</v>
      </c>
      <c r="G9" s="381"/>
      <c r="H9" s="163" t="s">
        <v>6107</v>
      </c>
      <c r="I9" s="176"/>
      <c r="J9" s="176"/>
      <c r="K9" s="103" t="s">
        <v>6109</v>
      </c>
      <c r="L9" s="381"/>
      <c r="M9" s="161" t="s">
        <v>6110</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6111</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6112</v>
      </c>
      <c r="AK9" s="376"/>
      <c r="AL9" s="161" t="s">
        <v>6113</v>
      </c>
      <c r="AM9" s="162"/>
      <c r="AN9" s="162"/>
      <c r="AO9" s="180" t="s">
        <v>6114</v>
      </c>
      <c r="AP9" s="190"/>
      <c r="AQ9" s="182" t="s">
        <v>6115</v>
      </c>
      <c r="AR9" s="183"/>
      <c r="AS9" s="183"/>
    </row>
    <row r="10">
      <c r="A10" s="380" t="s">
        <v>6116</v>
      </c>
      <c r="B10" s="381"/>
      <c r="C10" s="163" t="s">
        <v>4032</v>
      </c>
      <c r="D10" s="163" t="s">
        <v>4032</v>
      </c>
      <c r="E10" s="163" t="s">
        <v>4032</v>
      </c>
      <c r="F10" s="380" t="s">
        <v>6117</v>
      </c>
      <c r="G10" s="381"/>
      <c r="H10" s="163" t="s">
        <v>6118</v>
      </c>
      <c r="I10" s="163" t="s">
        <v>6118</v>
      </c>
      <c r="J10" s="163" t="s">
        <v>6118</v>
      </c>
      <c r="K10" s="103" t="s">
        <v>6119</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6120</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6121</v>
      </c>
      <c r="AK10" s="376"/>
      <c r="AL10" s="161" t="s">
        <v>6122</v>
      </c>
      <c r="AM10" s="161" t="s">
        <v>6122</v>
      </c>
      <c r="AN10" s="161" t="s">
        <v>6122</v>
      </c>
      <c r="AO10" s="180" t="s">
        <v>6123</v>
      </c>
      <c r="AP10" s="190"/>
      <c r="AQ10" s="182" t="s">
        <v>4045</v>
      </c>
      <c r="AR10" s="182" t="s">
        <v>4045</v>
      </c>
      <c r="AS10" s="182" t="s">
        <v>4045</v>
      </c>
    </row>
    <row r="11">
      <c r="A11" s="385" t="s">
        <v>6124</v>
      </c>
      <c r="B11" s="381"/>
      <c r="C11" s="163" t="s">
        <v>6125</v>
      </c>
      <c r="D11" s="163" t="s">
        <v>4229</v>
      </c>
      <c r="E11" s="176"/>
      <c r="F11" s="380" t="s">
        <v>6126</v>
      </c>
      <c r="G11" s="381"/>
      <c r="H11" s="163" t="s">
        <v>6127</v>
      </c>
      <c r="I11" s="163" t="s">
        <v>6128</v>
      </c>
      <c r="J11" s="176"/>
      <c r="K11" s="103" t="s">
        <v>6129</v>
      </c>
      <c r="L11" s="381"/>
      <c r="M11" s="161" t="s">
        <v>6130</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6131</v>
      </c>
      <c r="AA11" s="376"/>
      <c r="AB11" s="161" t="s">
        <v>6132</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6133</v>
      </c>
      <c r="AK11" s="376"/>
      <c r="AL11" s="161" t="s">
        <v>6134</v>
      </c>
      <c r="AM11" s="161" t="s">
        <v>4234</v>
      </c>
      <c r="AN11" s="162"/>
      <c r="AO11" s="154" t="s">
        <v>6129</v>
      </c>
      <c r="AP11" s="190"/>
      <c r="AQ11" s="182" t="s">
        <v>6135</v>
      </c>
      <c r="AR11" s="182" t="s">
        <v>4236</v>
      </c>
      <c r="AS11" s="183"/>
    </row>
    <row r="12">
      <c r="A12" s="380" t="s">
        <v>6136</v>
      </c>
      <c r="B12" s="381"/>
      <c r="C12" s="163" t="s">
        <v>6061</v>
      </c>
      <c r="D12" s="176"/>
      <c r="E12" s="176"/>
      <c r="F12" s="380" t="s">
        <v>6137</v>
      </c>
      <c r="G12" s="381"/>
      <c r="H12" s="163" t="s">
        <v>6064</v>
      </c>
      <c r="I12" s="176"/>
      <c r="J12" s="176"/>
      <c r="K12" s="103" t="s">
        <v>6138</v>
      </c>
      <c r="L12" s="381"/>
      <c r="M12" s="161" t="s">
        <v>6067</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6139</v>
      </c>
      <c r="AK12" s="376"/>
      <c r="AL12" s="161" t="s">
        <v>6071</v>
      </c>
      <c r="AM12" s="162"/>
      <c r="AN12" s="162"/>
      <c r="AO12" s="180" t="s">
        <v>6140</v>
      </c>
      <c r="AP12" s="190"/>
      <c r="AQ12" s="182" t="s">
        <v>6074</v>
      </c>
      <c r="AR12" s="183"/>
      <c r="AS12" s="183"/>
    </row>
    <row r="13">
      <c r="A13" s="380" t="s">
        <v>6141</v>
      </c>
      <c r="B13" s="381"/>
      <c r="C13" s="163" t="s">
        <v>6061</v>
      </c>
      <c r="D13" s="163" t="s">
        <v>6062</v>
      </c>
      <c r="E13" s="163" t="s">
        <v>6125</v>
      </c>
      <c r="F13" s="380" t="s">
        <v>6142</v>
      </c>
      <c r="G13" s="381"/>
      <c r="H13" s="163" t="s">
        <v>6064</v>
      </c>
      <c r="I13" s="163" t="s">
        <v>6065</v>
      </c>
      <c r="J13" s="163" t="s">
        <v>6127</v>
      </c>
      <c r="K13" s="99" t="s">
        <v>6143</v>
      </c>
      <c r="L13" s="381"/>
      <c r="M13" s="161" t="s">
        <v>6067</v>
      </c>
      <c r="N13" s="161" t="s">
        <v>6068</v>
      </c>
      <c r="O13" s="161" t="s">
        <v>6130</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6144</v>
      </c>
      <c r="AA13" s="376"/>
      <c r="AB13" s="162" t="str">
        <f>IFERROR(__xludf.DUMMYFUNCTION("GOOGLETRANSLATE(C13,""zh-tw"",""KO"")"),"흰쌀")</f>
        <v>흰쌀</v>
      </c>
      <c r="AC13" s="161" t="s">
        <v>6069</v>
      </c>
      <c r="AD13" s="161" t="s">
        <v>6132</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6145</v>
      </c>
      <c r="AK13" s="376"/>
      <c r="AL13" s="161" t="s">
        <v>6071</v>
      </c>
      <c r="AM13" s="161" t="s">
        <v>6072</v>
      </c>
      <c r="AN13" s="161" t="s">
        <v>6134</v>
      </c>
      <c r="AO13" s="180" t="s">
        <v>6146</v>
      </c>
      <c r="AP13" s="190"/>
      <c r="AQ13" s="182" t="s">
        <v>6074</v>
      </c>
      <c r="AR13" s="182" t="s">
        <v>6075</v>
      </c>
      <c r="AS13" s="182" t="s">
        <v>6135</v>
      </c>
    </row>
    <row r="14">
      <c r="A14" s="380" t="s">
        <v>6147</v>
      </c>
      <c r="B14" s="366" t="s">
        <v>236</v>
      </c>
      <c r="C14" s="163" t="s">
        <v>6148</v>
      </c>
      <c r="D14" s="176"/>
      <c r="E14" s="176"/>
      <c r="F14" s="380" t="s">
        <v>6149</v>
      </c>
      <c r="G14" s="366" t="s">
        <v>236</v>
      </c>
      <c r="H14" s="163" t="s">
        <v>6150</v>
      </c>
      <c r="I14" s="176"/>
      <c r="J14" s="176"/>
      <c r="K14" s="103" t="s">
        <v>6151</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6152</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6153</v>
      </c>
      <c r="AK14" s="376" t="s">
        <v>236</v>
      </c>
      <c r="AL14" s="161" t="s">
        <v>6154</v>
      </c>
      <c r="AM14" s="162"/>
      <c r="AN14" s="162"/>
      <c r="AO14" s="180" t="s">
        <v>6155</v>
      </c>
      <c r="AP14" s="386" t="s">
        <v>236</v>
      </c>
      <c r="AQ14" s="182" t="s">
        <v>4263</v>
      </c>
      <c r="AR14" s="183"/>
      <c r="AS14" s="183"/>
    </row>
    <row r="15">
      <c r="A15" s="380" t="s">
        <v>6156</v>
      </c>
      <c r="B15" s="366" t="s">
        <v>236</v>
      </c>
      <c r="C15" s="163" t="s">
        <v>6125</v>
      </c>
      <c r="D15" s="176"/>
      <c r="E15" s="176"/>
      <c r="F15" s="380" t="s">
        <v>6157</v>
      </c>
      <c r="G15" s="366" t="s">
        <v>236</v>
      </c>
      <c r="H15" s="163" t="s">
        <v>6127</v>
      </c>
      <c r="I15" s="176"/>
      <c r="J15" s="176"/>
      <c r="K15" s="103" t="s">
        <v>6158</v>
      </c>
      <c r="L15" s="366" t="s">
        <v>236</v>
      </c>
      <c r="M15" s="161" t="s">
        <v>6130</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6132</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6159</v>
      </c>
      <c r="AK15" s="376" t="s">
        <v>236</v>
      </c>
      <c r="AL15" s="161" t="s">
        <v>6134</v>
      </c>
      <c r="AM15" s="162"/>
      <c r="AN15" s="162"/>
      <c r="AO15" s="180" t="s">
        <v>6160</v>
      </c>
      <c r="AP15" s="386" t="s">
        <v>236</v>
      </c>
      <c r="AQ15" s="182" t="s">
        <v>6135</v>
      </c>
      <c r="AR15" s="183"/>
      <c r="AS15" s="183"/>
    </row>
    <row r="16">
      <c r="A16" s="380" t="s">
        <v>6161</v>
      </c>
      <c r="B16" s="366" t="s">
        <v>236</v>
      </c>
      <c r="C16" s="163" t="s">
        <v>6125</v>
      </c>
      <c r="D16" s="163" t="s">
        <v>6125</v>
      </c>
      <c r="E16" s="176"/>
      <c r="F16" s="380" t="s">
        <v>6162</v>
      </c>
      <c r="G16" s="366" t="s">
        <v>236</v>
      </c>
      <c r="H16" s="163" t="s">
        <v>6127</v>
      </c>
      <c r="I16" s="163" t="s">
        <v>6127</v>
      </c>
      <c r="J16" s="176"/>
      <c r="K16" s="103" t="s">
        <v>6163</v>
      </c>
      <c r="L16" s="366" t="s">
        <v>236</v>
      </c>
      <c r="M16" s="161" t="s">
        <v>6130</v>
      </c>
      <c r="N16" s="161" t="s">
        <v>6130</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6164</v>
      </c>
      <c r="AA16" s="376" t="s">
        <v>236</v>
      </c>
      <c r="AB16" s="161" t="s">
        <v>6132</v>
      </c>
      <c r="AC16" s="161" t="s">
        <v>6132</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6165</v>
      </c>
      <c r="AK16" s="376" t="s">
        <v>236</v>
      </c>
      <c r="AL16" s="161" t="s">
        <v>6134</v>
      </c>
      <c r="AM16" s="161" t="s">
        <v>6134</v>
      </c>
      <c r="AN16" s="162"/>
      <c r="AO16" s="180" t="s">
        <v>6166</v>
      </c>
      <c r="AP16" s="386" t="s">
        <v>236</v>
      </c>
      <c r="AQ16" s="182" t="s">
        <v>6135</v>
      </c>
      <c r="AR16" s="182" t="s">
        <v>6135</v>
      </c>
      <c r="AS16" s="183"/>
    </row>
    <row r="17">
      <c r="A17" s="385" t="s">
        <v>6167</v>
      </c>
      <c r="B17" s="366" t="s">
        <v>236</v>
      </c>
      <c r="C17" s="163" t="s">
        <v>6125</v>
      </c>
      <c r="D17" s="163" t="s">
        <v>6125</v>
      </c>
      <c r="E17" s="163" t="s">
        <v>6125</v>
      </c>
      <c r="F17" s="380" t="s">
        <v>6168</v>
      </c>
      <c r="G17" s="366" t="s">
        <v>236</v>
      </c>
      <c r="H17" s="163" t="s">
        <v>6127</v>
      </c>
      <c r="I17" s="163" t="s">
        <v>6127</v>
      </c>
      <c r="J17" s="163" t="s">
        <v>6127</v>
      </c>
      <c r="K17" s="103" t="s">
        <v>6169</v>
      </c>
      <c r="L17" s="366" t="s">
        <v>236</v>
      </c>
      <c r="M17" s="161" t="s">
        <v>6130</v>
      </c>
      <c r="N17" s="161" t="s">
        <v>6130</v>
      </c>
      <c r="O17" s="161" t="s">
        <v>6130</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6170</v>
      </c>
      <c r="AA17" s="376" t="s">
        <v>236</v>
      </c>
      <c r="AB17" s="161" t="s">
        <v>6132</v>
      </c>
      <c r="AC17" s="317" t="s">
        <v>6132</v>
      </c>
      <c r="AD17" s="317" t="s">
        <v>6132</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6171</v>
      </c>
      <c r="AK17" s="376" t="s">
        <v>236</v>
      </c>
      <c r="AL17" s="161" t="s">
        <v>6134</v>
      </c>
      <c r="AM17" s="161" t="s">
        <v>6134</v>
      </c>
      <c r="AN17" s="161" t="s">
        <v>6134</v>
      </c>
      <c r="AO17" s="154" t="s">
        <v>6172</v>
      </c>
      <c r="AP17" s="386" t="s">
        <v>236</v>
      </c>
      <c r="AQ17" s="182" t="s">
        <v>6135</v>
      </c>
      <c r="AR17" s="182" t="s">
        <v>6135</v>
      </c>
      <c r="AS17" s="182" t="s">
        <v>6135</v>
      </c>
    </row>
    <row r="18">
      <c r="A18" s="380" t="s">
        <v>6173</v>
      </c>
      <c r="B18" s="366" t="s">
        <v>236</v>
      </c>
      <c r="C18" s="163" t="s">
        <v>6061</v>
      </c>
      <c r="D18" s="163" t="s">
        <v>6125</v>
      </c>
      <c r="E18" s="176"/>
      <c r="F18" s="380" t="s">
        <v>6174</v>
      </c>
      <c r="G18" s="366" t="s">
        <v>236</v>
      </c>
      <c r="H18" s="163" t="s">
        <v>6064</v>
      </c>
      <c r="I18" s="163" t="s">
        <v>6127</v>
      </c>
      <c r="J18" s="176"/>
      <c r="K18" s="103" t="s">
        <v>6175</v>
      </c>
      <c r="L18" s="366" t="s">
        <v>236</v>
      </c>
      <c r="M18" s="161" t="s">
        <v>6176</v>
      </c>
      <c r="N18" s="161" t="s">
        <v>6130</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6177</v>
      </c>
      <c r="AA18" s="376" t="s">
        <v>236</v>
      </c>
      <c r="AB18" s="162" t="str">
        <f>IFERROR(__xludf.DUMMYFUNCTION("GOOGLETRANSLATE(C18,""zh-tw"",""KO"")"),"흰쌀")</f>
        <v>흰쌀</v>
      </c>
      <c r="AC18" s="161" t="s">
        <v>6132</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6178</v>
      </c>
      <c r="AK18" s="376" t="s">
        <v>236</v>
      </c>
      <c r="AL18" s="161" t="s">
        <v>6071</v>
      </c>
      <c r="AM18" s="161" t="s">
        <v>6134</v>
      </c>
      <c r="AN18" s="162"/>
      <c r="AO18" s="180" t="s">
        <v>6179</v>
      </c>
      <c r="AP18" s="386" t="s">
        <v>236</v>
      </c>
      <c r="AQ18" s="182" t="s">
        <v>6074</v>
      </c>
      <c r="AR18" s="182" t="s">
        <v>6135</v>
      </c>
      <c r="AS18" s="183"/>
    </row>
    <row r="19">
      <c r="A19" s="380" t="s">
        <v>6180</v>
      </c>
      <c r="B19" s="381"/>
      <c r="C19" s="163" t="s">
        <v>6181</v>
      </c>
      <c r="D19" s="176"/>
      <c r="E19" s="176"/>
      <c r="F19" s="380" t="s">
        <v>6182</v>
      </c>
      <c r="G19" s="381"/>
      <c r="H19" s="163" t="s">
        <v>6183</v>
      </c>
      <c r="I19" s="176"/>
      <c r="J19" s="176"/>
      <c r="K19" s="99" t="s">
        <v>6184</v>
      </c>
      <c r="L19" s="381"/>
      <c r="M19" s="161" t="s">
        <v>6185</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6186</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6187</v>
      </c>
      <c r="AK19" s="376"/>
      <c r="AL19" s="161" t="s">
        <v>6188</v>
      </c>
      <c r="AM19" s="162"/>
      <c r="AN19" s="162"/>
      <c r="AO19" s="180" t="s">
        <v>6189</v>
      </c>
      <c r="AP19" s="190"/>
      <c r="AQ19" s="182" t="s">
        <v>6190</v>
      </c>
      <c r="AR19" s="183"/>
      <c r="AS19" s="183"/>
    </row>
    <row r="20">
      <c r="A20" s="380" t="s">
        <v>6191</v>
      </c>
      <c r="B20" s="381"/>
      <c r="C20" s="163" t="s">
        <v>6050</v>
      </c>
      <c r="D20" s="163" t="s">
        <v>3874</v>
      </c>
      <c r="E20" s="176"/>
      <c r="F20" s="380" t="s">
        <v>6192</v>
      </c>
      <c r="G20" s="381"/>
      <c r="H20" s="163" t="s">
        <v>6052</v>
      </c>
      <c r="I20" s="163" t="s">
        <v>6193</v>
      </c>
      <c r="J20" s="176"/>
      <c r="K20" s="103" t="s">
        <v>6194</v>
      </c>
      <c r="L20" s="381"/>
      <c r="M20" s="161" t="s">
        <v>6054</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6195</v>
      </c>
      <c r="AA20" s="376"/>
      <c r="AB20" s="161" t="s">
        <v>6055</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6196</v>
      </c>
      <c r="AK20" s="376"/>
      <c r="AL20" s="161" t="s">
        <v>6057</v>
      </c>
      <c r="AM20" s="161" t="s">
        <v>3880</v>
      </c>
      <c r="AN20" s="162"/>
      <c r="AO20" s="180" t="s">
        <v>6197</v>
      </c>
      <c r="AP20" s="190"/>
      <c r="AQ20" s="182" t="s">
        <v>6059</v>
      </c>
      <c r="AR20" s="182" t="s">
        <v>6198</v>
      </c>
      <c r="AS20" s="183"/>
    </row>
    <row r="21">
      <c r="A21" s="380" t="s">
        <v>6199</v>
      </c>
      <c r="B21" s="381"/>
      <c r="C21" s="163" t="s">
        <v>6050</v>
      </c>
      <c r="D21" s="163" t="s">
        <v>6200</v>
      </c>
      <c r="E21" s="176"/>
      <c r="F21" s="380" t="s">
        <v>6201</v>
      </c>
      <c r="G21" s="381"/>
      <c r="H21" s="163" t="s">
        <v>6052</v>
      </c>
      <c r="I21" s="163" t="s">
        <v>6202</v>
      </c>
      <c r="J21" s="176"/>
      <c r="K21" s="103" t="s">
        <v>6203</v>
      </c>
      <c r="L21" s="381"/>
      <c r="M21" s="161" t="s">
        <v>6054</v>
      </c>
      <c r="N21" s="161" t="s">
        <v>6204</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젤리(검정색)")</f>
        <v>이상한 슬라임 젤리(검정색)</v>
      </c>
      <c r="AA21" s="376"/>
      <c r="AB21" s="161" t="s">
        <v>6055</v>
      </c>
      <c r="AC21" s="162" t="str">
        <f>IFERROR(__xludf.DUMMYFUNCTION("GOOGLETRANSLATE(D21,""zh-tw"",""KO"")"),"쓰레기")</f>
        <v>쓰레기</v>
      </c>
      <c r="AD21" s="162"/>
      <c r="AE21" s="380" t="str">
        <f>IFERROR(__xludf.DUMMYFUNCTION("GOOGLETRANSLATE(A21,""zh-tw"",""ru"")"),"Странное желеобразное лизун (черное)")</f>
        <v>Странное желеобразное лизун (черное)</v>
      </c>
      <c r="AF21" s="375"/>
      <c r="AG21" s="163" t="str">
        <f>IFERROR(__xludf.DUMMYFUNCTION("GOOGLETRANSLATE(C21,""zh-tw"",""ru"")"),"слизь")</f>
        <v>слизь</v>
      </c>
      <c r="AH21" s="163" t="str">
        <f>IFERROR(__xludf.DUMMYFUNCTION("GOOGLETRANSLATE(D21,""zh-tw"",""ru"")"),"Мусор")</f>
        <v>Мусор</v>
      </c>
      <c r="AI21" s="163"/>
      <c r="AJ21" s="384" t="s">
        <v>6205</v>
      </c>
      <c r="AK21" s="376"/>
      <c r="AL21" s="161" t="s">
        <v>6057</v>
      </c>
      <c r="AM21" s="161" t="s">
        <v>6206</v>
      </c>
      <c r="AN21" s="162"/>
      <c r="AO21" s="180" t="s">
        <v>6207</v>
      </c>
      <c r="AP21" s="190"/>
      <c r="AQ21" s="182" t="s">
        <v>6059</v>
      </c>
      <c r="AR21" s="182" t="s">
        <v>6208</v>
      </c>
      <c r="AS21" s="183"/>
    </row>
    <row r="22">
      <c r="A22" s="380" t="s">
        <v>6209</v>
      </c>
      <c r="B22" s="381"/>
      <c r="C22" s="163" t="s">
        <v>6181</v>
      </c>
      <c r="D22" s="163" t="s">
        <v>543</v>
      </c>
      <c r="E22" s="176"/>
      <c r="F22" s="380" t="s">
        <v>6210</v>
      </c>
      <c r="G22" s="381"/>
      <c r="H22" s="163" t="s">
        <v>6052</v>
      </c>
      <c r="I22" s="163" t="s">
        <v>546</v>
      </c>
      <c r="J22" s="176"/>
      <c r="K22" s="103" t="s">
        <v>6211</v>
      </c>
      <c r="L22" s="381"/>
      <c r="M22" s="161" t="s">
        <v>6054</v>
      </c>
      <c r="N22" s="161" t="s">
        <v>6212</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6186</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6213</v>
      </c>
      <c r="AK22" s="376"/>
      <c r="AL22" s="161" t="s">
        <v>6188</v>
      </c>
      <c r="AM22" s="161" t="s">
        <v>6214</v>
      </c>
      <c r="AN22" s="162"/>
      <c r="AO22" s="180" t="s">
        <v>6215</v>
      </c>
      <c r="AP22" s="190"/>
      <c r="AQ22" s="182" t="s">
        <v>6059</v>
      </c>
      <c r="AR22" s="182" t="s">
        <v>6216</v>
      </c>
      <c r="AS22" s="183"/>
    </row>
    <row r="23">
      <c r="A23" s="380" t="s">
        <v>6217</v>
      </c>
      <c r="B23" s="381"/>
      <c r="C23" s="163" t="s">
        <v>6218</v>
      </c>
      <c r="D23" s="176"/>
      <c r="E23" s="176"/>
      <c r="F23" s="380" t="s">
        <v>6219</v>
      </c>
      <c r="G23" s="381"/>
      <c r="H23" s="163" t="s">
        <v>6220</v>
      </c>
      <c r="I23" s="176"/>
      <c r="J23" s="176"/>
      <c r="K23" s="99" t="s">
        <v>6221</v>
      </c>
      <c r="L23" s="381"/>
      <c r="M23" s="161" t="s">
        <v>6222</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6223</v>
      </c>
      <c r="AK23" s="376"/>
      <c r="AL23" s="161" t="s">
        <v>6224</v>
      </c>
      <c r="AM23" s="162"/>
      <c r="AN23" s="162"/>
      <c r="AO23" s="180" t="s">
        <v>6225</v>
      </c>
      <c r="AP23" s="190"/>
      <c r="AQ23" s="182" t="s">
        <v>6226</v>
      </c>
      <c r="AR23" s="183"/>
      <c r="AS23" s="183"/>
    </row>
    <row r="24">
      <c r="A24" s="380" t="s">
        <v>6227</v>
      </c>
      <c r="B24" s="381"/>
      <c r="C24" s="163" t="s">
        <v>6148</v>
      </c>
      <c r="D24" s="163" t="s">
        <v>4229</v>
      </c>
      <c r="E24" s="163" t="s">
        <v>6228</v>
      </c>
      <c r="F24" s="380" t="s">
        <v>6229</v>
      </c>
      <c r="G24" s="381"/>
      <c r="H24" s="163" t="s">
        <v>6150</v>
      </c>
      <c r="I24" s="163" t="s">
        <v>6230</v>
      </c>
      <c r="J24" s="163" t="s">
        <v>6231</v>
      </c>
      <c r="K24" s="103" t="s">
        <v>6232</v>
      </c>
      <c r="L24" s="381"/>
      <c r="M24" s="161" t="s">
        <v>4257</v>
      </c>
      <c r="N24" s="161" t="s">
        <v>4231</v>
      </c>
      <c r="O24" s="161" t="s">
        <v>6233</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6234</v>
      </c>
      <c r="AK24" s="376"/>
      <c r="AL24" s="161" t="s">
        <v>6154</v>
      </c>
      <c r="AM24" s="161" t="s">
        <v>4234</v>
      </c>
      <c r="AN24" s="161" t="s">
        <v>4234</v>
      </c>
      <c r="AO24" s="180" t="s">
        <v>6235</v>
      </c>
      <c r="AP24" s="190"/>
      <c r="AQ24" s="182" t="s">
        <v>4263</v>
      </c>
      <c r="AR24" s="182" t="s">
        <v>4236</v>
      </c>
      <c r="AS24" s="182" t="s">
        <v>6236</v>
      </c>
    </row>
    <row r="25">
      <c r="A25" s="380" t="s">
        <v>6237</v>
      </c>
      <c r="B25" s="381"/>
      <c r="C25" s="163" t="s">
        <v>6238</v>
      </c>
      <c r="D25" s="176"/>
      <c r="E25" s="176"/>
      <c r="F25" s="380" t="s">
        <v>6239</v>
      </c>
      <c r="G25" s="381"/>
      <c r="H25" s="163" t="s">
        <v>6240</v>
      </c>
      <c r="I25" s="176"/>
      <c r="J25" s="176"/>
      <c r="K25" s="103" t="s">
        <v>6241</v>
      </c>
      <c r="L25" s="381"/>
      <c r="M25" s="161" t="s">
        <v>6242</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6243</v>
      </c>
      <c r="AA25" s="376"/>
      <c r="AB25" s="161" t="s">
        <v>6244</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6245</v>
      </c>
      <c r="AK25" s="376"/>
      <c r="AL25" s="161" t="s">
        <v>6246</v>
      </c>
      <c r="AM25" s="162"/>
      <c r="AN25" s="162"/>
      <c r="AO25" s="180" t="s">
        <v>6247</v>
      </c>
      <c r="AP25" s="190"/>
      <c r="AQ25" s="182" t="s">
        <v>6248</v>
      </c>
      <c r="AR25" s="183"/>
      <c r="AS25" s="183"/>
    </row>
    <row r="26">
      <c r="A26" s="385" t="s">
        <v>6249</v>
      </c>
      <c r="B26" s="381"/>
      <c r="C26" s="163" t="s">
        <v>6250</v>
      </c>
      <c r="D26" s="163" t="s">
        <v>6250</v>
      </c>
      <c r="E26" s="163" t="s">
        <v>6250</v>
      </c>
      <c r="F26" s="380" t="s">
        <v>6251</v>
      </c>
      <c r="G26" s="381"/>
      <c r="H26" s="163" t="s">
        <v>6231</v>
      </c>
      <c r="I26" s="163" t="s">
        <v>6231</v>
      </c>
      <c r="J26" s="163" t="s">
        <v>6231</v>
      </c>
      <c r="K26" s="99" t="s">
        <v>6252</v>
      </c>
      <c r="L26" s="381"/>
      <c r="M26" s="161" t="s">
        <v>6233</v>
      </c>
      <c r="N26" s="161" t="s">
        <v>6233</v>
      </c>
      <c r="O26" s="161" t="s">
        <v>6233</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6253</v>
      </c>
      <c r="AA26" s="376"/>
      <c r="AB26" s="387" t="s">
        <v>6254</v>
      </c>
      <c r="AC26" s="387" t="s">
        <v>6254</v>
      </c>
      <c r="AD26" s="161" t="s">
        <v>6254</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6255</v>
      </c>
      <c r="AK26" s="376"/>
      <c r="AL26" s="161" t="s">
        <v>6256</v>
      </c>
      <c r="AM26" s="161" t="s">
        <v>6256</v>
      </c>
      <c r="AN26" s="161" t="s">
        <v>6256</v>
      </c>
      <c r="AO26" s="154" t="s">
        <v>6257</v>
      </c>
      <c r="AP26" s="190"/>
      <c r="AQ26" s="182" t="s">
        <v>6236</v>
      </c>
      <c r="AR26" s="182" t="s">
        <v>6236</v>
      </c>
      <c r="AS26" s="182" t="s">
        <v>6236</v>
      </c>
    </row>
    <row r="27">
      <c r="A27" s="380" t="s">
        <v>6258</v>
      </c>
      <c r="B27" s="381"/>
      <c r="C27" s="163" t="s">
        <v>4229</v>
      </c>
      <c r="D27" s="176"/>
      <c r="E27" s="176"/>
      <c r="F27" s="380" t="s">
        <v>6259</v>
      </c>
      <c r="G27" s="381"/>
      <c r="H27" s="163" t="s">
        <v>6230</v>
      </c>
      <c r="I27" s="176"/>
      <c r="J27" s="176"/>
      <c r="K27" s="103" t="s">
        <v>6260</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6261</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6262</v>
      </c>
      <c r="AK27" s="376"/>
      <c r="AL27" s="161" t="s">
        <v>4234</v>
      </c>
      <c r="AM27" s="162"/>
      <c r="AN27" s="162"/>
      <c r="AO27" s="180" t="s">
        <v>6263</v>
      </c>
      <c r="AP27" s="190"/>
      <c r="AQ27" s="182" t="s">
        <v>4236</v>
      </c>
      <c r="AR27" s="183"/>
      <c r="AS27" s="183"/>
    </row>
    <row r="28">
      <c r="A28" s="380" t="s">
        <v>6264</v>
      </c>
      <c r="B28" s="381"/>
      <c r="C28" s="163" t="s">
        <v>6228</v>
      </c>
      <c r="D28" s="163" t="s">
        <v>6265</v>
      </c>
      <c r="E28" s="176"/>
      <c r="F28" s="380" t="s">
        <v>6266</v>
      </c>
      <c r="G28" s="381"/>
      <c r="H28" s="163" t="s">
        <v>6231</v>
      </c>
      <c r="I28" s="163" t="s">
        <v>6267</v>
      </c>
      <c r="J28" s="176"/>
      <c r="K28" s="103" t="s">
        <v>6268</v>
      </c>
      <c r="L28" s="381"/>
      <c r="M28" s="161" t="s">
        <v>6233</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6269</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6270</v>
      </c>
      <c r="AK28" s="376"/>
      <c r="AL28" s="161" t="s">
        <v>6271</v>
      </c>
      <c r="AM28" s="162" t="str">
        <f>IFERROR(__xludf.DUMMYFUNCTION("GOOGLETRANSLATE(D28,""zh-tw"",""de"")"),"Pilze")</f>
        <v>Pilze</v>
      </c>
      <c r="AN28" s="162"/>
      <c r="AO28" s="180" t="s">
        <v>6272</v>
      </c>
      <c r="AP28" s="190"/>
      <c r="AQ28" s="182" t="s">
        <v>6236</v>
      </c>
      <c r="AR28" s="182" t="s">
        <v>4045</v>
      </c>
      <c r="AS28" s="183"/>
    </row>
    <row r="29">
      <c r="A29" s="380" t="s">
        <v>6273</v>
      </c>
      <c r="B29" s="381"/>
      <c r="C29" s="163" t="s">
        <v>6274</v>
      </c>
      <c r="D29" s="176"/>
      <c r="E29" s="176"/>
      <c r="F29" s="380" t="s">
        <v>6275</v>
      </c>
      <c r="G29" s="381"/>
      <c r="H29" s="163" t="s">
        <v>6276</v>
      </c>
      <c r="I29" s="176"/>
      <c r="J29" s="176"/>
      <c r="K29" s="103" t="s">
        <v>6277</v>
      </c>
      <c r="L29" s="381"/>
      <c r="M29" s="161" t="s">
        <v>6278</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6279</v>
      </c>
      <c r="AK29" s="376"/>
      <c r="AL29" s="161" t="s">
        <v>6278</v>
      </c>
      <c r="AM29" s="162"/>
      <c r="AN29" s="162"/>
      <c r="AO29" s="180" t="s">
        <v>6277</v>
      </c>
      <c r="AP29" s="190"/>
      <c r="AQ29" s="182" t="s">
        <v>6280</v>
      </c>
      <c r="AR29" s="183"/>
      <c r="AS29" s="183"/>
    </row>
    <row r="30">
      <c r="A30" s="380" t="s">
        <v>6281</v>
      </c>
      <c r="B30" s="381"/>
      <c r="C30" s="163" t="s">
        <v>6274</v>
      </c>
      <c r="D30" s="163" t="s">
        <v>6282</v>
      </c>
      <c r="E30" s="176"/>
      <c r="F30" s="380" t="s">
        <v>6283</v>
      </c>
      <c r="G30" s="381"/>
      <c r="H30" s="163" t="s">
        <v>6276</v>
      </c>
      <c r="I30" s="163" t="s">
        <v>6284</v>
      </c>
      <c r="J30" s="176"/>
      <c r="K30" s="103" t="s">
        <v>6285</v>
      </c>
      <c r="L30" s="381"/>
      <c r="M30" s="161" t="s">
        <v>6278</v>
      </c>
      <c r="N30" s="161" t="s">
        <v>6286</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6287</v>
      </c>
      <c r="AK30" s="376"/>
      <c r="AL30" s="161" t="s">
        <v>6278</v>
      </c>
      <c r="AM30" s="161" t="s">
        <v>6288</v>
      </c>
      <c r="AN30" s="162"/>
      <c r="AO30" s="180" t="s">
        <v>6289</v>
      </c>
      <c r="AP30" s="190"/>
      <c r="AQ30" s="182" t="s">
        <v>6280</v>
      </c>
      <c r="AR30" s="182" t="s">
        <v>6290</v>
      </c>
      <c r="AS30" s="183"/>
    </row>
    <row r="31">
      <c r="A31" s="380" t="s">
        <v>6291</v>
      </c>
      <c r="B31" s="381"/>
      <c r="C31" s="163" t="s">
        <v>6274</v>
      </c>
      <c r="D31" s="163" t="s">
        <v>6292</v>
      </c>
      <c r="E31" s="176"/>
      <c r="F31" s="380" t="s">
        <v>6293</v>
      </c>
      <c r="G31" s="381"/>
      <c r="H31" s="163" t="s">
        <v>6276</v>
      </c>
      <c r="I31" s="163" t="s">
        <v>6294</v>
      </c>
      <c r="J31" s="176"/>
      <c r="K31" s="103" t="s">
        <v>6295</v>
      </c>
      <c r="L31" s="381"/>
      <c r="M31" s="161" t="s">
        <v>6278</v>
      </c>
      <c r="N31" s="161" t="s">
        <v>6296</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6297</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6298</v>
      </c>
      <c r="AK31" s="376"/>
      <c r="AL31" s="161" t="s">
        <v>6278</v>
      </c>
      <c r="AM31" s="161" t="s">
        <v>6299</v>
      </c>
      <c r="AN31" s="162"/>
      <c r="AO31" s="180" t="s">
        <v>6300</v>
      </c>
      <c r="AP31" s="190"/>
      <c r="AQ31" s="182" t="s">
        <v>6280</v>
      </c>
      <c r="AR31" s="182" t="s">
        <v>6301</v>
      </c>
      <c r="AS31" s="183"/>
    </row>
    <row r="32">
      <c r="A32" s="380" t="s">
        <v>6302</v>
      </c>
      <c r="B32" s="381"/>
      <c r="C32" s="163" t="s">
        <v>6061</v>
      </c>
      <c r="D32" s="163" t="s">
        <v>6062</v>
      </c>
      <c r="E32" s="163" t="s">
        <v>4019</v>
      </c>
      <c r="F32" s="380" t="s">
        <v>6303</v>
      </c>
      <c r="G32" s="381"/>
      <c r="H32" s="163" t="s">
        <v>6064</v>
      </c>
      <c r="I32" s="163" t="s">
        <v>6065</v>
      </c>
      <c r="J32" s="163" t="s">
        <v>6304</v>
      </c>
      <c r="K32" s="99" t="s">
        <v>6305</v>
      </c>
      <c r="L32" s="381"/>
      <c r="M32" s="161" t="s">
        <v>6067</v>
      </c>
      <c r="N32" s="161" t="s">
        <v>6068</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6069</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6306</v>
      </c>
      <c r="AK32" s="376"/>
      <c r="AL32" s="161" t="s">
        <v>6071</v>
      </c>
      <c r="AM32" s="161" t="s">
        <v>6072</v>
      </c>
      <c r="AN32" s="161" t="s">
        <v>6307</v>
      </c>
      <c r="AO32" s="180" t="s">
        <v>6308</v>
      </c>
      <c r="AP32" s="190"/>
      <c r="AQ32" s="182" t="s">
        <v>6074</v>
      </c>
      <c r="AR32" s="182" t="s">
        <v>6075</v>
      </c>
      <c r="AS32" s="182" t="s">
        <v>4029</v>
      </c>
    </row>
    <row r="33">
      <c r="A33" s="380" t="s">
        <v>6309</v>
      </c>
      <c r="B33" s="381"/>
      <c r="C33" s="163" t="s">
        <v>6061</v>
      </c>
      <c r="D33" s="163" t="s">
        <v>4019</v>
      </c>
      <c r="E33" s="176"/>
      <c r="F33" s="380" t="s">
        <v>6310</v>
      </c>
      <c r="G33" s="381"/>
      <c r="H33" s="163" t="s">
        <v>6064</v>
      </c>
      <c r="I33" s="163" t="s">
        <v>6304</v>
      </c>
      <c r="J33" s="176"/>
      <c r="K33" s="103" t="s">
        <v>6311</v>
      </c>
      <c r="L33" s="381"/>
      <c r="M33" s="161" t="s">
        <v>6067</v>
      </c>
      <c r="N33" s="161" t="s">
        <v>6312</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6313</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6314</v>
      </c>
      <c r="AK33" s="376"/>
      <c r="AL33" s="161" t="s">
        <v>6071</v>
      </c>
      <c r="AM33" s="161" t="s">
        <v>6307</v>
      </c>
      <c r="AN33" s="162"/>
      <c r="AO33" s="180" t="s">
        <v>6311</v>
      </c>
      <c r="AP33" s="190"/>
      <c r="AQ33" s="182" t="s">
        <v>6074</v>
      </c>
      <c r="AR33" s="182" t="s">
        <v>4029</v>
      </c>
      <c r="AS33" s="183"/>
    </row>
    <row r="34">
      <c r="A34" s="380" t="s">
        <v>6315</v>
      </c>
      <c r="B34" s="381"/>
      <c r="C34" s="163" t="s">
        <v>6061</v>
      </c>
      <c r="D34" s="163" t="s">
        <v>4019</v>
      </c>
      <c r="E34" s="163" t="s">
        <v>4238</v>
      </c>
      <c r="F34" s="380" t="s">
        <v>6316</v>
      </c>
      <c r="G34" s="381"/>
      <c r="H34" s="163" t="s">
        <v>6064</v>
      </c>
      <c r="I34" s="163" t="s">
        <v>6304</v>
      </c>
      <c r="J34" s="163" t="s">
        <v>6317</v>
      </c>
      <c r="K34" s="103" t="s">
        <v>6318</v>
      </c>
      <c r="L34" s="381"/>
      <c r="M34" s="161" t="s">
        <v>6067</v>
      </c>
      <c r="N34" s="161" t="s">
        <v>6312</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6319</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6320</v>
      </c>
      <c r="AK34" s="376"/>
      <c r="AL34" s="161" t="s">
        <v>6071</v>
      </c>
      <c r="AM34" s="161" t="s">
        <v>6307</v>
      </c>
      <c r="AN34" s="161" t="s">
        <v>6321</v>
      </c>
      <c r="AO34" s="180" t="s">
        <v>6322</v>
      </c>
      <c r="AP34" s="190"/>
      <c r="AQ34" s="182" t="s">
        <v>6074</v>
      </c>
      <c r="AR34" s="182" t="s">
        <v>4029</v>
      </c>
      <c r="AS34" s="182" t="s">
        <v>4244</v>
      </c>
    </row>
    <row r="35">
      <c r="A35" s="380" t="s">
        <v>6323</v>
      </c>
      <c r="B35" s="381"/>
      <c r="C35" s="163" t="s">
        <v>6061</v>
      </c>
      <c r="D35" s="163" t="s">
        <v>6324</v>
      </c>
      <c r="E35" s="176"/>
      <c r="F35" s="380" t="s">
        <v>6325</v>
      </c>
      <c r="G35" s="381"/>
      <c r="H35" s="163" t="s">
        <v>6064</v>
      </c>
      <c r="I35" s="163" t="s">
        <v>6326</v>
      </c>
      <c r="J35" s="176"/>
      <c r="K35" s="103" t="s">
        <v>6327</v>
      </c>
      <c r="L35" s="381"/>
      <c r="M35" s="161" t="s">
        <v>6067</v>
      </c>
      <c r="N35" s="161" t="s">
        <v>6296</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6328</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6329</v>
      </c>
      <c r="AK35" s="376"/>
      <c r="AL35" s="161" t="s">
        <v>6071</v>
      </c>
      <c r="AM35" s="161" t="s">
        <v>6330</v>
      </c>
      <c r="AN35" s="162"/>
      <c r="AO35" s="180" t="s">
        <v>6331</v>
      </c>
      <c r="AP35" s="190"/>
      <c r="AQ35" s="182" t="s">
        <v>6074</v>
      </c>
      <c r="AR35" s="182" t="s">
        <v>6301</v>
      </c>
      <c r="AS35" s="183"/>
    </row>
    <row r="36">
      <c r="A36" s="380" t="s">
        <v>6332</v>
      </c>
      <c r="B36" s="381"/>
      <c r="C36" s="163" t="s">
        <v>6333</v>
      </c>
      <c r="D36" s="176"/>
      <c r="E36" s="176"/>
      <c r="F36" s="380" t="s">
        <v>6334</v>
      </c>
      <c r="G36" s="381"/>
      <c r="H36" s="163" t="s">
        <v>6335</v>
      </c>
      <c r="I36" s="176"/>
      <c r="J36" s="176"/>
      <c r="K36" s="99" t="s">
        <v>6336</v>
      </c>
      <c r="L36" s="381"/>
      <c r="M36" s="161" t="s">
        <v>6337</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6338</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6339</v>
      </c>
      <c r="AK36" s="376"/>
      <c r="AL36" s="161" t="s">
        <v>6340</v>
      </c>
      <c r="AM36" s="162"/>
      <c r="AN36" s="162"/>
      <c r="AO36" s="180" t="s">
        <v>6341</v>
      </c>
      <c r="AP36" s="190"/>
      <c r="AQ36" s="182" t="s">
        <v>6342</v>
      </c>
      <c r="AR36" s="183"/>
      <c r="AS36" s="183"/>
    </row>
    <row r="37">
      <c r="A37" s="385" t="s">
        <v>6343</v>
      </c>
      <c r="B37" s="381"/>
      <c r="C37" s="163" t="s">
        <v>6250</v>
      </c>
      <c r="D37" s="163" t="s">
        <v>6250</v>
      </c>
      <c r="E37" s="176"/>
      <c r="F37" s="380" t="s">
        <v>6344</v>
      </c>
      <c r="G37" s="381"/>
      <c r="H37" s="163" t="s">
        <v>6345</v>
      </c>
      <c r="I37" s="163" t="s">
        <v>6345</v>
      </c>
      <c r="J37" s="176"/>
      <c r="K37" s="103" t="s">
        <v>6346</v>
      </c>
      <c r="L37" s="381"/>
      <c r="M37" s="161" t="s">
        <v>6347</v>
      </c>
      <c r="N37" s="161" t="s">
        <v>6347</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6348</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6349</v>
      </c>
      <c r="AK37" s="376"/>
      <c r="AL37" s="161" t="s">
        <v>6256</v>
      </c>
      <c r="AM37" s="161" t="s">
        <v>6256</v>
      </c>
      <c r="AN37" s="162"/>
      <c r="AO37" s="154" t="s">
        <v>6350</v>
      </c>
      <c r="AP37" s="190"/>
      <c r="AQ37" s="182" t="s">
        <v>6351</v>
      </c>
      <c r="AR37" s="182" t="s">
        <v>6351</v>
      </c>
      <c r="AS37" s="183"/>
    </row>
    <row r="38">
      <c r="A38" s="380" t="s">
        <v>6352</v>
      </c>
      <c r="B38" s="366" t="s">
        <v>236</v>
      </c>
      <c r="C38" s="163" t="s">
        <v>6353</v>
      </c>
      <c r="D38" s="163" t="s">
        <v>6353</v>
      </c>
      <c r="E38" s="163" t="s">
        <v>6078</v>
      </c>
      <c r="F38" s="380" t="s">
        <v>6354</v>
      </c>
      <c r="G38" s="366" t="s">
        <v>236</v>
      </c>
      <c r="H38" s="163" t="s">
        <v>6355</v>
      </c>
      <c r="I38" s="163" t="s">
        <v>6355</v>
      </c>
      <c r="J38" s="163" t="s">
        <v>6081</v>
      </c>
      <c r="K38" s="99" t="s">
        <v>6356</v>
      </c>
      <c r="L38" s="366" t="s">
        <v>236</v>
      </c>
      <c r="M38" s="161" t="s">
        <v>6357</v>
      </c>
      <c r="N38" s="161" t="s">
        <v>6357</v>
      </c>
      <c r="O38" s="161" t="s">
        <v>6084</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IFERROR(__xludf.DUMMYFUNCTION("GOOGLETRANSLATE(C38,""zh-tw"",""es-MX"")"),"muslos de pollo")</f>
        <v>muslos de pollo</v>
      </c>
      <c r="X38" s="163" t="str">
        <f>IFERROR(__xludf.DUMMYFUNCTION("GOOGLETRANSLATE(D38,""zh-tw"",""es-MX"")"),"muslos de pollo")</f>
        <v>muslos de pollo</v>
      </c>
      <c r="Y38" s="163" t="str">
        <f>IFERROR(__xludf.DUMMYFUNCTION("GOOGLETRANSLATE(E38,""zh-tw"",""es-MX"")"),"harina de trigo")</f>
        <v>harina de trigo</v>
      </c>
      <c r="Z38" s="384" t="s">
        <v>6358</v>
      </c>
      <c r="AA38" s="388" t="s">
        <v>236</v>
      </c>
      <c r="AB38" s="161" t="s">
        <v>6359</v>
      </c>
      <c r="AC38" s="161" t="s">
        <v>6359</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6360</v>
      </c>
      <c r="AK38" s="376" t="s">
        <v>236</v>
      </c>
      <c r="AL38" s="161" t="s">
        <v>6361</v>
      </c>
      <c r="AM38" s="161" t="s">
        <v>6361</v>
      </c>
      <c r="AN38" s="161" t="s">
        <v>6087</v>
      </c>
      <c r="AO38" s="180" t="s">
        <v>6362</v>
      </c>
      <c r="AP38" s="386" t="s">
        <v>236</v>
      </c>
      <c r="AQ38" s="182" t="s">
        <v>6363</v>
      </c>
      <c r="AR38" s="182" t="s">
        <v>6363</v>
      </c>
      <c r="AS38" s="182" t="s">
        <v>6090</v>
      </c>
    </row>
    <row r="39">
      <c r="A39" s="385" t="s">
        <v>6364</v>
      </c>
      <c r="B39" s="366" t="s">
        <v>236</v>
      </c>
      <c r="C39" s="163" t="s">
        <v>6353</v>
      </c>
      <c r="D39" s="176"/>
      <c r="E39" s="176"/>
      <c r="F39" s="380" t="s">
        <v>6365</v>
      </c>
      <c r="G39" s="366" t="s">
        <v>236</v>
      </c>
      <c r="H39" s="163" t="s">
        <v>6355</v>
      </c>
      <c r="I39" s="176"/>
      <c r="J39" s="176"/>
      <c r="K39" s="103" t="s">
        <v>6366</v>
      </c>
      <c r="L39" s="366" t="s">
        <v>236</v>
      </c>
      <c r="M39" s="161" t="s">
        <v>6357</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IFERROR(__xludf.DUMMYFUNCTION("GOOGLETRANSLATE(C39,""zh-tw"",""es-MX"")"),"muslos de pollo")</f>
        <v>muslos de pollo</v>
      </c>
      <c r="X39" s="163"/>
      <c r="Y39" s="163"/>
      <c r="Z39" s="383" t="str">
        <f>IFERROR(__xludf.DUMMYFUNCTION("GOOGLETRANSLATE(A39,""zh-tw"",""KO"")"),"튀긴 닭다리")</f>
        <v>튀긴 닭다리</v>
      </c>
      <c r="AA39" s="388" t="s">
        <v>236</v>
      </c>
      <c r="AB39" s="161" t="s">
        <v>6359</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6367</v>
      </c>
      <c r="AK39" s="376" t="s">
        <v>236</v>
      </c>
      <c r="AL39" s="161" t="s">
        <v>6361</v>
      </c>
      <c r="AM39" s="162"/>
      <c r="AN39" s="162"/>
      <c r="AO39" s="154" t="s">
        <v>6368</v>
      </c>
      <c r="AP39" s="386" t="s">
        <v>236</v>
      </c>
      <c r="AQ39" s="182" t="s">
        <v>6363</v>
      </c>
      <c r="AR39" s="183"/>
      <c r="AS39" s="183"/>
    </row>
    <row r="40">
      <c r="A40" s="380" t="s">
        <v>6369</v>
      </c>
      <c r="B40" s="366" t="s">
        <v>236</v>
      </c>
      <c r="C40" s="163" t="s">
        <v>6061</v>
      </c>
      <c r="D40" s="163" t="s">
        <v>6353</v>
      </c>
      <c r="E40" s="176"/>
      <c r="F40" s="380" t="s">
        <v>6370</v>
      </c>
      <c r="G40" s="366" t="s">
        <v>236</v>
      </c>
      <c r="H40" s="163" t="s">
        <v>6064</v>
      </c>
      <c r="I40" s="163" t="s">
        <v>6355</v>
      </c>
      <c r="J40" s="176"/>
      <c r="K40" s="103" t="s">
        <v>6371</v>
      </c>
      <c r="L40" s="366" t="s">
        <v>236</v>
      </c>
      <c r="M40" s="161" t="s">
        <v>6176</v>
      </c>
      <c r="N40" s="161" t="s">
        <v>6357</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IFERROR(__xludf.DUMMYFUNCTION("GOOGLETRANSLATE(D40,""zh-tw"",""es-MX"")"),"muslos de pollo")</f>
        <v>muslos de pollo</v>
      </c>
      <c r="Y40" s="163"/>
      <c r="Z40" s="384" t="s">
        <v>6372</v>
      </c>
      <c r="AA40" s="388" t="s">
        <v>236</v>
      </c>
      <c r="AB40" s="162" t="str">
        <f>IFERROR(__xludf.DUMMYFUNCTION("GOOGLETRANSLATE(C40,""zh-tw"",""KO"")"),"흰쌀")</f>
        <v>흰쌀</v>
      </c>
      <c r="AC40" s="161" t="s">
        <v>6359</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6373</v>
      </c>
      <c r="AK40" s="376" t="s">
        <v>236</v>
      </c>
      <c r="AL40" s="161" t="s">
        <v>6071</v>
      </c>
      <c r="AM40" s="161" t="s">
        <v>6361</v>
      </c>
      <c r="AN40" s="162"/>
      <c r="AO40" s="180" t="s">
        <v>6371</v>
      </c>
      <c r="AP40" s="386" t="s">
        <v>236</v>
      </c>
      <c r="AQ40" s="182" t="s">
        <v>6074</v>
      </c>
      <c r="AR40" s="182" t="s">
        <v>6363</v>
      </c>
      <c r="AS40" s="183"/>
    </row>
    <row r="41">
      <c r="A41" s="380" t="s">
        <v>6374</v>
      </c>
      <c r="B41" s="381"/>
      <c r="C41" s="163" t="s">
        <v>6375</v>
      </c>
      <c r="D41" s="163" t="s">
        <v>6375</v>
      </c>
      <c r="E41" s="163" t="s">
        <v>6375</v>
      </c>
      <c r="F41" s="380" t="s">
        <v>6376</v>
      </c>
      <c r="G41" s="389"/>
      <c r="H41" s="163" t="s">
        <v>6326</v>
      </c>
      <c r="I41" s="163" t="s">
        <v>6326</v>
      </c>
      <c r="J41" s="163" t="s">
        <v>6326</v>
      </c>
      <c r="K41" s="103" t="s">
        <v>6377</v>
      </c>
      <c r="L41" s="381"/>
      <c r="M41" s="161" t="s">
        <v>6378</v>
      </c>
      <c r="N41" s="161" t="s">
        <v>6378</v>
      </c>
      <c r="O41" s="161" t="s">
        <v>6378</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6379</v>
      </c>
      <c r="AA41" s="376"/>
      <c r="AB41" s="161" t="s">
        <v>6328</v>
      </c>
      <c r="AC41" s="161" t="s">
        <v>6328</v>
      </c>
      <c r="AD41" s="161" t="s">
        <v>6328</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6380</v>
      </c>
      <c r="AK41" s="376"/>
      <c r="AL41" s="161" t="s">
        <v>6330</v>
      </c>
      <c r="AM41" s="161" t="s">
        <v>6330</v>
      </c>
      <c r="AN41" s="161" t="s">
        <v>6330</v>
      </c>
      <c r="AO41" s="180" t="s">
        <v>6381</v>
      </c>
      <c r="AP41" s="190"/>
      <c r="AQ41" s="182" t="s">
        <v>6382</v>
      </c>
      <c r="AR41" s="182" t="s">
        <v>6382</v>
      </c>
      <c r="AS41" s="182" t="s">
        <v>6382</v>
      </c>
    </row>
    <row r="42">
      <c r="A42" s="380" t="s">
        <v>6383</v>
      </c>
      <c r="B42" s="381"/>
      <c r="C42" s="163" t="s">
        <v>6384</v>
      </c>
      <c r="D42" s="163" t="s">
        <v>6384</v>
      </c>
      <c r="E42" s="163" t="s">
        <v>6384</v>
      </c>
      <c r="F42" s="380" t="s">
        <v>6385</v>
      </c>
      <c r="G42" s="389"/>
      <c r="H42" s="163" t="s">
        <v>6386</v>
      </c>
      <c r="I42" s="163" t="s">
        <v>6386</v>
      </c>
      <c r="J42" s="163" t="s">
        <v>6386</v>
      </c>
      <c r="K42" s="103" t="s">
        <v>6387</v>
      </c>
      <c r="L42" s="381"/>
      <c r="M42" s="161" t="s">
        <v>6388</v>
      </c>
      <c r="N42" s="161" t="s">
        <v>6388</v>
      </c>
      <c r="O42" s="161" t="s">
        <v>6388</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6389</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6390</v>
      </c>
      <c r="AK42" s="376"/>
      <c r="AL42" s="161" t="s">
        <v>6391</v>
      </c>
      <c r="AM42" s="161" t="s">
        <v>6391</v>
      </c>
      <c r="AN42" s="161" t="s">
        <v>6391</v>
      </c>
      <c r="AO42" s="180" t="s">
        <v>6392</v>
      </c>
      <c r="AP42" s="190"/>
      <c r="AQ42" s="182" t="s">
        <v>6393</v>
      </c>
      <c r="AR42" s="182" t="s">
        <v>6393</v>
      </c>
      <c r="AS42" s="182" t="s">
        <v>6393</v>
      </c>
    </row>
    <row r="43">
      <c r="A43" s="385" t="s">
        <v>6394</v>
      </c>
      <c r="B43" s="381"/>
      <c r="C43" s="163" t="s">
        <v>6395</v>
      </c>
      <c r="D43" s="176"/>
      <c r="E43" s="176"/>
      <c r="F43" s="380" t="s">
        <v>6396</v>
      </c>
      <c r="G43" s="389"/>
      <c r="H43" s="163" t="s">
        <v>6397</v>
      </c>
      <c r="I43" s="176"/>
      <c r="J43" s="176"/>
      <c r="K43" s="103" t="s">
        <v>6398</v>
      </c>
      <c r="L43" s="381"/>
      <c r="M43" s="161" t="s">
        <v>6399</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6400</v>
      </c>
      <c r="AK43" s="376"/>
      <c r="AL43" s="161" t="s">
        <v>6401</v>
      </c>
      <c r="AM43" s="162"/>
      <c r="AN43" s="162"/>
      <c r="AO43" s="154" t="s">
        <v>6402</v>
      </c>
      <c r="AP43" s="190"/>
      <c r="AQ43" s="182" t="s">
        <v>6403</v>
      </c>
      <c r="AR43" s="182" t="s">
        <v>6090</v>
      </c>
      <c r="AS43" s="183"/>
    </row>
    <row r="44">
      <c r="A44" s="380" t="s">
        <v>6404</v>
      </c>
      <c r="B44" s="389"/>
      <c r="C44" s="163" t="s">
        <v>6238</v>
      </c>
      <c r="D44" s="163" t="s">
        <v>6078</v>
      </c>
      <c r="E44" s="176"/>
      <c r="F44" s="380" t="s">
        <v>6405</v>
      </c>
      <c r="G44" s="389"/>
      <c r="H44" s="163" t="s">
        <v>6240</v>
      </c>
      <c r="I44" s="163" t="s">
        <v>6081</v>
      </c>
      <c r="J44" s="176"/>
      <c r="K44" s="103" t="s">
        <v>6406</v>
      </c>
      <c r="L44" s="381"/>
      <c r="M44" s="161" t="s">
        <v>6242</v>
      </c>
      <c r="N44" s="161" t="s">
        <v>6084</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6407</v>
      </c>
      <c r="AA44" s="376"/>
      <c r="AB44" s="161" t="s">
        <v>6244</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6408</v>
      </c>
      <c r="AK44" s="376"/>
      <c r="AL44" s="161" t="s">
        <v>6246</v>
      </c>
      <c r="AM44" s="161" t="s">
        <v>6087</v>
      </c>
      <c r="AN44" s="162"/>
      <c r="AO44" s="180" t="s">
        <v>6406</v>
      </c>
      <c r="AP44" s="190"/>
      <c r="AQ44" s="182" t="s">
        <v>6248</v>
      </c>
      <c r="AR44" s="183"/>
      <c r="AS44" s="183"/>
    </row>
    <row r="45">
      <c r="A45" s="380" t="s">
        <v>6409</v>
      </c>
      <c r="B45" s="389"/>
      <c r="C45" s="163" t="s">
        <v>6125</v>
      </c>
      <c r="D45" s="176"/>
      <c r="E45" s="176"/>
      <c r="F45" s="380" t="s">
        <v>6157</v>
      </c>
      <c r="G45" s="389"/>
      <c r="H45" s="163" t="s">
        <v>6127</v>
      </c>
      <c r="I45" s="176"/>
      <c r="J45" s="176"/>
      <c r="K45" s="103" t="s">
        <v>6410</v>
      </c>
      <c r="L45" s="381"/>
      <c r="M45" s="161" t="s">
        <v>6130</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6411</v>
      </c>
      <c r="AA45" s="376"/>
      <c r="AB45" s="161" t="s">
        <v>6132</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6412</v>
      </c>
      <c r="AK45" s="376"/>
      <c r="AL45" s="161" t="s">
        <v>6134</v>
      </c>
      <c r="AM45" s="162"/>
      <c r="AN45" s="162"/>
      <c r="AO45" s="180" t="s">
        <v>6413</v>
      </c>
      <c r="AP45" s="190"/>
      <c r="AQ45" s="182" t="s">
        <v>6135</v>
      </c>
      <c r="AR45" s="183"/>
      <c r="AS45" s="183"/>
    </row>
    <row r="46">
      <c r="A46" s="380" t="s">
        <v>6414</v>
      </c>
      <c r="B46" s="366" t="s">
        <v>787</v>
      </c>
      <c r="C46" s="163" t="s">
        <v>4229</v>
      </c>
      <c r="D46" s="163" t="s">
        <v>4246</v>
      </c>
      <c r="E46" s="176"/>
      <c r="F46" s="380" t="s">
        <v>6415</v>
      </c>
      <c r="G46" s="366" t="s">
        <v>787</v>
      </c>
      <c r="H46" s="163" t="s">
        <v>6230</v>
      </c>
      <c r="I46" s="163" t="s">
        <v>6416</v>
      </c>
      <c r="J46" s="176"/>
      <c r="K46" s="103" t="s">
        <v>6417</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6418</v>
      </c>
      <c r="AA46" s="388" t="s">
        <v>787</v>
      </c>
      <c r="AB46" s="162" t="str">
        <f>IFERROR(__xludf.DUMMYFUNCTION("GOOGLETRANSLATE(C46,""zh-tw"",""KO"")"),"감자")</f>
        <v>감자</v>
      </c>
      <c r="AC46" s="317" t="s">
        <v>6419</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6420</v>
      </c>
      <c r="AK46" s="376" t="s">
        <v>787</v>
      </c>
      <c r="AL46" s="161" t="s">
        <v>4234</v>
      </c>
      <c r="AM46" s="161" t="s">
        <v>6421</v>
      </c>
      <c r="AN46" s="162"/>
      <c r="AO46" s="180" t="s">
        <v>6422</v>
      </c>
      <c r="AP46" s="386" t="s">
        <v>787</v>
      </c>
      <c r="AQ46" s="182" t="s">
        <v>4236</v>
      </c>
      <c r="AR46" s="182" t="s">
        <v>4252</v>
      </c>
      <c r="AS46" s="183"/>
    </row>
    <row r="47">
      <c r="A47" s="380" t="s">
        <v>6423</v>
      </c>
      <c r="B47" s="366" t="s">
        <v>787</v>
      </c>
      <c r="C47" s="163" t="s">
        <v>4246</v>
      </c>
      <c r="D47" s="176"/>
      <c r="E47" s="176"/>
      <c r="F47" s="380" t="s">
        <v>6424</v>
      </c>
      <c r="G47" s="366" t="s">
        <v>787</v>
      </c>
      <c r="H47" s="163" t="s">
        <v>6416</v>
      </c>
      <c r="I47" s="176"/>
      <c r="J47" s="176"/>
      <c r="K47" s="103" t="s">
        <v>6425</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6426</v>
      </c>
      <c r="AA47" s="388" t="s">
        <v>787</v>
      </c>
      <c r="AB47" s="317" t="s">
        <v>6419</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6427</v>
      </c>
      <c r="AK47" s="376" t="s">
        <v>787</v>
      </c>
      <c r="AL47" s="161" t="s">
        <v>6421</v>
      </c>
      <c r="AM47" s="162"/>
      <c r="AN47" s="162"/>
      <c r="AO47" s="180" t="s">
        <v>6428</v>
      </c>
      <c r="AP47" s="386" t="s">
        <v>787</v>
      </c>
      <c r="AQ47" s="182" t="s">
        <v>4252</v>
      </c>
      <c r="AR47" s="183"/>
      <c r="AS47" s="183"/>
    </row>
    <row r="48">
      <c r="A48" s="380" t="s">
        <v>6429</v>
      </c>
      <c r="B48" s="389"/>
      <c r="C48" s="163" t="s">
        <v>6050</v>
      </c>
      <c r="D48" s="163" t="s">
        <v>6181</v>
      </c>
      <c r="E48" s="176"/>
      <c r="F48" s="380" t="s">
        <v>6430</v>
      </c>
      <c r="G48" s="389"/>
      <c r="H48" s="163" t="s">
        <v>6052</v>
      </c>
      <c r="I48" s="163" t="s">
        <v>6183</v>
      </c>
      <c r="J48" s="176"/>
      <c r="K48" s="103" t="s">
        <v>6431</v>
      </c>
      <c r="L48" s="381"/>
      <c r="M48" s="161" t="s">
        <v>6054</v>
      </c>
      <c r="N48" s="161" t="s">
        <v>6185</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6432</v>
      </c>
      <c r="AA48" s="376"/>
      <c r="AB48" s="317" t="s">
        <v>6055</v>
      </c>
      <c r="AC48" s="161" t="s">
        <v>6186</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6433</v>
      </c>
      <c r="AK48" s="376"/>
      <c r="AL48" s="161" t="s">
        <v>6057</v>
      </c>
      <c r="AM48" s="161" t="s">
        <v>6188</v>
      </c>
      <c r="AN48" s="162"/>
      <c r="AO48" s="180" t="s">
        <v>6434</v>
      </c>
      <c r="AP48" s="190"/>
      <c r="AQ48" s="182" t="s">
        <v>6059</v>
      </c>
      <c r="AR48" s="182" t="s">
        <v>6190</v>
      </c>
      <c r="AS48" s="183"/>
    </row>
    <row r="49">
      <c r="A49" s="380" t="s">
        <v>6435</v>
      </c>
      <c r="B49" s="389"/>
      <c r="C49" s="163" t="s">
        <v>6050</v>
      </c>
      <c r="D49" s="163" t="s">
        <v>6181</v>
      </c>
      <c r="E49" s="176"/>
      <c r="F49" s="380" t="s">
        <v>6436</v>
      </c>
      <c r="G49" s="389"/>
      <c r="H49" s="163" t="s">
        <v>6052</v>
      </c>
      <c r="I49" s="163" t="s">
        <v>6183</v>
      </c>
      <c r="J49" s="176"/>
      <c r="K49" s="103" t="s">
        <v>6437</v>
      </c>
      <c r="L49" s="381"/>
      <c r="M49" s="161" t="s">
        <v>6054</v>
      </c>
      <c r="N49" s="161" t="s">
        <v>6185</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6438</v>
      </c>
      <c r="AA49" s="376"/>
      <c r="AB49" s="317" t="s">
        <v>6055</v>
      </c>
      <c r="AC49" s="317" t="s">
        <v>6186</v>
      </c>
      <c r="AD49" s="162"/>
      <c r="AE49" s="380" t="str">
        <f>IFERROR(__xludf.DUMMYFUNCTION("GOOGLETRANSLATE(A49,""zh-tw"",""ru"")"),"Водяной монстр, стругающийся лед")</f>
        <v>Водяной монстр, стругающийся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6439</v>
      </c>
      <c r="AK49" s="376"/>
      <c r="AL49" s="161" t="s">
        <v>6057</v>
      </c>
      <c r="AM49" s="161" t="s">
        <v>6188</v>
      </c>
      <c r="AN49" s="162"/>
      <c r="AO49" s="180" t="s">
        <v>6440</v>
      </c>
      <c r="AP49" s="190"/>
      <c r="AQ49" s="182" t="s">
        <v>6059</v>
      </c>
      <c r="AR49" s="182" t="s">
        <v>6190</v>
      </c>
      <c r="AS49" s="183"/>
    </row>
    <row r="50">
      <c r="A50" s="380" t="s">
        <v>6441</v>
      </c>
      <c r="B50" s="390" t="s">
        <v>6442</v>
      </c>
      <c r="C50" s="163" t="s">
        <v>6050</v>
      </c>
      <c r="D50" s="163" t="s">
        <v>6181</v>
      </c>
      <c r="E50" s="163" t="s">
        <v>6443</v>
      </c>
      <c r="F50" s="380" t="s">
        <v>6444</v>
      </c>
      <c r="G50" s="390" t="s">
        <v>6445</v>
      </c>
      <c r="H50" s="163" t="s">
        <v>6052</v>
      </c>
      <c r="I50" s="163" t="s">
        <v>6183</v>
      </c>
      <c r="J50" s="163" t="s">
        <v>6446</v>
      </c>
      <c r="K50" s="103" t="s">
        <v>6447</v>
      </c>
      <c r="L50" s="172" t="s">
        <v>6448</v>
      </c>
      <c r="M50" s="161" t="s">
        <v>6054</v>
      </c>
      <c r="N50" s="161" t="s">
        <v>6185</v>
      </c>
      <c r="O50" s="161" t="s">
        <v>6449</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6450</v>
      </c>
      <c r="AA50" s="388" t="s">
        <v>6451</v>
      </c>
      <c r="AB50" s="161" t="s">
        <v>6055</v>
      </c>
      <c r="AC50" s="317" t="s">
        <v>6186</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6452</v>
      </c>
      <c r="AK50" s="376" t="s">
        <v>787</v>
      </c>
      <c r="AL50" s="161" t="s">
        <v>6057</v>
      </c>
      <c r="AM50" s="161" t="s">
        <v>6188</v>
      </c>
      <c r="AN50" s="162" t="str">
        <f>IFERROR(__xludf.DUMMYFUNCTION("GOOGLETRANSLATE(E50,""zh-tw"",""de"")"),"Tomaten/Paprika")</f>
        <v>Tomaten/Paprika</v>
      </c>
      <c r="AO50" s="180" t="s">
        <v>6453</v>
      </c>
      <c r="AP50" s="73" t="s">
        <v>6454</v>
      </c>
      <c r="AQ50" s="182" t="s">
        <v>6059</v>
      </c>
      <c r="AR50" s="182" t="s">
        <v>6190</v>
      </c>
      <c r="AS50" s="182" t="s">
        <v>6455</v>
      </c>
    </row>
    <row r="51">
      <c r="A51" s="380" t="s">
        <v>6456</v>
      </c>
      <c r="B51" s="389"/>
      <c r="C51" s="163" t="s">
        <v>6078</v>
      </c>
      <c r="D51" s="176"/>
      <c r="E51" s="176"/>
      <c r="F51" s="380" t="s">
        <v>6457</v>
      </c>
      <c r="G51" s="389"/>
      <c r="H51" s="163" t="s">
        <v>6081</v>
      </c>
      <c r="I51" s="176"/>
      <c r="J51" s="176"/>
      <c r="K51" s="103" t="s">
        <v>6458</v>
      </c>
      <c r="L51" s="381"/>
      <c r="M51" s="161" t="s">
        <v>6084</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6459</v>
      </c>
      <c r="AK51" s="376"/>
      <c r="AL51" s="161" t="s">
        <v>6087</v>
      </c>
      <c r="AM51" s="162"/>
      <c r="AN51" s="162"/>
      <c r="AO51" s="180" t="s">
        <v>6460</v>
      </c>
      <c r="AP51" s="190"/>
      <c r="AQ51" s="182" t="s">
        <v>6090</v>
      </c>
      <c r="AR51" s="183"/>
      <c r="AS51" s="183"/>
    </row>
    <row r="52">
      <c r="A52" s="380" t="s">
        <v>6461</v>
      </c>
      <c r="B52" s="389"/>
      <c r="C52" s="163" t="s">
        <v>4219</v>
      </c>
      <c r="D52" s="163" t="s">
        <v>6078</v>
      </c>
      <c r="E52" s="176"/>
      <c r="F52" s="380" t="s">
        <v>6462</v>
      </c>
      <c r="G52" s="389"/>
      <c r="H52" s="163" t="s">
        <v>6463</v>
      </c>
      <c r="I52" s="163" t="s">
        <v>6081</v>
      </c>
      <c r="J52" s="176"/>
      <c r="K52" s="103" t="s">
        <v>6464</v>
      </c>
      <c r="L52" s="381"/>
      <c r="M52" s="161" t="s">
        <v>4221</v>
      </c>
      <c r="N52" s="161" t="s">
        <v>6084</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6465</v>
      </c>
      <c r="AK52" s="376"/>
      <c r="AL52" s="161" t="s">
        <v>6466</v>
      </c>
      <c r="AM52" s="161" t="s">
        <v>6087</v>
      </c>
      <c r="AN52" s="162"/>
      <c r="AO52" s="180" t="s">
        <v>6467</v>
      </c>
      <c r="AP52" s="190"/>
      <c r="AQ52" s="182" t="s">
        <v>4227</v>
      </c>
      <c r="AR52" s="182" t="s">
        <v>6090</v>
      </c>
      <c r="AS52" s="183"/>
    </row>
    <row r="53">
      <c r="A53" s="380" t="s">
        <v>6468</v>
      </c>
      <c r="B53" s="389"/>
      <c r="C53" s="163" t="s">
        <v>4238</v>
      </c>
      <c r="D53" s="176"/>
      <c r="E53" s="176"/>
      <c r="F53" s="380" t="s">
        <v>6469</v>
      </c>
      <c r="G53" s="389"/>
      <c r="H53" s="163" t="s">
        <v>6317</v>
      </c>
      <c r="I53" s="176"/>
      <c r="J53" s="176"/>
      <c r="K53" s="103" t="s">
        <v>6470</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6471</v>
      </c>
      <c r="AK53" s="376"/>
      <c r="AL53" s="161" t="s">
        <v>6321</v>
      </c>
      <c r="AM53" s="162"/>
      <c r="AN53" s="162"/>
      <c r="AO53" s="180" t="s">
        <v>6472</v>
      </c>
      <c r="AP53" s="190"/>
      <c r="AQ53" s="182" t="s">
        <v>4236</v>
      </c>
      <c r="AR53" s="183"/>
      <c r="AS53" s="183"/>
    </row>
    <row r="54">
      <c r="A54" s="380" t="s">
        <v>4219</v>
      </c>
      <c r="B54" s="389"/>
      <c r="C54" s="163" t="s">
        <v>4219</v>
      </c>
      <c r="D54" s="176"/>
      <c r="E54" s="176"/>
      <c r="F54" s="380" t="s">
        <v>6473</v>
      </c>
      <c r="G54" s="389"/>
      <c r="H54" s="163" t="s">
        <v>6463</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6466</v>
      </c>
      <c r="AK54" s="376"/>
      <c r="AL54" s="161" t="s">
        <v>6466</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6474</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6475</v>
      </c>
      <c r="AK1" s="57"/>
      <c r="AL1" s="57"/>
      <c r="AM1" s="57"/>
    </row>
    <row r="2" ht="45.0" customHeight="1">
      <c r="AK2" s="57"/>
      <c r="AL2" s="57"/>
      <c r="AM2" s="57"/>
    </row>
    <row r="3" ht="55.5" customHeight="1">
      <c r="A3" s="392" t="s">
        <v>6476</v>
      </c>
      <c r="B3" s="14" t="s">
        <v>6477</v>
      </c>
      <c r="C3" s="309" t="s">
        <v>6478</v>
      </c>
      <c r="D3" s="143" t="s">
        <v>6479</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6480</v>
      </c>
      <c r="J3" s="14" t="s">
        <v>6481</v>
      </c>
      <c r="K3" s="309" t="s">
        <v>6482</v>
      </c>
      <c r="L3" s="143" t="s">
        <v>6483</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6484</v>
      </c>
      <c r="AH3" s="310" t="s">
        <v>6485</v>
      </c>
      <c r="AI3" s="394" t="s">
        <v>6486</v>
      </c>
      <c r="AJ3" s="395" t="s">
        <v>3862</v>
      </c>
      <c r="AK3" s="143"/>
      <c r="AL3" s="143"/>
      <c r="AM3" s="143"/>
    </row>
    <row r="4" ht="26.25" customHeight="1">
      <c r="A4" s="174" t="s">
        <v>6487</v>
      </c>
      <c r="B4" s="317" t="s">
        <v>6488</v>
      </c>
      <c r="C4" s="319" t="s">
        <v>723</v>
      </c>
      <c r="D4" s="396" t="s">
        <v>6489</v>
      </c>
      <c r="E4" s="174" t="s">
        <v>6490</v>
      </c>
      <c r="F4" s="315" t="str">
        <f>IFERROR(__xludf.DUMMYFUNCTION("GOOGLETRANSLATE(B4,""zh-tw"",""ja"")"),"少し落ち着かない気分です")</f>
        <v>少し落ち着かない気分です</v>
      </c>
      <c r="G4" s="316" t="str">
        <f>IFERROR(__xludf.DUMMYFUNCTION("GOOGLETRANSLATE(C4,""zh-tw"",""ja"")"),"-")</f>
        <v>-</v>
      </c>
      <c r="H4" s="396" t="s">
        <v>6491</v>
      </c>
      <c r="I4" s="174" t="s">
        <v>6492</v>
      </c>
      <c r="J4" s="317" t="s">
        <v>6493</v>
      </c>
      <c r="K4" s="316" t="str">
        <f>IFERROR(__xludf.DUMMYFUNCTION("GOOGLETRANSLATE(C4,""zh-tw"",""en"")"),"-")</f>
        <v>-</v>
      </c>
      <c r="L4" s="396" t="s">
        <v>6494</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6495</v>
      </c>
      <c r="AH4" s="164" t="s">
        <v>6496</v>
      </c>
      <c r="AI4" s="320" t="s">
        <v>723</v>
      </c>
      <c r="AJ4" s="398" t="s">
        <v>6497</v>
      </c>
      <c r="AK4" s="396"/>
      <c r="AL4" s="396"/>
      <c r="AM4" s="396"/>
    </row>
    <row r="5" ht="26.25" customHeight="1">
      <c r="A5" s="174" t="s">
        <v>6487</v>
      </c>
      <c r="B5" s="317" t="s">
        <v>6498</v>
      </c>
      <c r="C5" s="319" t="s">
        <v>723</v>
      </c>
      <c r="D5" s="396" t="s">
        <v>6499</v>
      </c>
      <c r="E5" s="174" t="s">
        <v>6490</v>
      </c>
      <c r="F5" s="315" t="str">
        <f>IFERROR(__xludf.DUMMYFUNCTION("GOOGLETRANSLATE(B5,""zh-tw"",""ja"")"),"体全体が何らかの刺激を求めている。")</f>
        <v>体全体が何らかの刺激を求めている。</v>
      </c>
      <c r="G5" s="319" t="s">
        <v>723</v>
      </c>
      <c r="H5" s="396" t="s">
        <v>6500</v>
      </c>
      <c r="I5" s="174" t="s">
        <v>6492</v>
      </c>
      <c r="J5" s="317" t="s">
        <v>6501</v>
      </c>
      <c r="K5" s="319" t="s">
        <v>723</v>
      </c>
      <c r="L5" s="396" t="s">
        <v>6502</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6495</v>
      </c>
      <c r="AH5" s="164" t="s">
        <v>6503</v>
      </c>
      <c r="AI5" s="320" t="s">
        <v>723</v>
      </c>
      <c r="AJ5" s="398" t="s">
        <v>6504</v>
      </c>
      <c r="AK5" s="396"/>
      <c r="AL5" s="396"/>
      <c r="AM5" s="396"/>
    </row>
    <row r="6" ht="26.25" customHeight="1">
      <c r="A6" s="174" t="s">
        <v>6487</v>
      </c>
      <c r="B6" s="317" t="s">
        <v>6505</v>
      </c>
      <c r="C6" s="319" t="s">
        <v>723</v>
      </c>
      <c r="D6" s="396" t="s">
        <v>6506</v>
      </c>
      <c r="E6" s="174" t="s">
        <v>6490</v>
      </c>
      <c r="F6" s="315" t="str">
        <f>IFERROR(__xludf.DUMMYFUNCTION("GOOGLETRANSLATE(B6,""zh-tw"",""ja"")"),"もう自分をコントロールできない。")</f>
        <v>もう自分をコントロールできない。</v>
      </c>
      <c r="G6" s="319" t="s">
        <v>723</v>
      </c>
      <c r="H6" s="396" t="s">
        <v>6507</v>
      </c>
      <c r="I6" s="174" t="s">
        <v>6492</v>
      </c>
      <c r="J6" s="317" t="s">
        <v>6508</v>
      </c>
      <c r="K6" s="319" t="s">
        <v>723</v>
      </c>
      <c r="L6" s="396" t="s">
        <v>6509</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6495</v>
      </c>
      <c r="AH6" s="164" t="s">
        <v>6510</v>
      </c>
      <c r="AI6" s="320" t="s">
        <v>723</v>
      </c>
      <c r="AJ6" s="398" t="s">
        <v>6511</v>
      </c>
      <c r="AK6" s="396"/>
      <c r="AL6" s="396"/>
      <c r="AM6" s="396"/>
    </row>
    <row r="7">
      <c r="A7" s="174" t="s">
        <v>6512</v>
      </c>
      <c r="B7" s="317" t="s">
        <v>6513</v>
      </c>
      <c r="C7" s="319" t="s">
        <v>6514</v>
      </c>
      <c r="D7" s="396" t="s">
        <v>6515</v>
      </c>
      <c r="E7" s="174" t="s">
        <v>6516</v>
      </c>
      <c r="F7" s="315" t="str">
        <f>IFERROR(__xludf.DUMMYFUNCTION("GOOGLETRANSLATE(B7,""zh-tw"",""ja"")"),"うーん…")</f>
        <v>うーん…</v>
      </c>
      <c r="G7" s="319" t="s">
        <v>6517</v>
      </c>
      <c r="H7" s="396" t="s">
        <v>6518</v>
      </c>
      <c r="I7" s="174" t="s">
        <v>6519</v>
      </c>
      <c r="J7" s="317" t="s">
        <v>6520</v>
      </c>
      <c r="K7" s="319" t="s">
        <v>6521</v>
      </c>
      <c r="L7" s="396" t="s">
        <v>6522</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6519</v>
      </c>
      <c r="AH7" s="164" t="s">
        <v>6520</v>
      </c>
      <c r="AI7" s="320" t="s">
        <v>6523</v>
      </c>
      <c r="AJ7" s="398" t="s">
        <v>6524</v>
      </c>
      <c r="AK7" s="396"/>
      <c r="AL7" s="396"/>
      <c r="AM7" s="396"/>
    </row>
    <row r="8">
      <c r="A8" s="174" t="s">
        <v>6525</v>
      </c>
      <c r="B8" s="317" t="s">
        <v>6526</v>
      </c>
      <c r="C8" s="319" t="s">
        <v>6527</v>
      </c>
      <c r="D8" s="396" t="s">
        <v>6528</v>
      </c>
      <c r="E8" s="174" t="s">
        <v>6529</v>
      </c>
      <c r="F8" s="317" t="s">
        <v>6530</v>
      </c>
      <c r="G8" s="316" t="str">
        <f>IFERROR(__xludf.DUMMYFUNCTION("GOOGLETRANSLATE(C8,""zh-tw"",""ja"")"),"賢者モードに入ると、すべての属性が上昇します。")</f>
        <v>賢者モードに入ると、すべての属性が上昇します。</v>
      </c>
      <c r="H8" s="396" t="s">
        <v>6531</v>
      </c>
      <c r="I8" s="174" t="s">
        <v>6532</v>
      </c>
      <c r="J8" s="317" t="s">
        <v>6533</v>
      </c>
      <c r="K8" s="319" t="s">
        <v>6534</v>
      </c>
      <c r="L8" s="396" t="s">
        <v>6535</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6536</v>
      </c>
      <c r="AH8" s="164" t="s">
        <v>6537</v>
      </c>
      <c r="AI8" s="320" t="s">
        <v>6538</v>
      </c>
      <c r="AJ8" s="398" t="s">
        <v>6539</v>
      </c>
      <c r="AK8" s="396"/>
      <c r="AL8" s="396"/>
      <c r="AM8" s="396"/>
    </row>
    <row r="9">
      <c r="A9" s="174" t="s">
        <v>6540</v>
      </c>
      <c r="B9" s="317" t="s">
        <v>723</v>
      </c>
      <c r="C9" s="319" t="s">
        <v>6541</v>
      </c>
      <c r="D9" s="396" t="s">
        <v>6542</v>
      </c>
      <c r="E9" s="314" t="str">
        <f>IFERROR(__xludf.DUMMYFUNCTION("GOOGLETRANSLATE(A9,""zh-tw"",""ja"")"),"集中")</f>
        <v>集中</v>
      </c>
      <c r="F9" s="315" t="str">
        <f>IFERROR(__xludf.DUMMYFUNCTION("GOOGLETRANSLATE(B9,""zh-tw"",""ja"")"),"-")</f>
        <v>-</v>
      </c>
      <c r="G9" s="319" t="s">
        <v>6543</v>
      </c>
      <c r="H9" s="396" t="s">
        <v>6544</v>
      </c>
      <c r="I9" s="174" t="s">
        <v>6545</v>
      </c>
      <c r="J9" s="315" t="str">
        <f>IFERROR(__xludf.DUMMYFUNCTION("GOOGLETRANSLATE(B9,""zh-tw"",""en"")"),"-")</f>
        <v>-</v>
      </c>
      <c r="K9" s="319" t="s">
        <v>6546</v>
      </c>
      <c r="L9" s="396" t="s">
        <v>6547</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6548</v>
      </c>
      <c r="AH9" s="164" t="s">
        <v>723</v>
      </c>
      <c r="AI9" s="320" t="s">
        <v>6549</v>
      </c>
      <c r="AJ9" s="398" t="s">
        <v>6550</v>
      </c>
      <c r="AK9" s="396"/>
      <c r="AL9" s="396"/>
      <c r="AM9" s="396"/>
    </row>
    <row r="10">
      <c r="A10" s="174" t="s">
        <v>6551</v>
      </c>
      <c r="B10" s="317" t="s">
        <v>6552</v>
      </c>
      <c r="C10" s="319" t="s">
        <v>723</v>
      </c>
      <c r="D10" s="396" t="s">
        <v>6553</v>
      </c>
      <c r="E10" s="174" t="s">
        <v>6554</v>
      </c>
      <c r="F10" s="317" t="s">
        <v>6555</v>
      </c>
      <c r="G10" s="316" t="str">
        <f>IFERROR(__xludf.DUMMYFUNCTION("GOOGLETRANSLATE(C10,""zh-tw"",""ja"")"),"-")</f>
        <v>-</v>
      </c>
      <c r="H10" s="396" t="s">
        <v>6556</v>
      </c>
      <c r="I10" s="174" t="s">
        <v>6557</v>
      </c>
      <c r="J10" s="317" t="s">
        <v>6558</v>
      </c>
      <c r="K10" s="316" t="str">
        <f>IFERROR(__xludf.DUMMYFUNCTION("GOOGLETRANSLATE(C10,""zh-tw"",""en"")"),"-")</f>
        <v>-</v>
      </c>
      <c r="L10" s="396" t="s">
        <v>6559</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6557</v>
      </c>
      <c r="AH10" s="164" t="s">
        <v>6560</v>
      </c>
      <c r="AI10" s="320" t="s">
        <v>723</v>
      </c>
      <c r="AJ10" s="398" t="s">
        <v>6561</v>
      </c>
      <c r="AK10" s="396"/>
      <c r="AL10" s="396"/>
      <c r="AM10" s="396"/>
    </row>
    <row r="11">
      <c r="A11" s="174" t="s">
        <v>6562</v>
      </c>
      <c r="B11" s="317" t="s">
        <v>723</v>
      </c>
      <c r="C11" s="319" t="s">
        <v>6563</v>
      </c>
      <c r="D11" s="396" t="s">
        <v>6564</v>
      </c>
      <c r="E11" s="174" t="s">
        <v>6565</v>
      </c>
      <c r="F11" s="315" t="str">
        <f>IFERROR(__xludf.DUMMYFUNCTION("GOOGLETRANSLATE(B11,""zh-tw"",""ja"")"),"-")</f>
        <v>-</v>
      </c>
      <c r="G11" s="319" t="s">
        <v>6566</v>
      </c>
      <c r="H11" s="396" t="s">
        <v>6567</v>
      </c>
      <c r="I11" s="174" t="s">
        <v>6568</v>
      </c>
      <c r="J11" s="315" t="str">
        <f>IFERROR(__xludf.DUMMYFUNCTION("GOOGLETRANSLATE(B11,""zh-tw"",""en"")"),"-")</f>
        <v>-</v>
      </c>
      <c r="K11" s="319" t="s">
        <v>6569</v>
      </c>
      <c r="L11" s="396" t="s">
        <v>6570</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6571</v>
      </c>
      <c r="AH11" s="164" t="s">
        <v>723</v>
      </c>
      <c r="AI11" s="320" t="s">
        <v>6572</v>
      </c>
      <c r="AJ11" s="398" t="s">
        <v>6573</v>
      </c>
      <c r="AK11" s="396"/>
      <c r="AL11" s="396"/>
      <c r="AM11" s="396"/>
    </row>
    <row r="12">
      <c r="A12" s="174" t="s">
        <v>6574</v>
      </c>
      <c r="B12" s="317" t="s">
        <v>723</v>
      </c>
      <c r="C12" s="319" t="s">
        <v>6575</v>
      </c>
      <c r="D12" s="396" t="s">
        <v>6576</v>
      </c>
      <c r="E12" s="174" t="s">
        <v>6577</v>
      </c>
      <c r="F12" s="315" t="str">
        <f>IFERROR(__xludf.DUMMYFUNCTION("GOOGLETRANSLATE(B12,""zh-tw"",""ja"")"),"-")</f>
        <v>-</v>
      </c>
      <c r="G12" s="319" t="s">
        <v>6578</v>
      </c>
      <c r="H12" s="396" t="s">
        <v>6579</v>
      </c>
      <c r="I12" s="174" t="s">
        <v>6580</v>
      </c>
      <c r="J12" s="315" t="str">
        <f>IFERROR(__xludf.DUMMYFUNCTION("GOOGLETRANSLATE(B12,""zh-tw"",""en"")"),"-")</f>
        <v>-</v>
      </c>
      <c r="K12" s="319" t="s">
        <v>6581</v>
      </c>
      <c r="L12" s="396" t="s">
        <v>6582</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6583</v>
      </c>
      <c r="AH12" s="164" t="s">
        <v>723</v>
      </c>
      <c r="AI12" s="320" t="s">
        <v>6584</v>
      </c>
      <c r="AJ12" s="398" t="s">
        <v>6585</v>
      </c>
      <c r="AK12" s="396"/>
      <c r="AL12" s="396"/>
      <c r="AM12" s="396"/>
    </row>
    <row r="13">
      <c r="A13" s="174" t="s">
        <v>6586</v>
      </c>
      <c r="B13" s="317" t="s">
        <v>723</v>
      </c>
      <c r="C13" s="319" t="s">
        <v>6587</v>
      </c>
      <c r="D13" s="396" t="s">
        <v>6588</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6589</v>
      </c>
      <c r="J13" s="315" t="str">
        <f>IFERROR(__xludf.DUMMYFUNCTION("GOOGLETRANSLATE(B13,""zh-tw"",""en"")"),"-")</f>
        <v>-</v>
      </c>
      <c r="K13" s="319" t="s">
        <v>6590</v>
      </c>
      <c r="L13" s="396" t="s">
        <v>6591</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6592</v>
      </c>
      <c r="AH13" s="164" t="s">
        <v>723</v>
      </c>
      <c r="AI13" s="320" t="s">
        <v>6593</v>
      </c>
      <c r="AJ13" s="398" t="s">
        <v>6594</v>
      </c>
      <c r="AK13" s="396"/>
      <c r="AL13" s="396"/>
      <c r="AM13" s="396"/>
    </row>
    <row r="14">
      <c r="A14" s="174" t="s">
        <v>6595</v>
      </c>
      <c r="B14" s="317" t="s">
        <v>6596</v>
      </c>
      <c r="C14" s="319" t="s">
        <v>6597</v>
      </c>
      <c r="D14" s="396" t="s">
        <v>6598</v>
      </c>
      <c r="E14" s="174" t="s">
        <v>6595</v>
      </c>
      <c r="F14" s="317" t="s">
        <v>6599</v>
      </c>
      <c r="G14" s="319" t="s">
        <v>6600</v>
      </c>
      <c r="H14" s="396" t="s">
        <v>6601</v>
      </c>
      <c r="I14" s="174" t="s">
        <v>6602</v>
      </c>
      <c r="J14" s="317" t="s">
        <v>6603</v>
      </c>
      <c r="K14" s="319" t="s">
        <v>6604</v>
      </c>
      <c r="L14" s="396" t="s">
        <v>6605</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6606</v>
      </c>
      <c r="AH14" s="164" t="s">
        <v>6607</v>
      </c>
      <c r="AI14" s="320" t="s">
        <v>6608</v>
      </c>
      <c r="AJ14" s="398" t="s">
        <v>6609</v>
      </c>
      <c r="AK14" s="396"/>
      <c r="AL14" s="396"/>
      <c r="AM14" s="396"/>
    </row>
    <row r="15">
      <c r="A15" s="174" t="s">
        <v>6610</v>
      </c>
      <c r="B15" s="317" t="s">
        <v>6611</v>
      </c>
      <c r="C15" s="319" t="s">
        <v>6612</v>
      </c>
      <c r="D15" s="396" t="s">
        <v>6613</v>
      </c>
      <c r="E15" s="314" t="str">
        <f>IFERROR(__xludf.DUMMYFUNCTION("GOOGLETRANSLATE(A15,""zh-tw"",""ja"")"),"出血")</f>
        <v>出血</v>
      </c>
      <c r="F15" s="317" t="s">
        <v>6614</v>
      </c>
      <c r="G15" s="316" t="str">
        <f>IFERROR(__xludf.DUMMYFUNCTION("GOOGLETRANSLATE(C15,""zh-tw"",""ja"")"),"受けるダメージは最大スタミナに基づいて決まります。")</f>
        <v>受けるダメージは最大スタミナに基づいて決まります。</v>
      </c>
      <c r="H15" s="396" t="s">
        <v>6615</v>
      </c>
      <c r="I15" s="314" t="str">
        <f>IFERROR(__xludf.DUMMYFUNCTION("GOOGLETRANSLATE(A15,""zh-tw"",""en"")"),"Bleeding")</f>
        <v>Bleeding</v>
      </c>
      <c r="J15" s="317" t="s">
        <v>6616</v>
      </c>
      <c r="K15" s="319" t="s">
        <v>6617</v>
      </c>
      <c r="L15" s="396" t="s">
        <v>6618</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6619</v>
      </c>
      <c r="AH15" s="164" t="s">
        <v>6620</v>
      </c>
      <c r="AI15" s="320" t="s">
        <v>6621</v>
      </c>
      <c r="AJ15" s="398" t="s">
        <v>6622</v>
      </c>
      <c r="AK15" s="396"/>
      <c r="AL15" s="396"/>
      <c r="AM15" s="396"/>
    </row>
    <row r="16">
      <c r="A16" s="174" t="s">
        <v>6623</v>
      </c>
      <c r="B16" s="317" t="s">
        <v>6624</v>
      </c>
      <c r="C16" s="319" t="s">
        <v>6625</v>
      </c>
      <c r="D16" s="396" t="s">
        <v>6626</v>
      </c>
      <c r="E16" s="174" t="s">
        <v>6627</v>
      </c>
      <c r="F16" s="315" t="str">
        <f>IFERROR(__xludf.DUMMYFUNCTION("GOOGLETRANSLATE(B16,""zh-tw"",""ja"")"),"見て、この男は雷に打たれたんだ！")</f>
        <v>見て、この男は雷に打たれたんだ！</v>
      </c>
      <c r="G16" s="319" t="s">
        <v>6628</v>
      </c>
      <c r="H16" s="396" t="s">
        <v>6629</v>
      </c>
      <c r="I16" s="174" t="s">
        <v>6630</v>
      </c>
      <c r="J16" s="317" t="s">
        <v>6631</v>
      </c>
      <c r="K16" s="319" t="s">
        <v>6632</v>
      </c>
      <c r="L16" s="396" t="s">
        <v>6633</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6634</v>
      </c>
      <c r="AH16" s="164" t="s">
        <v>6635</v>
      </c>
      <c r="AI16" s="320" t="s">
        <v>6636</v>
      </c>
      <c r="AJ16" s="398" t="s">
        <v>6637</v>
      </c>
      <c r="AK16" s="396"/>
      <c r="AL16" s="396"/>
      <c r="AM16" s="396"/>
    </row>
    <row r="17">
      <c r="A17" s="174" t="s">
        <v>6638</v>
      </c>
      <c r="B17" s="317" t="s">
        <v>6639</v>
      </c>
      <c r="C17" s="319" t="s">
        <v>6640</v>
      </c>
      <c r="D17" s="396" t="s">
        <v>6641</v>
      </c>
      <c r="E17" s="174" t="s">
        <v>6638</v>
      </c>
      <c r="F17" s="315" t="str">
        <f>IFERROR(__xludf.DUMMYFUNCTION("GOOGLETRANSLATE(B17,""zh-tw"",""ja"")"),"暑い！暑い！暑い！暑い！")</f>
        <v>暑い！暑い！暑い！暑い！</v>
      </c>
      <c r="G17" s="319" t="s">
        <v>6642</v>
      </c>
      <c r="H17" s="396" t="s">
        <v>6643</v>
      </c>
      <c r="I17" s="174" t="s">
        <v>6644</v>
      </c>
      <c r="J17" s="317" t="s">
        <v>6645</v>
      </c>
      <c r="K17" s="319" t="s">
        <v>6646</v>
      </c>
      <c r="L17" s="396" t="s">
        <v>6647</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IFERROR(__xludf.DUMMYFUNCTION("GOOGLETRANSLATE(A17,""zh-tw"",""KO"")"),"얀 샹")</f>
        <v>얀 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6648</v>
      </c>
      <c r="AH17" s="164" t="s">
        <v>6649</v>
      </c>
      <c r="AI17" s="320" t="s">
        <v>6650</v>
      </c>
      <c r="AJ17" s="398" t="s">
        <v>6651</v>
      </c>
      <c r="AK17" s="396"/>
      <c r="AL17" s="396"/>
      <c r="AM17" s="396"/>
    </row>
    <row r="18">
      <c r="A18" s="174" t="s">
        <v>6652</v>
      </c>
      <c r="B18" s="317" t="s">
        <v>6653</v>
      </c>
      <c r="C18" s="319" t="s">
        <v>6654</v>
      </c>
      <c r="D18" s="396" t="s">
        <v>3905</v>
      </c>
      <c r="E18" s="174" t="s">
        <v>6655</v>
      </c>
      <c r="F18" s="315" t="str">
        <f>IFERROR(__xludf.DUMMYFUNCTION("GOOGLETRANSLATE(B18,""zh-tw"",""ja"")"),"アイスキャンディーにしてみよう！")</f>
        <v>アイスキャンディーにしてみよう！</v>
      </c>
      <c r="G18" s="319" t="s">
        <v>6656</v>
      </c>
      <c r="H18" s="396" t="s">
        <v>6657</v>
      </c>
      <c r="I18" s="174" t="s">
        <v>6658</v>
      </c>
      <c r="J18" s="317" t="s">
        <v>6659</v>
      </c>
      <c r="K18" s="319" t="s">
        <v>6660</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IFERROR(__xludf.DUMMYFUNCTION("GOOGLETRANSLATE(B18,""zh-tw"",""es-MX"")"),"¡Conviértelo en un polo de hielo!")</f>
        <v>¡Conviértelo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IFERROR(__xludf.DUMMYFUNCTION("GOOGLETRANSLATE(B18,""zh-tw"",""RU"")"),"Превратите его в фруктовый лед!")</f>
        <v>Превратите его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IFERROR(__xludf.DUMMYFUNCTION("GOOGLETRANSLATE(B18,""zh-tw"",""DE"")"),"Verwandle es in ein Eis am Stiel!")</f>
        <v>Verwandle es in ein Eis am Stiel!</v>
      </c>
      <c r="AE18" s="316" t="str">
        <f>IFERROR(__xludf.DUMMYFUNCTION("GOOGLETRANSLATE(C18,""zh-tw"",""DE"")"),"Es ist komplett durchgefroren!")</f>
        <v>Es ist komplett durchgefroren!</v>
      </c>
      <c r="AF18" s="397" t="str">
        <f>IFERROR(__xludf.DUMMYFUNCTION("GOOGLETRANSLATE(D18,""zh-tw"",""DE"")"),"Gefrorener Schleim")</f>
        <v>Gefrorener Schleim</v>
      </c>
      <c r="AG18" s="154" t="s">
        <v>6661</v>
      </c>
      <c r="AH18" s="164" t="s">
        <v>6662</v>
      </c>
      <c r="AI18" s="320" t="s">
        <v>6663</v>
      </c>
      <c r="AJ18" s="398" t="s">
        <v>3915</v>
      </c>
      <c r="AK18" s="396"/>
      <c r="AL18" s="396"/>
      <c r="AM18" s="396"/>
    </row>
    <row r="19">
      <c r="A19" s="174" t="s">
        <v>6664</v>
      </c>
      <c r="B19" s="317" t="s">
        <v>6665</v>
      </c>
      <c r="C19" s="319" t="s">
        <v>6666</v>
      </c>
      <c r="D19" s="396" t="s">
        <v>6667</v>
      </c>
      <c r="E19" s="174" t="s">
        <v>6668</v>
      </c>
      <c r="F19" s="315" t="str">
        <f>IFERROR(__xludf.DUMMYFUNCTION("GOOGLETRANSLATE(B19,""zh-tw"",""ja"")"),"ふふ、私に反抗するとこうなるのね～♡")</f>
        <v>ふふ、私に反抗するとこうなるのね～♡</v>
      </c>
      <c r="G19" s="319" t="s">
        <v>6669</v>
      </c>
      <c r="H19" s="397" t="str">
        <f>IFERROR(__xludf.DUMMYFUNCTION("GOOGLETRANSLATE(D19,""zh-tw"",""ja"")"),"ミステリーショップでは魚はもらえません。")</f>
        <v>ミステリーショップでは魚はもらえません。</v>
      </c>
      <c r="I19" s="174" t="s">
        <v>6670</v>
      </c>
      <c r="J19" s="317" t="s">
        <v>6671</v>
      </c>
      <c r="K19" s="319" t="s">
        <v>6672</v>
      </c>
      <c r="L19" s="396" t="s">
        <v>6673</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6674</v>
      </c>
      <c r="AH19" s="164" t="s">
        <v>6675</v>
      </c>
      <c r="AI19" s="320" t="s">
        <v>6676</v>
      </c>
      <c r="AJ19" s="398" t="s">
        <v>6677</v>
      </c>
      <c r="AK19" s="396"/>
      <c r="AL19" s="396"/>
      <c r="AM19" s="396"/>
    </row>
    <row r="20">
      <c r="A20" s="174" t="s">
        <v>6678</v>
      </c>
      <c r="B20" s="317" t="s">
        <v>6679</v>
      </c>
      <c r="C20" s="319" t="s">
        <v>6680</v>
      </c>
      <c r="D20" s="396" t="s">
        <v>6681</v>
      </c>
      <c r="E20" s="174" t="s">
        <v>6682</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IFERROR(__xludf.DUMMYFUNCTION("GOOGLETRANSLATE(C20,""zh-tw"",""ja"")"),"攻撃行為禁止")</f>
        <v>攻撃行為禁止</v>
      </c>
      <c r="H20" s="397" t="str">
        <f>IFERROR(__xludf.DUMMYFUNCTION("GOOGLETRANSLATE(D20,""zh-tw"",""ja"")"),"ミステリーショップの近く")</f>
        <v>ミステリーショップの近く</v>
      </c>
      <c r="I20" s="174" t="s">
        <v>6683</v>
      </c>
      <c r="J20" s="317" t="s">
        <v>6684</v>
      </c>
      <c r="K20" s="319" t="s">
        <v>6685</v>
      </c>
      <c r="L20" s="396" t="s">
        <v>6686</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마세요")</f>
        <v>공격하지 마세요</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6687</v>
      </c>
      <c r="AH20" s="164" t="s">
        <v>6688</v>
      </c>
      <c r="AI20" s="320" t="s">
        <v>6689</v>
      </c>
      <c r="AJ20" s="398" t="s">
        <v>6690</v>
      </c>
      <c r="AK20" s="396"/>
      <c r="AL20" s="396"/>
      <c r="AM20" s="396"/>
    </row>
    <row r="21">
      <c r="A21" s="174" t="s">
        <v>6691</v>
      </c>
      <c r="B21" s="317" t="s">
        <v>6692</v>
      </c>
      <c r="C21" s="319" t="s">
        <v>6693</v>
      </c>
      <c r="D21" s="396" t="s">
        <v>6694</v>
      </c>
      <c r="E21" s="174" t="s">
        <v>6695</v>
      </c>
      <c r="F21" s="317" t="s">
        <v>6696</v>
      </c>
      <c r="G21" s="319" t="s">
        <v>6697</v>
      </c>
      <c r="H21" s="397" t="str">
        <f>IFERROR(__xludf.DUMMYFUNCTION("GOOGLETRANSLATE(D21,""zh-tw"",""ja"")"),"妹にいたずらをすると怒る")</f>
        <v>妹にいたずらをすると怒る</v>
      </c>
      <c r="I21" s="174" t="s">
        <v>6698</v>
      </c>
      <c r="J21" s="317" t="s">
        <v>6699</v>
      </c>
      <c r="K21" s="319" t="s">
        <v>6700</v>
      </c>
      <c r="L21" s="396" t="s">
        <v>6701</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6702</v>
      </c>
      <c r="AH21" s="164" t="s">
        <v>6703</v>
      </c>
      <c r="AI21" s="320" t="s">
        <v>6702</v>
      </c>
      <c r="AJ21" s="398" t="s">
        <v>6704</v>
      </c>
      <c r="AK21" s="396"/>
      <c r="AL21" s="396"/>
      <c r="AM21" s="396"/>
    </row>
    <row r="22">
      <c r="A22" s="174" t="s">
        <v>6705</v>
      </c>
      <c r="B22" s="317" t="s">
        <v>6692</v>
      </c>
      <c r="C22" s="319" t="s">
        <v>6706</v>
      </c>
      <c r="D22" s="396" t="s">
        <v>6694</v>
      </c>
      <c r="E22" s="174" t="s">
        <v>6707</v>
      </c>
      <c r="F22" s="317" t="s">
        <v>6696</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6708</v>
      </c>
      <c r="J22" s="317" t="s">
        <v>6699</v>
      </c>
      <c r="K22" s="316" t="str">
        <f>IFERROR(__xludf.DUMMYFUNCTION("GOOGLETRANSLATE(C22,""zh-tw"",""en"")"),"Making meat dishes")</f>
        <v>Making meat dishes</v>
      </c>
      <c r="L22" s="396" t="s">
        <v>6701</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6709</v>
      </c>
      <c r="AH22" s="164" t="s">
        <v>6703</v>
      </c>
      <c r="AI22" s="320" t="s">
        <v>6710</v>
      </c>
      <c r="AJ22" s="398" t="s">
        <v>6704</v>
      </c>
      <c r="AK22" s="396"/>
      <c r="AL22" s="396"/>
      <c r="AM22" s="396"/>
    </row>
    <row r="23">
      <c r="A23" s="174" t="s">
        <v>6711</v>
      </c>
      <c r="B23" s="317" t="s">
        <v>6712</v>
      </c>
      <c r="C23" s="319" t="s">
        <v>6713</v>
      </c>
      <c r="D23" s="396" t="s">
        <v>245</v>
      </c>
      <c r="E23" s="174" t="s">
        <v>301</v>
      </c>
      <c r="F23" s="315" t="str">
        <f>IFERROR(__xludf.DUMMYFUNCTION("GOOGLETRANSLATE(B23,""zh-tw"",""ja"")"),"...")</f>
        <v>...</v>
      </c>
      <c r="G23" s="319" t="s">
        <v>6714</v>
      </c>
      <c r="H23" s="396" t="s">
        <v>248</v>
      </c>
      <c r="I23" s="174" t="s">
        <v>6715</v>
      </c>
      <c r="J23" s="315" t="str">
        <f>IFERROR(__xludf.DUMMYFUNCTION("GOOGLETRANSLATE(B23,""zh-tw"",""en"")"),"...")</f>
        <v>...</v>
      </c>
      <c r="K23" s="319" t="s">
        <v>6716</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6717</v>
      </c>
      <c r="AH23" s="164" t="s">
        <v>6718</v>
      </c>
      <c r="AI23" s="320" t="s">
        <v>6719</v>
      </c>
      <c r="AJ23" s="398" t="s">
        <v>265</v>
      </c>
      <c r="AK23" s="396"/>
      <c r="AL23" s="396"/>
      <c r="AM23" s="396"/>
    </row>
    <row r="24">
      <c r="A24" s="174" t="s">
        <v>6720</v>
      </c>
      <c r="B24" s="317" t="s">
        <v>6721</v>
      </c>
      <c r="C24" s="319" t="s">
        <v>6722</v>
      </c>
      <c r="D24" s="396" t="s">
        <v>4502</v>
      </c>
      <c r="E24" s="174" t="s">
        <v>6723</v>
      </c>
      <c r="F24" s="317" t="s">
        <v>6724</v>
      </c>
      <c r="G24" s="316" t="str">
        <f>IFERROR(__xludf.DUMMYFUNCTION("GOOGLETRANSLATE(C24,""zh-tw"",""ja"")"),"彼の体は常に悪臭を放っていた")</f>
        <v>彼の体は常に悪臭を放っていた</v>
      </c>
      <c r="H24" s="396" t="s">
        <v>4504</v>
      </c>
      <c r="I24" s="174" t="s">
        <v>6725</v>
      </c>
      <c r="J24" s="317" t="s">
        <v>6726</v>
      </c>
      <c r="K24" s="319" t="s">
        <v>6727</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6728</v>
      </c>
      <c r="AH24" s="164" t="s">
        <v>6729</v>
      </c>
      <c r="AI24" s="320" t="s">
        <v>6730</v>
      </c>
      <c r="AJ24" s="398" t="s">
        <v>4510</v>
      </c>
      <c r="AK24" s="396"/>
      <c r="AL24" s="396"/>
      <c r="AM24" s="396"/>
    </row>
    <row r="25">
      <c r="A25" s="174" t="s">
        <v>6731</v>
      </c>
      <c r="B25" s="317" t="s">
        <v>6732</v>
      </c>
      <c r="C25" s="319" t="s">
        <v>6733</v>
      </c>
      <c r="D25" s="396" t="s">
        <v>6734</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6735</v>
      </c>
      <c r="J25" s="317" t="s">
        <v>6736</v>
      </c>
      <c r="K25" s="319" t="s">
        <v>6737</v>
      </c>
      <c r="L25" s="396" t="s">
        <v>6738</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el estómago cálido por dentro.")</f>
        <v>Comí algo delicioso y siento el estómago cálido por dentro.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6739</v>
      </c>
      <c r="AH25" s="164" t="s">
        <v>6740</v>
      </c>
      <c r="AI25" s="320" t="s">
        <v>6741</v>
      </c>
      <c r="AJ25" s="398" t="s">
        <v>6742</v>
      </c>
      <c r="AK25" s="396"/>
      <c r="AL25" s="396"/>
      <c r="AM25" s="396"/>
    </row>
    <row r="26">
      <c r="A26" s="174" t="s">
        <v>6743</v>
      </c>
      <c r="B26" s="317" t="s">
        <v>6744</v>
      </c>
      <c r="C26" s="319" t="s">
        <v>6745</v>
      </c>
      <c r="D26" s="396" t="s">
        <v>6746</v>
      </c>
      <c r="E26" s="174" t="s">
        <v>6747</v>
      </c>
      <c r="F26" s="317" t="s">
        <v>6748</v>
      </c>
      <c r="G26" s="316" t="str">
        <f>IFERROR(__xludf.DUMMYFUNCTION("GOOGLETRANSLATE(C26,""zh-tw"",""ja"")"),"攻撃力+50%")</f>
        <v>攻撃力+50%</v>
      </c>
      <c r="H26" s="397" t="str">
        <f>IFERROR(__xludf.DUMMYFUNCTION("GOOGLETRANSLATE(D26,""zh-tw"",""ja"")"),"食べ物")</f>
        <v>食べ物</v>
      </c>
      <c r="I26" s="174" t="s">
        <v>6749</v>
      </c>
      <c r="J26" s="317" t="s">
        <v>6750</v>
      </c>
      <c r="K26" s="319" t="s">
        <v>6751</v>
      </c>
      <c r="L26" s="396" t="s">
        <v>6752</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6753</v>
      </c>
      <c r="AH26" s="164" t="s">
        <v>6754</v>
      </c>
      <c r="AI26" s="320" t="s">
        <v>6755</v>
      </c>
      <c r="AJ26" s="398" t="s">
        <v>6756</v>
      </c>
      <c r="AK26" s="396"/>
      <c r="AL26" s="396"/>
      <c r="AM26" s="396"/>
    </row>
    <row r="27">
      <c r="A27" s="174" t="s">
        <v>6757</v>
      </c>
      <c r="B27" s="317" t="s">
        <v>6758</v>
      </c>
      <c r="C27" s="319" t="s">
        <v>6759</v>
      </c>
      <c r="D27" s="396" t="s">
        <v>6746</v>
      </c>
      <c r="E27" s="174" t="s">
        <v>6760</v>
      </c>
      <c r="F27" s="317" t="s">
        <v>6761</v>
      </c>
      <c r="G27" s="316" t="str">
        <f>IFERROR(__xludf.DUMMYFUNCTION("GOOGLETRANSLATE(C27,""zh-tw"",""ja"")"),"魔法力+50%")</f>
        <v>魔法力+50%</v>
      </c>
      <c r="H27" s="397" t="str">
        <f>IFERROR(__xludf.DUMMYFUNCTION("GOOGLETRANSLATE(D27,""zh-tw"",""ja"")"),"食べ物")</f>
        <v>食べ物</v>
      </c>
      <c r="I27" s="174" t="s">
        <v>6762</v>
      </c>
      <c r="J27" s="317" t="s">
        <v>6763</v>
      </c>
      <c r="K27" s="319" t="s">
        <v>6764</v>
      </c>
      <c r="L27" s="396" t="s">
        <v>6752</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6765</v>
      </c>
      <c r="AH27" s="164" t="s">
        <v>6766</v>
      </c>
      <c r="AI27" s="320" t="s">
        <v>6767</v>
      </c>
      <c r="AJ27" s="398" t="s">
        <v>6756</v>
      </c>
      <c r="AK27" s="396"/>
      <c r="AL27" s="396"/>
      <c r="AM27" s="396"/>
    </row>
    <row r="28">
      <c r="A28" s="174" t="s">
        <v>6768</v>
      </c>
      <c r="B28" s="317" t="s">
        <v>6769</v>
      </c>
      <c r="C28" s="319" t="s">
        <v>6770</v>
      </c>
      <c r="D28" s="396" t="s">
        <v>6746</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6771</v>
      </c>
      <c r="J28" s="317" t="s">
        <v>6772</v>
      </c>
      <c r="K28" s="319" t="s">
        <v>6773</v>
      </c>
      <c r="L28" s="396" t="s">
        <v>6752</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6774</v>
      </c>
      <c r="AH28" s="164" t="s">
        <v>6775</v>
      </c>
      <c r="AI28" s="320" t="s">
        <v>6776</v>
      </c>
      <c r="AJ28" s="398" t="s">
        <v>6756</v>
      </c>
      <c r="AK28" s="396"/>
      <c r="AL28" s="396"/>
      <c r="AM28" s="396"/>
    </row>
    <row r="29">
      <c r="A29" s="174" t="s">
        <v>6777</v>
      </c>
      <c r="B29" s="317" t="s">
        <v>6778</v>
      </c>
      <c r="C29" s="319" t="s">
        <v>6779</v>
      </c>
      <c r="D29" s="396" t="s">
        <v>6780</v>
      </c>
      <c r="E29" s="314" t="str">
        <f>IFERROR(__xludf.DUMMYFUNCTION("GOOGLETRANSLATE(A29,""zh-tw"",""ja"")"),"巨神兵")</f>
        <v>巨神兵</v>
      </c>
      <c r="F29" s="317" t="s">
        <v>6781</v>
      </c>
      <c r="G29" s="319" t="s">
        <v>6782</v>
      </c>
      <c r="H29" s="397" t="str">
        <f>IFERROR(__xludf.DUMMYFUNCTION("GOOGLETRANSLATE(D29,""zh-tw"",""ja"")"),"タロットカード")</f>
        <v>タロットカード</v>
      </c>
      <c r="I29" s="174" t="s">
        <v>6783</v>
      </c>
      <c r="J29" s="317" t="s">
        <v>6784</v>
      </c>
      <c r="K29" s="319" t="s">
        <v>6785</v>
      </c>
      <c r="L29" s="396" t="s">
        <v>6786</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6787</v>
      </c>
      <c r="AH29" s="164" t="s">
        <v>6788</v>
      </c>
      <c r="AI29" s="320" t="s">
        <v>6789</v>
      </c>
      <c r="AJ29" s="398" t="s">
        <v>6790</v>
      </c>
      <c r="AK29" s="396"/>
      <c r="AL29" s="396"/>
      <c r="AM29" s="396"/>
    </row>
    <row r="30">
      <c r="A30" s="174" t="s">
        <v>6791</v>
      </c>
      <c r="B30" s="317" t="s">
        <v>6792</v>
      </c>
      <c r="C30" s="319" t="s">
        <v>6793</v>
      </c>
      <c r="D30" s="396" t="s">
        <v>6780</v>
      </c>
      <c r="E30" s="174" t="s">
        <v>6794</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6795</v>
      </c>
      <c r="J30" s="317" t="s">
        <v>6796</v>
      </c>
      <c r="K30" s="316" t="str">
        <f>IFERROR(__xludf.DUMMYFUNCTION("GOOGLETRANSLATE(C30,""zh-tw"",""en"")"),"With the blessing of fate, it's easier to encounter happy things!")</f>
        <v>With the blessing of fate, it's easier to encounter happy things!</v>
      </c>
      <c r="L30" s="396" t="s">
        <v>6797</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6798</v>
      </c>
      <c r="AH30" s="164" t="s">
        <v>6799</v>
      </c>
      <c r="AI30" s="320" t="s">
        <v>6800</v>
      </c>
      <c r="AJ30" s="398" t="s">
        <v>6801</v>
      </c>
      <c r="AK30" s="396"/>
      <c r="AL30" s="396"/>
      <c r="AM30" s="396"/>
    </row>
    <row r="31">
      <c r="A31" s="174" t="s">
        <v>6802</v>
      </c>
      <c r="B31" s="317" t="s">
        <v>6803</v>
      </c>
      <c r="C31" s="319" t="s">
        <v>6804</v>
      </c>
      <c r="D31" s="396" t="s">
        <v>6780</v>
      </c>
      <c r="E31" s="174" t="s">
        <v>6805</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6806</v>
      </c>
      <c r="J31" s="317" t="s">
        <v>6807</v>
      </c>
      <c r="K31" s="316" t="str">
        <f>IFERROR(__xludf.DUMMYFUNCTION("GOOGLETRANSLATE(C31,""zh-tw"",""en"")"),"Being blessed by fate makes it easier to encounter difficult things!")</f>
        <v>Being blessed by fate makes it easier to encounter difficult things!</v>
      </c>
      <c r="L31" s="396" t="s">
        <v>6797</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6808</v>
      </c>
      <c r="AH31" s="164" t="s">
        <v>6809</v>
      </c>
      <c r="AI31" s="320" t="s">
        <v>6810</v>
      </c>
      <c r="AJ31" s="398" t="s">
        <v>6801</v>
      </c>
      <c r="AK31" s="396"/>
      <c r="AL31" s="396"/>
      <c r="AM31" s="396"/>
    </row>
    <row r="32">
      <c r="A32" s="174" t="s">
        <v>6811</v>
      </c>
      <c r="B32" s="317" t="s">
        <v>6812</v>
      </c>
      <c r="C32" s="319" t="s">
        <v>6813</v>
      </c>
      <c r="D32" s="396" t="s">
        <v>5686</v>
      </c>
      <c r="E32" s="174" t="s">
        <v>6814</v>
      </c>
      <c r="F32" s="317" t="s">
        <v>6815</v>
      </c>
      <c r="G32" s="319" t="s">
        <v>6816</v>
      </c>
      <c r="H32" s="396" t="s">
        <v>5688</v>
      </c>
      <c r="I32" s="174" t="s">
        <v>6817</v>
      </c>
      <c r="J32" s="317" t="s">
        <v>6818</v>
      </c>
      <c r="K32" s="319" t="s">
        <v>6819</v>
      </c>
      <c r="L32" s="396" t="s">
        <v>5690</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6820</v>
      </c>
      <c r="AH32" s="164" t="s">
        <v>6821</v>
      </c>
      <c r="AI32" s="320" t="s">
        <v>6822</v>
      </c>
      <c r="AJ32" s="398" t="s">
        <v>5695</v>
      </c>
      <c r="AK32" s="396"/>
      <c r="AL32" s="396"/>
      <c r="AM32" s="396"/>
    </row>
    <row r="33">
      <c r="A33" s="174" t="s">
        <v>6823</v>
      </c>
      <c r="B33" s="317" t="s">
        <v>6824</v>
      </c>
      <c r="C33" s="319" t="s">
        <v>6825</v>
      </c>
      <c r="D33" s="396" t="s">
        <v>6826</v>
      </c>
      <c r="E33" s="174" t="s">
        <v>6827</v>
      </c>
      <c r="F33" s="317" t="s">
        <v>6828</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6829</v>
      </c>
      <c r="I33" s="174" t="s">
        <v>6830</v>
      </c>
      <c r="J33" s="317" t="s">
        <v>6831</v>
      </c>
      <c r="K33" s="319" t="s">
        <v>6832</v>
      </c>
      <c r="L33" s="396" t="s">
        <v>6833</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6834</v>
      </c>
      <c r="AH33" s="164" t="s">
        <v>6835</v>
      </c>
      <c r="AI33" s="320" t="s">
        <v>6836</v>
      </c>
      <c r="AJ33" s="398" t="s">
        <v>6837</v>
      </c>
      <c r="AK33" s="396"/>
      <c r="AL33" s="396"/>
      <c r="AM33" s="396"/>
    </row>
    <row r="34">
      <c r="A34" s="174" t="s">
        <v>6838</v>
      </c>
      <c r="B34" s="317" t="s">
        <v>6839</v>
      </c>
      <c r="C34" s="319" t="s">
        <v>6840</v>
      </c>
      <c r="D34" s="396" t="s">
        <v>5073</v>
      </c>
      <c r="E34" s="174" t="s">
        <v>6841</v>
      </c>
      <c r="F34" s="315" t="str">
        <f>IFERROR(__xludf.DUMMYFUNCTION("GOOGLETRANSLATE(B34,""zh-tw"",""ja"")"),"祝福を享受できますように")</f>
        <v>祝福を享受できますように</v>
      </c>
      <c r="G34" s="319" t="s">
        <v>6842</v>
      </c>
      <c r="H34" s="396" t="s">
        <v>5075</v>
      </c>
      <c r="I34" s="174" t="s">
        <v>6843</v>
      </c>
      <c r="J34" s="317" t="s">
        <v>6844</v>
      </c>
      <c r="K34" s="319" t="s">
        <v>6845</v>
      </c>
      <c r="L34" s="396" t="s">
        <v>5076</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6846</v>
      </c>
      <c r="AH34" s="164" t="s">
        <v>6847</v>
      </c>
      <c r="AI34" s="320" t="s">
        <v>6848</v>
      </c>
      <c r="AJ34" s="398" t="s">
        <v>6849</v>
      </c>
      <c r="AK34" s="396"/>
      <c r="AL34" s="396"/>
      <c r="AM34" s="396"/>
    </row>
    <row r="35">
      <c r="A35" s="174" t="s">
        <v>6850</v>
      </c>
      <c r="B35" s="317" t="s">
        <v>723</v>
      </c>
      <c r="C35" s="319" t="s">
        <v>723</v>
      </c>
      <c r="D35" s="396" t="s">
        <v>6851</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6852</v>
      </c>
      <c r="J35" s="315" t="str">
        <f>IFERROR(__xludf.DUMMYFUNCTION("GOOGLETRANSLATE(B35,""zh-tw"",""en"")"),"-")</f>
        <v>-</v>
      </c>
      <c r="K35" s="316" t="str">
        <f>IFERROR(__xludf.DUMMYFUNCTION("GOOGLETRANSLATE(C35,""zh-tw"",""en"")"),"-")</f>
        <v>-</v>
      </c>
      <c r="L35" s="396" t="s">
        <v>6853</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6854</v>
      </c>
      <c r="AH35" s="164" t="s">
        <v>723</v>
      </c>
      <c r="AI35" s="320" t="s">
        <v>723</v>
      </c>
      <c r="AJ35" s="398" t="s">
        <v>6855</v>
      </c>
      <c r="AK35" s="396"/>
      <c r="AL35" s="396"/>
      <c r="AM35" s="396"/>
    </row>
    <row r="36">
      <c r="A36" s="174" t="s">
        <v>6856</v>
      </c>
      <c r="B36" s="317" t="s">
        <v>6857</v>
      </c>
      <c r="C36" s="319" t="s">
        <v>6858</v>
      </c>
      <c r="D36" s="396" t="s">
        <v>4639</v>
      </c>
      <c r="E36" s="174" t="s">
        <v>4641</v>
      </c>
      <c r="F36" s="317" t="s">
        <v>6859</v>
      </c>
      <c r="G36" s="316" t="str">
        <f>IFERROR(__xludf.DUMMYFUNCTION("GOOGLETRANSLATE(C36,""zh-tw"",""ja"")"),"全属性が上昇し、一時的に無敵になる。")</f>
        <v>全属性が上昇し、一時的に無敵になる。</v>
      </c>
      <c r="H36" s="396" t="s">
        <v>4641</v>
      </c>
      <c r="I36" s="174" t="s">
        <v>4643</v>
      </c>
      <c r="J36" s="317" t="s">
        <v>6860</v>
      </c>
      <c r="K36" s="319" t="s">
        <v>6861</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6862</v>
      </c>
      <c r="AH36" s="164" t="s">
        <v>6863</v>
      </c>
      <c r="AI36" s="320" t="s">
        <v>6864</v>
      </c>
      <c r="AJ36" s="398" t="s">
        <v>6862</v>
      </c>
      <c r="AK36" s="396"/>
      <c r="AL36" s="396"/>
      <c r="AM36" s="396"/>
    </row>
    <row r="37">
      <c r="A37" s="174" t="s">
        <v>2696</v>
      </c>
      <c r="B37" s="317" t="s">
        <v>6865</v>
      </c>
      <c r="C37" s="319" t="s">
        <v>6866</v>
      </c>
      <c r="D37" s="396" t="s">
        <v>6867</v>
      </c>
      <c r="E37" s="174" t="s">
        <v>2699</v>
      </c>
      <c r="F37" s="317" t="s">
        <v>6868</v>
      </c>
      <c r="G37" s="316" t="str">
        <f>IFERROR(__xludf.DUMMYFUNCTION("GOOGLETRANSLATE(C37,""zh-tw"",""ja"")"),"スタミナを回復できない")</f>
        <v>スタミナを回復できない</v>
      </c>
      <c r="H37" s="396" t="s">
        <v>4266</v>
      </c>
      <c r="I37" s="174" t="s">
        <v>4268</v>
      </c>
      <c r="J37" s="317" t="s">
        <v>6869</v>
      </c>
      <c r="K37" s="319" t="s">
        <v>6870</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64" t="s">
        <v>6871</v>
      </c>
      <c r="AI37" s="320" t="s">
        <v>6872</v>
      </c>
      <c r="AJ37" s="398" t="s">
        <v>4274</v>
      </c>
      <c r="AK37" s="396"/>
      <c r="AL37" s="396"/>
      <c r="AM37" s="396"/>
    </row>
    <row r="38">
      <c r="A38" s="174" t="s">
        <v>6873</v>
      </c>
      <c r="B38" s="317" t="s">
        <v>723</v>
      </c>
      <c r="C38" s="319" t="s">
        <v>6874</v>
      </c>
      <c r="D38" s="396" t="s">
        <v>6875</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6876</v>
      </c>
      <c r="J38" s="315" t="str">
        <f>IFERROR(__xludf.DUMMYFUNCTION("GOOGLETRANSLATE(B38,""zh-tw"",""en"")"),"-")</f>
        <v>-</v>
      </c>
      <c r="K38" s="319" t="s">
        <v>6877</v>
      </c>
      <c r="L38" s="396" t="s">
        <v>6878</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6879</v>
      </c>
      <c r="AH38" s="164" t="s">
        <v>723</v>
      </c>
      <c r="AI38" s="320" t="s">
        <v>6880</v>
      </c>
      <c r="AJ38" s="398" t="s">
        <v>6881</v>
      </c>
      <c r="AK38" s="396"/>
      <c r="AL38" s="396"/>
      <c r="AM38" s="396"/>
    </row>
    <row r="39">
      <c r="A39" s="174" t="s">
        <v>6882</v>
      </c>
      <c r="B39" s="317" t="s">
        <v>6883</v>
      </c>
      <c r="C39" s="319" t="s">
        <v>6884</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6885</v>
      </c>
      <c r="J39" s="317" t="s">
        <v>6886</v>
      </c>
      <c r="K39" s="319" t="s">
        <v>6887</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6888</v>
      </c>
      <c r="AH39" s="164" t="s">
        <v>6889</v>
      </c>
      <c r="AI39" s="320" t="s">
        <v>6890</v>
      </c>
      <c r="AJ39" s="398" t="s">
        <v>4018</v>
      </c>
      <c r="AK39" s="396"/>
      <c r="AL39" s="396"/>
      <c r="AM39" s="396"/>
    </row>
    <row r="40">
      <c r="A40" s="174" t="s">
        <v>6891</v>
      </c>
      <c r="B40" s="317" t="s">
        <v>6892</v>
      </c>
      <c r="C40" s="319" t="s">
        <v>6893</v>
      </c>
      <c r="D40" s="396" t="s">
        <v>4846</v>
      </c>
      <c r="E40" s="174" t="s">
        <v>6894</v>
      </c>
      <c r="F40" s="317" t="s">
        <v>6895</v>
      </c>
      <c r="G40" s="316" t="str">
        <f>IFERROR(__xludf.DUMMYFUNCTION("GOOGLETRANSLATE(C40,""zh-tw"",""ja"")"),"スタミナは自動的に回復します。")</f>
        <v>スタミナは自動的に回復します。</v>
      </c>
      <c r="H40" s="396" t="s">
        <v>6896</v>
      </c>
      <c r="I40" s="174" t="s">
        <v>6897</v>
      </c>
      <c r="J40" s="317" t="s">
        <v>6898</v>
      </c>
      <c r="K40" s="319" t="s">
        <v>6899</v>
      </c>
      <c r="L40" s="396" t="s">
        <v>6900</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6901</v>
      </c>
      <c r="AH40" s="164" t="s">
        <v>6902</v>
      </c>
      <c r="AI40" s="320" t="s">
        <v>6903</v>
      </c>
      <c r="AJ40" s="398" t="s">
        <v>6904</v>
      </c>
      <c r="AK40" s="396"/>
      <c r="AL40" s="396"/>
      <c r="AM40" s="396"/>
    </row>
    <row r="41">
      <c r="A41" s="174" t="s">
        <v>6905</v>
      </c>
      <c r="B41" s="317" t="s">
        <v>6906</v>
      </c>
      <c r="C41" s="319" t="s">
        <v>6907</v>
      </c>
      <c r="D41" s="396" t="s">
        <v>6908</v>
      </c>
      <c r="E41" s="174" t="s">
        <v>6909</v>
      </c>
      <c r="F41" s="317" t="s">
        <v>6910</v>
      </c>
      <c r="G41" s="319" t="s">
        <v>6911</v>
      </c>
      <c r="H41" s="396" t="s">
        <v>6912</v>
      </c>
      <c r="I41" s="174" t="s">
        <v>6913</v>
      </c>
      <c r="J41" s="317" t="s">
        <v>6914</v>
      </c>
      <c r="K41" s="319" t="s">
        <v>6915</v>
      </c>
      <c r="L41" s="396" t="s">
        <v>6916</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6917</v>
      </c>
      <c r="AH41" s="164" t="s">
        <v>6918</v>
      </c>
      <c r="AI41" s="320" t="s">
        <v>6919</v>
      </c>
      <c r="AJ41" s="398" t="s">
        <v>6920</v>
      </c>
      <c r="AK41" s="396"/>
      <c r="AL41" s="396"/>
      <c r="AM41" s="396"/>
    </row>
    <row r="42">
      <c r="A42" s="174" t="s">
        <v>6921</v>
      </c>
      <c r="B42" s="317" t="s">
        <v>6922</v>
      </c>
      <c r="C42" s="319" t="s">
        <v>6923</v>
      </c>
      <c r="D42" s="396" t="s">
        <v>6924</v>
      </c>
      <c r="E42" s="174" t="s">
        <v>6925</v>
      </c>
      <c r="F42" s="317" t="s">
        <v>6926</v>
      </c>
      <c r="G42" s="319" t="s">
        <v>6927</v>
      </c>
      <c r="H42" s="396" t="s">
        <v>6928</v>
      </c>
      <c r="I42" s="174" t="s">
        <v>6929</v>
      </c>
      <c r="J42" s="317" t="s">
        <v>6930</v>
      </c>
      <c r="K42" s="319" t="s">
        <v>6931</v>
      </c>
      <c r="L42" s="396" t="s">
        <v>6932</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6933</v>
      </c>
      <c r="AH42" s="164" t="s">
        <v>6934</v>
      </c>
      <c r="AI42" s="320" t="s">
        <v>6935</v>
      </c>
      <c r="AJ42" s="398" t="s">
        <v>6936</v>
      </c>
      <c r="AK42" s="396"/>
      <c r="AL42" s="396"/>
      <c r="AM42" s="396"/>
    </row>
    <row r="43">
      <c r="A43" s="174" t="s">
        <v>6937</v>
      </c>
      <c r="B43" s="317" t="s">
        <v>6938</v>
      </c>
      <c r="C43" s="319" t="s">
        <v>6939</v>
      </c>
      <c r="D43" s="396" t="s">
        <v>6940</v>
      </c>
      <c r="E43" s="174" t="s">
        <v>6941</v>
      </c>
      <c r="F43" s="317" t="s">
        <v>6942</v>
      </c>
      <c r="G43" s="319" t="s">
        <v>6943</v>
      </c>
      <c r="H43" s="396" t="s">
        <v>6944</v>
      </c>
      <c r="I43" s="174" t="s">
        <v>6945</v>
      </c>
      <c r="J43" s="317" t="s">
        <v>6946</v>
      </c>
      <c r="K43" s="319" t="s">
        <v>6947</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6948</v>
      </c>
      <c r="AI43" s="320" t="s">
        <v>6949</v>
      </c>
      <c r="AJ43" s="399"/>
      <c r="AK43" s="396"/>
      <c r="AL43" s="396"/>
      <c r="AM43" s="396"/>
    </row>
    <row r="44">
      <c r="A44" s="174" t="s">
        <v>6950</v>
      </c>
      <c r="B44" s="317" t="s">
        <v>6951</v>
      </c>
      <c r="C44" s="319" t="s">
        <v>6952</v>
      </c>
      <c r="D44" s="396" t="s">
        <v>6953</v>
      </c>
      <c r="E44" s="174" t="s">
        <v>6954</v>
      </c>
      <c r="F44" s="317" t="s">
        <v>6955</v>
      </c>
      <c r="G44" s="319" t="s">
        <v>6956</v>
      </c>
      <c r="H44" s="396" t="s">
        <v>6957</v>
      </c>
      <c r="I44" s="174" t="s">
        <v>6958</v>
      </c>
      <c r="J44" s="317" t="s">
        <v>6959</v>
      </c>
      <c r="K44" s="319" t="s">
        <v>6960</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6961</v>
      </c>
      <c r="AH44" s="164" t="s">
        <v>6962</v>
      </c>
      <c r="AI44" s="320" t="s">
        <v>6963</v>
      </c>
      <c r="AJ44" s="399"/>
      <c r="AK44" s="396"/>
      <c r="AL44" s="396"/>
      <c r="AM44" s="396"/>
    </row>
    <row r="45">
      <c r="A45" s="174" t="s">
        <v>6964</v>
      </c>
      <c r="B45" s="317" t="s">
        <v>6965</v>
      </c>
      <c r="C45" s="319" t="s">
        <v>723</v>
      </c>
      <c r="D45" s="396" t="s">
        <v>5393</v>
      </c>
      <c r="E45" s="174" t="s">
        <v>6966</v>
      </c>
      <c r="F45" s="317" t="s">
        <v>6967</v>
      </c>
      <c r="G45" s="319" t="s">
        <v>723</v>
      </c>
      <c r="H45" s="396" t="s">
        <v>6968</v>
      </c>
      <c r="I45" s="174" t="s">
        <v>5397</v>
      </c>
      <c r="J45" s="317" t="s">
        <v>6969</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6970</v>
      </c>
      <c r="AH45" s="164" t="s">
        <v>6971</v>
      </c>
      <c r="AI45" s="400"/>
      <c r="AJ45" s="399"/>
      <c r="AK45" s="396"/>
      <c r="AL45" s="396"/>
      <c r="AM45" s="396"/>
    </row>
    <row r="46">
      <c r="A46" s="174" t="s">
        <v>6972</v>
      </c>
      <c r="B46" s="317" t="s">
        <v>6973</v>
      </c>
      <c r="C46" s="319" t="s">
        <v>6974</v>
      </c>
      <c r="D46" s="396" t="s">
        <v>5336</v>
      </c>
      <c r="E46" s="174" t="s">
        <v>6975</v>
      </c>
      <c r="F46" s="317" t="s">
        <v>6976</v>
      </c>
      <c r="G46" s="319" t="s">
        <v>6977</v>
      </c>
      <c r="H46" s="397"/>
      <c r="I46" s="174" t="s">
        <v>6978</v>
      </c>
      <c r="J46" s="317" t="s">
        <v>6979</v>
      </c>
      <c r="K46" s="319" t="s">
        <v>6980</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IFERROR(__xludf.DUMMYFUNCTION("GOOGLETRANSLATE(C46,""zh-tw"",""es-MX"")"),"Las monedas de oro se caen a la fuerza cuando alguien resulta herido.")</f>
        <v>Las monedas de oro se caen a la fuerza cuando alguien resulta herido.</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IFERROR(__xludf.DUMMYFUNCTION("GOOGLETRANSLATE(C46,""zh-tw"",""KO"")"),"부상을 입었을 때 금화를 강제로 떨어뜨린다.")</f>
        <v>부상을 입었을 때 금화를 강제로 떨어뜨린다.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IFERROR(__xludf.DUMMYFUNCTION("GOOGLETRANSLATE(C46,""zh-tw"",""RU"")"),"При получении травмы золотые монеты с силой роняются.")</f>
        <v>При получении травмы золотые монеты с силой роняются.</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IFERROR(__xludf.DUMMYFUNCTION("GOOGLETRANSLATE(C46,""zh-tw"",""DE"")"),"Bei Verletzungen werden Goldmünzen zwangsweise fallen gelassen.")</f>
        <v>Bei Verletzungen werden Goldmünzen zwangsweise fallen gelassen.</v>
      </c>
      <c r="AF46" s="397" t="str">
        <f>IFERROR(__xludf.DUMMYFUNCTION("GOOGLETRANSLATE(D46,""zh-tw"",""DE"")"),"Gieriges Sparschwein")</f>
        <v>Gieriges Sparschwein</v>
      </c>
      <c r="AG46" s="401" t="s">
        <v>6981</v>
      </c>
      <c r="AH46" s="160" t="s">
        <v>6982</v>
      </c>
      <c r="AI46" s="402" t="s">
        <v>6983</v>
      </c>
      <c r="AJ46" s="403"/>
      <c r="AK46" s="397"/>
      <c r="AL46" s="397"/>
      <c r="AM46" s="397"/>
    </row>
    <row r="47">
      <c r="A47" s="174" t="s">
        <v>6984</v>
      </c>
      <c r="B47" s="317" t="s">
        <v>6985</v>
      </c>
      <c r="C47" s="319" t="s">
        <v>6986</v>
      </c>
      <c r="D47" s="396" t="s">
        <v>5257</v>
      </c>
      <c r="E47" s="174" t="s">
        <v>6987</v>
      </c>
      <c r="F47" s="317" t="s">
        <v>6988</v>
      </c>
      <c r="G47" s="319" t="s">
        <v>6989</v>
      </c>
      <c r="H47" s="397"/>
      <c r="I47" s="174" t="s">
        <v>6990</v>
      </c>
      <c r="J47" s="317" t="s">
        <v>6991</v>
      </c>
      <c r="K47" s="319" t="s">
        <v>6992</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6993</v>
      </c>
      <c r="AH47" s="183"/>
      <c r="AI47" s="402" t="s">
        <v>6994</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6995</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6996</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6997</v>
      </c>
      <c r="B3" s="30" t="s">
        <v>6997</v>
      </c>
      <c r="C3" s="416" t="s">
        <v>6997</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6998</v>
      </c>
      <c r="B5" s="30" t="str">
        <f>IFERROR(__xludf.DUMMYFUNCTION("GOOGLETRANSLATE(A5,""zh-tw"",""ja"")"),"公式YouTubeチャンネル")</f>
        <v>公式YouTubeチャンネル</v>
      </c>
      <c r="C5" s="416" t="str">
        <f>IFERROR(__xludf.DUMMYFUNCTION("GOOGLETRANSLATE(A5,""zh-tw"",""en"")"),"Official YouTube channel")</f>
        <v>Official YouTube channel</v>
      </c>
      <c r="D5" s="142" t="s">
        <v>6999</v>
      </c>
      <c r="E5" s="123"/>
      <c r="F5" s="123"/>
      <c r="G5" s="123"/>
      <c r="H5" s="123"/>
      <c r="I5" s="123"/>
      <c r="J5" s="123"/>
      <c r="K5" s="123"/>
      <c r="L5" s="123"/>
      <c r="M5" s="123"/>
      <c r="N5" s="123"/>
      <c r="O5" s="123"/>
      <c r="P5" s="123"/>
      <c r="Q5" s="123"/>
      <c r="R5" s="123"/>
      <c r="S5" s="123"/>
      <c r="T5" s="123"/>
      <c r="U5" s="123"/>
      <c r="V5" s="123"/>
      <c r="W5" s="123"/>
      <c r="X5" s="123"/>
      <c r="Y5" s="123"/>
      <c r="Z5" s="123"/>
    </row>
    <row r="6">
      <c r="A6" s="415" t="s">
        <v>7000</v>
      </c>
      <c r="B6" s="30" t="str">
        <f>IFERROR(__xludf.DUMMYFUNCTION("GOOGLETRANSLATE(A6,""zh-tw"",""ja"")"),"公式法案")</f>
        <v>公式法案</v>
      </c>
      <c r="C6" s="416" t="str">
        <f>IFERROR(__xludf.DUMMYFUNCTION("GOOGLETRANSLATE(A6,""zh-tw"",""en"")"),"Official bill")</f>
        <v>Official bill</v>
      </c>
      <c r="D6" s="142" t="s">
        <v>6999</v>
      </c>
      <c r="E6" s="123"/>
      <c r="F6" s="123"/>
      <c r="G6" s="123"/>
      <c r="H6" s="123"/>
      <c r="I6" s="123"/>
      <c r="J6" s="123"/>
      <c r="K6" s="123"/>
      <c r="L6" s="123"/>
      <c r="M6" s="123"/>
      <c r="N6" s="123"/>
      <c r="O6" s="123"/>
      <c r="P6" s="123"/>
      <c r="Q6" s="123"/>
      <c r="R6" s="123"/>
      <c r="S6" s="123"/>
      <c r="T6" s="123"/>
      <c r="U6" s="123"/>
      <c r="V6" s="123"/>
      <c r="W6" s="123"/>
      <c r="X6" s="123"/>
      <c r="Y6" s="123"/>
      <c r="Z6" s="123"/>
    </row>
    <row r="7">
      <c r="A7" s="415" t="s">
        <v>7001</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7002</v>
      </c>
      <c r="E7" s="123"/>
      <c r="F7" s="123"/>
      <c r="G7" s="123"/>
      <c r="H7" s="123"/>
      <c r="I7" s="123"/>
      <c r="J7" s="123"/>
      <c r="K7" s="123"/>
      <c r="L7" s="123"/>
      <c r="M7" s="123"/>
      <c r="N7" s="123"/>
      <c r="O7" s="123"/>
      <c r="P7" s="123"/>
      <c r="Q7" s="123"/>
      <c r="R7" s="123"/>
      <c r="S7" s="123"/>
      <c r="T7" s="123"/>
      <c r="U7" s="123"/>
      <c r="V7" s="123"/>
      <c r="W7" s="123"/>
      <c r="X7" s="123"/>
      <c r="Y7" s="123"/>
      <c r="Z7" s="123"/>
    </row>
    <row r="8">
      <c r="A8" s="415" t="s">
        <v>7003</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7002</v>
      </c>
      <c r="E8" s="123"/>
      <c r="F8" s="123"/>
      <c r="G8" s="123"/>
      <c r="H8" s="123"/>
      <c r="I8" s="123"/>
      <c r="J8" s="123"/>
      <c r="K8" s="123"/>
      <c r="L8" s="123"/>
      <c r="M8" s="123"/>
      <c r="N8" s="123"/>
      <c r="O8" s="123"/>
      <c r="P8" s="123"/>
      <c r="Q8" s="123"/>
      <c r="R8" s="123"/>
      <c r="S8" s="123"/>
      <c r="T8" s="123"/>
      <c r="U8" s="123"/>
      <c r="V8" s="123"/>
      <c r="W8" s="123"/>
      <c r="X8" s="123"/>
      <c r="Y8" s="123"/>
      <c r="Z8" s="123"/>
    </row>
    <row r="9">
      <c r="A9" s="415" t="s">
        <v>7004</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7005</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7006</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7007</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7008</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7009</v>
      </c>
      <c r="G1" s="429"/>
      <c r="H1" s="429"/>
      <c r="I1" s="429"/>
      <c r="J1" s="429"/>
      <c r="K1" s="429"/>
      <c r="L1" s="429"/>
      <c r="M1" s="429"/>
      <c r="N1" s="429"/>
      <c r="O1" s="429"/>
      <c r="P1" s="429"/>
      <c r="Q1" s="429"/>
      <c r="R1" s="429"/>
    </row>
    <row r="2">
      <c r="A2" s="430" t="s">
        <v>7010</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7011</v>
      </c>
      <c r="F2" s="433" t="s">
        <v>7012</v>
      </c>
      <c r="G2" s="135"/>
      <c r="H2" s="135"/>
      <c r="I2" s="135"/>
      <c r="J2" s="135"/>
      <c r="K2" s="135"/>
      <c r="L2" s="135"/>
      <c r="M2" s="135"/>
      <c r="N2" s="135"/>
      <c r="O2" s="135"/>
      <c r="P2" s="135"/>
      <c r="Q2" s="135"/>
      <c r="R2" s="135"/>
    </row>
    <row r="3">
      <c r="A3" s="430" t="s">
        <v>7013</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7014</v>
      </c>
      <c r="F3" s="433" t="s">
        <v>7015</v>
      </c>
      <c r="G3" s="135"/>
      <c r="H3" s="135"/>
      <c r="I3" s="135"/>
      <c r="J3" s="135"/>
      <c r="K3" s="135"/>
      <c r="L3" s="135"/>
      <c r="M3" s="135"/>
      <c r="N3" s="135"/>
      <c r="O3" s="135"/>
      <c r="P3" s="135"/>
      <c r="Q3" s="135"/>
      <c r="R3" s="135"/>
    </row>
    <row r="4">
      <c r="A4" s="430" t="s">
        <v>7016</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7017</v>
      </c>
      <c r="F4" s="433" t="s">
        <v>7018</v>
      </c>
      <c r="G4" s="135"/>
      <c r="H4" s="135"/>
      <c r="I4" s="135"/>
      <c r="J4" s="135"/>
      <c r="K4" s="135"/>
      <c r="L4" s="135"/>
      <c r="M4" s="135"/>
      <c r="N4" s="135"/>
      <c r="O4" s="135"/>
      <c r="P4" s="135"/>
      <c r="Q4" s="135"/>
      <c r="R4" s="135"/>
    </row>
    <row r="5">
      <c r="A5" s="430" t="s">
        <v>7019</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7020</v>
      </c>
      <c r="F5" s="433" t="s">
        <v>7021</v>
      </c>
      <c r="G5" s="135"/>
      <c r="H5" s="135"/>
      <c r="I5" s="135"/>
      <c r="J5" s="135"/>
      <c r="K5" s="135"/>
      <c r="L5" s="135"/>
      <c r="M5" s="135"/>
      <c r="N5" s="135"/>
      <c r="O5" s="135"/>
      <c r="P5" s="135"/>
      <c r="Q5" s="135"/>
      <c r="R5" s="135"/>
    </row>
    <row r="6">
      <c r="A6" s="434" t="s">
        <v>7022</v>
      </c>
      <c r="B6" s="435" t="s">
        <v>7023</v>
      </c>
      <c r="C6" s="436" t="s">
        <v>7024</v>
      </c>
      <c r="D6" s="437" t="s">
        <v>7025</v>
      </c>
      <c r="E6" s="438" t="s">
        <v>7026</v>
      </c>
      <c r="F6" s="439" t="s">
        <v>7027</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7028</v>
      </c>
      <c r="B1" s="424" t="s">
        <v>7029</v>
      </c>
      <c r="C1" s="301" t="s">
        <v>7030</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7031</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7032</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7033</v>
      </c>
      <c r="J1" s="427" t="s">
        <v>7034</v>
      </c>
      <c r="K1" s="444" t="s">
        <v>7035</v>
      </c>
      <c r="L1" s="444" t="s">
        <v>7036</v>
      </c>
      <c r="M1" s="429"/>
      <c r="N1" s="429"/>
      <c r="O1" s="429"/>
      <c r="P1" s="429"/>
      <c r="Q1" s="429"/>
      <c r="R1" s="429"/>
      <c r="S1" s="429"/>
      <c r="T1" s="429"/>
      <c r="U1" s="429"/>
      <c r="V1" s="429"/>
      <c r="W1" s="429"/>
    </row>
    <row r="2">
      <c r="A2" s="430" t="s">
        <v>7037</v>
      </c>
      <c r="B2" s="430" t="s">
        <v>7038</v>
      </c>
      <c r="C2" s="106" t="s">
        <v>7039</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7040</v>
      </c>
      <c r="F2" s="214" t="str">
        <f>IFERROR(__xludf.DUMMYFUNCTION("GOOGLETRANSLATE(B2,""zh-tw"",""en"")"),"1 - Search for ""NVIDIA APP install"" on Google and launch the NVIDIA application.")</f>
        <v>1 - Search for "NVIDIA APP install" on Google and launch the NVIDIA application.</v>
      </c>
      <c r="G2" s="446" t="s">
        <v>7041</v>
      </c>
      <c r="H2" s="431" t="str">
        <f>IFERROR(__xludf.DUMMYFUNCTION("GOOGLETRANSLATE(B2,""zh-tw"",""zh"")"),"1 - 在google上搜寻 NVIDIA APP安装，并启动 NVIDIA 应用程式。")</f>
        <v>1 - 在google上搜寻 NVIDIA APP安装，并启动 NVIDIA 应用程式。</v>
      </c>
      <c r="I2" s="432" t="s">
        <v>7042</v>
      </c>
      <c r="J2" s="432" t="s">
        <v>7043</v>
      </c>
      <c r="K2" s="433" t="s">
        <v>7044</v>
      </c>
      <c r="L2" s="433" t="s">
        <v>7045</v>
      </c>
      <c r="M2" s="135"/>
      <c r="N2" s="135"/>
      <c r="O2" s="135"/>
      <c r="P2" s="135"/>
      <c r="Q2" s="135"/>
      <c r="R2" s="135"/>
      <c r="S2" s="135"/>
      <c r="T2" s="135"/>
      <c r="U2" s="135"/>
      <c r="V2" s="135"/>
      <c r="W2" s="135"/>
    </row>
    <row r="3">
      <c r="A3" s="430" t="s">
        <v>7046</v>
      </c>
      <c r="B3" s="430" t="s">
        <v>7047</v>
      </c>
      <c r="C3" s="106" t="s">
        <v>7048</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7049</v>
      </c>
      <c r="F3" s="214" t="str">
        <f>IFERROR(__xludf.DUMMYFUNCTION("GOOGLETRANSLATE(B3,""zh-tw"",""en"")"),"2 - Restart the NVIDIA application after updating to the latest version.")</f>
        <v>2 - Restart the NVIDIA application after updating to the latest version.</v>
      </c>
      <c r="G3" s="446" t="s">
        <v>7050</v>
      </c>
      <c r="H3" s="431" t="str">
        <f>IFERROR(__xludf.DUMMYFUNCTION("GOOGLETRANSLATE(B3,""zh-tw"",""zh"")"),"2 - 在更新至最新版本后重新启动 NVIDIA 应用程式。")</f>
        <v>2 - 在更新至最新版本后重新启动 NVIDIA 应用程式。</v>
      </c>
      <c r="I3" s="432" t="s">
        <v>7051</v>
      </c>
      <c r="J3" s="432" t="s">
        <v>7052</v>
      </c>
      <c r="K3" s="433" t="s">
        <v>7053</v>
      </c>
      <c r="L3" s="433" t="s">
        <v>7054</v>
      </c>
      <c r="M3" s="135"/>
      <c r="N3" s="135"/>
      <c r="O3" s="135"/>
      <c r="P3" s="135"/>
      <c r="Q3" s="135"/>
      <c r="R3" s="135"/>
      <c r="S3" s="135"/>
      <c r="T3" s="135"/>
      <c r="U3" s="135"/>
      <c r="V3" s="135"/>
      <c r="W3" s="135"/>
    </row>
    <row r="4">
      <c r="A4" s="430" t="s">
        <v>7055</v>
      </c>
      <c r="B4" s="430" t="s">
        <v>7056</v>
      </c>
      <c r="C4" s="106" t="s">
        <v>7057</v>
      </c>
      <c r="D4" s="106" t="str">
        <f>IFERROR(__xludf.DUMMYFUNCTION("GOOGLETRANSLATE(B4,""zh-tw"",""ja"")"),"3 - NVIDIA アプリケーションで、グラフィック設定領域に移動します。")</f>
        <v>3 - NVIDIA アプリケーションで、グラフィック設定領域に移動します。</v>
      </c>
      <c r="E4" s="445" t="s">
        <v>7058</v>
      </c>
      <c r="F4" s="214" t="str">
        <f>IFERROR(__xludf.DUMMYFUNCTION("GOOGLETRANSLATE(B4,""zh-tw"",""en"")"),"3 - In the NVIDIA application, go to the graphics settings area.")</f>
        <v>3 - In the NVIDIA application, go to the graphics settings area.</v>
      </c>
      <c r="G4" s="446" t="s">
        <v>7059</v>
      </c>
      <c r="H4" s="431" t="str">
        <f>IFERROR(__xludf.DUMMYFUNCTION("GOOGLETRANSLATE(B4,""zh-tw"",""zh"")"),"3 - 在NVIDIA应用程式中，进入图形设置区域。")</f>
        <v>3 - 在NVIDIA应用程式中，进入图形设置区域。</v>
      </c>
      <c r="I4" s="432" t="s">
        <v>7060</v>
      </c>
      <c r="J4" s="432" t="s">
        <v>7061</v>
      </c>
      <c r="K4" s="433" t="s">
        <v>7062</v>
      </c>
      <c r="L4" s="433" t="s">
        <v>7063</v>
      </c>
      <c r="M4" s="135"/>
      <c r="N4" s="135"/>
      <c r="O4" s="135"/>
      <c r="P4" s="135"/>
      <c r="Q4" s="135"/>
      <c r="R4" s="135"/>
      <c r="S4" s="135"/>
      <c r="T4" s="135"/>
      <c r="U4" s="135"/>
      <c r="V4" s="135"/>
      <c r="W4" s="135"/>
    </row>
    <row r="5">
      <c r="A5" s="430" t="s">
        <v>7064</v>
      </c>
      <c r="B5" s="430" t="s">
        <v>7065</v>
      </c>
      <c r="C5" s="106" t="s">
        <v>7066</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7067</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7068</v>
      </c>
      <c r="H5" s="431" t="str">
        <f>IFERROR(__xludf.DUMMYFUNCTION("GOOGLETRANSLATE(B5,""zh-tw"",""zh"")"),"4 - 在「程式设定」中点击三个点，选择「新增程式」，然后寻找游戏的执行档。")</f>
        <v>4 - 在「程式设定」中点击三个点，选择「新增程式」，然后寻找游戏的执行档。</v>
      </c>
      <c r="I5" s="432" t="s">
        <v>7069</v>
      </c>
      <c r="J5" s="432" t="s">
        <v>7070</v>
      </c>
      <c r="K5" s="433" t="s">
        <v>7071</v>
      </c>
      <c r="L5" s="433" t="s">
        <v>7072</v>
      </c>
      <c r="M5" s="135"/>
      <c r="N5" s="135"/>
      <c r="O5" s="135"/>
      <c r="P5" s="135"/>
      <c r="Q5" s="135"/>
      <c r="R5" s="135"/>
      <c r="S5" s="135"/>
      <c r="T5" s="135"/>
      <c r="U5" s="135"/>
      <c r="V5" s="135"/>
      <c r="W5" s="135"/>
    </row>
    <row r="6">
      <c r="A6" s="430" t="s">
        <v>7073</v>
      </c>
      <c r="B6" s="430" t="s">
        <v>7074</v>
      </c>
      <c r="C6" s="106" t="s">
        <v>7075</v>
      </c>
      <c r="D6" s="106" t="str">
        <f>IFERROR(__xludf.DUMMYFUNCTION("GOOGLETRANSLATE(B6,""zh-tw"",""ja"")"),"5 - 「低遅延モード」を「超高」に、「電源管理モード」を「最適電力」に設定します。")</f>
        <v>5 - 「低遅延モード」を「超高」に、「電源管理モード」を「最適電力」に設定します。</v>
      </c>
      <c r="E6" s="445" t="s">
        <v>7076</v>
      </c>
      <c r="F6" s="214" t="str">
        <f>IFERROR(__xludf.DUMMYFUNCTION("GOOGLETRANSLATE(B6,""zh-tw"",""en"")"),"5 - Set ""Low Latency Mode"" to ""Ultra High"" and ""Power Management Mode"" to ""Optimal Power"".")</f>
        <v>5 - Set "Low Latency Mode" to "Ultra High" and "Power Management Mode" to "Optimal Power".</v>
      </c>
      <c r="G6" s="446" t="s">
        <v>7077</v>
      </c>
      <c r="H6" s="431" t="str">
        <f>IFERROR(__xludf.DUMMYFUNCTION("GOOGLETRANSLATE(B6,""zh-tw"",""zh"")"),"5 - 将「低延迟模式」设为「超高」，电源管理模式设为「最佳电源」。")</f>
        <v>5 - 将「低延迟模式」设为「超高」，电源管理模式设为「最佳电源」。</v>
      </c>
      <c r="I6" s="432" t="s">
        <v>7078</v>
      </c>
      <c r="J6" s="432" t="s">
        <v>7079</v>
      </c>
      <c r="K6" s="433" t="s">
        <v>7080</v>
      </c>
      <c r="L6" s="433" t="s">
        <v>7081</v>
      </c>
      <c r="M6" s="135"/>
      <c r="N6" s="135"/>
      <c r="O6" s="135"/>
      <c r="P6" s="135"/>
      <c r="Q6" s="135"/>
      <c r="R6" s="135"/>
      <c r="S6" s="135"/>
      <c r="T6" s="135"/>
      <c r="U6" s="135"/>
      <c r="V6" s="135"/>
      <c r="W6" s="135"/>
    </row>
    <row r="7">
      <c r="A7" s="430" t="s">
        <v>7082</v>
      </c>
      <c r="B7" s="430" t="s">
        <v>7083</v>
      </c>
      <c r="C7" s="106" t="s">
        <v>7084</v>
      </c>
      <c r="D7" s="106" t="str">
        <f>IFERROR(__xludf.DUMMYFUNCTION("GOOGLETRANSLATE(B7,""zh-tw"",""ja"")"),"6-「垂直同期」を「高速」に設定します。")</f>
        <v>6-「垂直同期」を「高速」に設定します。</v>
      </c>
      <c r="E7" s="445" t="s">
        <v>7085</v>
      </c>
      <c r="F7" s="214" t="str">
        <f>IFERROR(__xludf.DUMMYFUNCTION("GOOGLETRANSLATE(B7,""zh-tw"",""en"")"),"6- Set ""Vertical Sync"" to ""Fast"".")</f>
        <v>6- Set "Vertical Sync" to "Fast".</v>
      </c>
      <c r="G7" s="446" t="s">
        <v>7086</v>
      </c>
      <c r="H7" s="431" t="str">
        <f>IFERROR(__xludf.DUMMYFUNCTION("GOOGLETRANSLATE(B7,""zh-tw"",""zh"")"),"6- 将「垂直同步」设为「快速」。")</f>
        <v>6- 将「垂直同步」设为「快速」。</v>
      </c>
      <c r="I7" s="432" t="s">
        <v>7087</v>
      </c>
      <c r="J7" s="432" t="s">
        <v>7088</v>
      </c>
      <c r="K7" s="433" t="s">
        <v>7089</v>
      </c>
      <c r="L7" s="433" t="s">
        <v>7090</v>
      </c>
      <c r="M7" s="135"/>
      <c r="N7" s="135"/>
      <c r="O7" s="135"/>
      <c r="P7" s="135"/>
      <c r="Q7" s="135"/>
      <c r="R7" s="135"/>
      <c r="S7" s="135"/>
      <c r="T7" s="135"/>
      <c r="U7" s="135"/>
      <c r="V7" s="135"/>
      <c r="W7" s="135"/>
    </row>
    <row r="8">
      <c r="A8" s="430" t="s">
        <v>7091</v>
      </c>
      <c r="B8" s="430" t="s">
        <v>7092</v>
      </c>
      <c r="C8" s="106" t="s">
        <v>7093</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7094</v>
      </c>
      <c r="F8" s="214" t="str">
        <f>IFERROR(__xludf.DUMMYFUNCTION("GOOGLETRANSLATE(B8,""zh-tw"",""en"")"),"7 - If your computer cannot handle these options, please choose the best option.")</f>
        <v>7 - If your computer cannot handle these options, please choose the best option.</v>
      </c>
      <c r="G8" s="446" t="s">
        <v>7095</v>
      </c>
      <c r="H8" s="431" t="str">
        <f>IFERROR(__xludf.DUMMYFUNCTION("GOOGLETRANSLATE(B8,""zh-tw"",""zh"")"),"7 - 如果你的电脑无法负荷这些选项，请依照最佳的选项即可。")</f>
        <v>7 - 如果你的电脑无法负荷这些选项，请依照最佳的选项即可。</v>
      </c>
      <c r="I8" s="432" t="s">
        <v>7096</v>
      </c>
      <c r="J8" s="432" t="s">
        <v>7097</v>
      </c>
      <c r="K8" s="433" t="s">
        <v>7098</v>
      </c>
      <c r="L8" s="433" t="s">
        <v>7099</v>
      </c>
      <c r="M8" s="135"/>
      <c r="N8" s="135"/>
      <c r="O8" s="135"/>
      <c r="P8" s="135"/>
      <c r="Q8" s="135"/>
      <c r="R8" s="135"/>
      <c r="S8" s="135"/>
      <c r="T8" s="135"/>
      <c r="U8" s="135"/>
      <c r="V8" s="135"/>
      <c r="W8" s="135"/>
    </row>
    <row r="9">
      <c r="A9" s="430" t="s">
        <v>7100</v>
      </c>
      <c r="B9" s="430" t="s">
        <v>7101</v>
      </c>
      <c r="C9" s="106" t="s">
        <v>7102</v>
      </c>
      <c r="D9" s="106" t="str">
        <f>IFERROR(__xludf.DUMMYFUNCTION("GOOGLETRANSLATE(B9,""zh-tw"",""ja"")"),"8- ゲームを起動すると、その優れた安定性を体験できます。")</f>
        <v>8- ゲームを起動すると、その優れた安定性を体験できます。</v>
      </c>
      <c r="E9" s="445" t="s">
        <v>7103</v>
      </c>
      <c r="F9" s="214" t="str">
        <f>IFERROR(__xludf.DUMMYFUNCTION("GOOGLETRANSLATE(B9,""zh-tw"",""en"")"),"8- Now, launch the game and you will experience its excellent stability.")</f>
        <v>8- Now, launch the game and you will experience its excellent stability.</v>
      </c>
      <c r="G9" s="446" t="s">
        <v>7104</v>
      </c>
      <c r="H9" s="431" t="str">
        <f>IFERROR(__xludf.DUMMYFUNCTION("GOOGLETRANSLATE(B9,""zh-tw"",""zh"")"),"8- 现在，将游戏启动，你能体验到良好的稳定性能。")</f>
        <v>8- 现在，将游戏启动，你能体验到良好的稳定性能。</v>
      </c>
      <c r="I9" s="432" t="s">
        <v>7105</v>
      </c>
      <c r="J9" s="432" t="s">
        <v>7106</v>
      </c>
      <c r="K9" s="433" t="s">
        <v>7107</v>
      </c>
      <c r="L9" s="433" t="s">
        <v>7108</v>
      </c>
      <c r="M9" s="135"/>
      <c r="N9" s="135"/>
      <c r="O9" s="135"/>
      <c r="P9" s="135"/>
      <c r="Q9" s="135"/>
      <c r="R9" s="135"/>
      <c r="S9" s="135"/>
      <c r="T9" s="135"/>
      <c r="U9" s="135"/>
      <c r="V9" s="135"/>
      <c r="W9" s="135"/>
    </row>
    <row r="10">
      <c r="A10" s="430"/>
      <c r="B10" s="447" t="s">
        <v>7109</v>
      </c>
      <c r="C10" s="448"/>
      <c r="D10" s="449" t="s">
        <v>7110</v>
      </c>
      <c r="E10" s="450"/>
      <c r="F10" s="451" t="s">
        <v>7024</v>
      </c>
      <c r="G10" s="431"/>
      <c r="H10" s="452" t="s">
        <v>7111</v>
      </c>
      <c r="I10" s="453"/>
      <c r="J10" s="454" t="s">
        <v>7026</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