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J84">
      <text>
        <t xml:space="preserve">Human translation</t>
      </text>
    </comment>
    <comment authorId="0" ref="V84">
      <text>
        <t xml:space="preserve">Human Translator</t>
      </text>
    </comment>
    <comment authorId="0" ref="Z84">
      <text>
        <t xml:space="preserve">Human Translation
</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<sst xmlns="http://schemas.openxmlformats.org/spreadsheetml/2006/main" count="8232" uniqueCount="6844">
  <si>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</si>
  <si>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</si>
  <si>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</si>
  <si>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</si>
  <si>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</si>
  <si>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</si>
  <si>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</si>
  <si>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</si>
  <si>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</si>
  <si>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</si>
  <si>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</si>
  <si>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</si>
  <si>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</si>
  <si>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</si>
  <si>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</si>
  <si>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</si>
  <si>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</si>
  <si>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</si>
  <si>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</si>
  <si>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</si>
  <si>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</si>
  <si>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</si>
  <si>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</si>
  <si>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</si>
  <si>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</si>
  <si>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</si>
  <si>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</si>
  <si>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</si>
  <si>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</si>
  <si>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</si>
  <si>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</si>
  <si>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</si>
  <si>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</si>
  <si>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</si>
  <si>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</si>
  <si>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</si>
  <si>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</si>
  <si>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</si>
  <si>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</si>
  <si>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</si>
  <si>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</si>
  <si>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</si>
  <si>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</si>
  <si>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</si>
  <si>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</si>
  <si>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</si>
  <si>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</si>
  <si>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</si>
  <si>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</si>
  <si>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</si>
  <si>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</si>
  <si>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</si>
  <si>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</si>
  <si>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</si>
  <si>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</si>
  <si>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</si>
  <si>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</si>
  <si>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</si>
  <si>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</si>
  <si>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</si>
  <si>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</si>
  <si>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</si>
  <si>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</si>
  <si>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</si>
  <si>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</si>
  <si>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</si>
  <si>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</si>
  <si>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</si>
  <si>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</si>
  <si>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</si>
  <si>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</si>
  <si>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</si>
  <si>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</si>
  <si>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</si>
  <si>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</si>
  <si>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</si>
  <si>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</si>
  <si>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</si>
  <si>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</si>
  <si>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</si>
  <si>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</si>
  <si>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</si>
  <si>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</si>
  <si>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</si>
  <si>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</si>
  <si>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</si>
  <si>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</si>
  <si>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</si>
  <si>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</si>
  <si>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</si>
  <si>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</si>
  <si>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</si>
  <si>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</si>
  <si>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</si>
  <si>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</si>
  <si>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</si>
  <si>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</si>
  <si>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</si>
  <si>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</si>
  <si>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</si>
  <si>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</si>
  <si>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</si>
  <si>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</si>
  <si>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</si>
  <si>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</si>
  <si>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</si>
  <si>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</si>
  <si>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</si>
  <si>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</si>
  <si>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</si>
  <si>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</si>
  <si>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</si>
  <si>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</si>
  <si>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</si>
  <si>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</si>
  <si>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</si>
  <si>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</si>
  <si>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</si>
  <si>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</si>
  <si>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</si>
  <si>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</si>
  <si>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</si>
  <si>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</si>
  <si>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</si>
  <si>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</si>
  <si>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</si>
  <si>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</si>
  <si>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</si>
  <si>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</si>
  <si>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</si>
  <si>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</si>
  <si>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</si>
  <si>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</si>
  <si>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</si>
  <si>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</si>
  <si>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</si>
  <si>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</si>
  <si>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</si>
  <si>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</si>
  <si>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</si>
  <si>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</si>
  <si>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</si>
  <si>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</si>
  <si>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</si>
  <si>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</si>
  <si>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</si>
  <si>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</si>
  <si>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</si>
  <si>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</si>
  <si>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</si>
  <si>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</si>
  <si>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</si>
  <si>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</si>
  <si>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</si>
  <si>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</si>
  <si>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</si>
  <si>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</si>
  <si>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</si>
  <si>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</si>
  <si>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</si>
  <si>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</si>
  <si>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</si>
  <si>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</si>
  <si>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</si>
  <si>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</si>
  <si>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</si>
  <si>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</si>
  <si>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</si>
  <si>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</si>
  <si>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</si>
  <si>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</si>
  <si>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</si>
  <si>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</si>
  <si>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</si>
  <si>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</si>
  <si>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</si>
  <si>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</si>
  <si>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</si>
  <si>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</si>
  <si>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</si>
  <si>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</si>
  <si>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</si>
  <si>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</si>
  <si>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</si>
  <si>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</si>
  <si>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</si>
  <si>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</si>
  <si>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</si>
  <si>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</si>
  <si>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</si>
  <si>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</si>
  <si>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</si>
  <si>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</si>
  <si>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</si>
  <si>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</si>
  <si>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</si>
  <si>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</si>
  <si>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</si>
  <si>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</si>
  <si>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</si>
  <si>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</si>
  <si>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</si>
  <si>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</si>
  <si>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</si>
  <si>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</si>
  <si>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</si>
  <si>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</si>
  <si>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</si>
  <si>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</si>
  <si>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</si>
  <si>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</si>
  <si>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</si>
  <si>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</si>
  <si>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</si>
  <si>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</si>
  <si>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</si>
  <si>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</si>
  <si>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</si>
  <si>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</si>
  <si>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</si>
  <si>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</si>
  <si>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</si>
  <si>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</si>
  <si>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</si>
  <si>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</si>
  <si>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</si>
  <si>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</si>
  <si>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</si>
  <si>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</si>
  <si>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</si>
  <si>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</si>
  <si>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</si>
  <si>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</si>
  <si>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</si>
  <si>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</si>
  <si>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</si>
  <si>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</si>
  <si>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</si>
  <si>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</si>
  <si>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</si>
  <si>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</si>
  <si>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</si>
  <si>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</si>
  <si>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</si>
  <si>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</si>
  <si>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</si>
  <si>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</si>
  <si>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</si>
  <si>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</si>
  <si>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</si>
  <si>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</si>
  <si>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</si>
  <si>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</si>
  <si>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</si>
  <si>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</si>
  <si>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</si>
  <si>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</si>
  <si>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</si>
  <si>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</si>
  <si>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</si>
  <si>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</si>
  <si>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</si>
  <si>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</si>
  <si>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</si>
  <si>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</si>
  <si>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</si>
  <si>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</si>
  <si>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</si>
  <si>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</si>
  <si>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</si>
  <si>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</si>
  <si>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</si>
  <si>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</si>
  <si>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</si>
  <si>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</si>
  <si>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</si>
  <si>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</si>
  <si>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</si>
  <si>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</si>
  <si>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</si>
  <si>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</si>
  <si>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</si>
  <si>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</si>
  <si>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</si>
  <si>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</si>
  <si>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</si>
  <si>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</si>
  <si>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</si>
  <si>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</si>
  <si>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</si>
  <si>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</si>
  <si>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</si>
  <si>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</si>
  <si>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</si>
  <si>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</si>
  <si>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</si>
  <si>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</si>
  <si>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</si>
  <si>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</si>
  <si>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</si>
  <si>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</si>
  <si>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</si>
  <si>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</si>
  <si>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</si>
  <si>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</si>
  <si>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</si>
  <si>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</si>
  <si>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</si>
  <si>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</si>
  <si>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</si>
  <si>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</si>
  <si>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</si>
  <si>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</si>
  <si>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</si>
  <si>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</si>
  <si>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</si>
  <si>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</si>
  <si>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</si>
  <si>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</si>
  <si>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</si>
  <si>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</si>
  <si>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</si>
  <si>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</si>
  <si>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</si>
  <si>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</si>
  <si>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</si>
  <si>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</si>
  <si>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</si>
  <si>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</si>
  <si>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</si>
  <si>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</si>
  <si>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</si>
  <si>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</si>
  <si>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</si>
  <si>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</si>
  <si>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</si>
  <si>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</si>
  <si>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</si>
  <si>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</si>
  <si>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</si>
  <si>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</si>
  <si>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</si>
  <si>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</si>
  <si>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</si>
  <si>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</si>
  <si>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</si>
  <si>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</si>
  <si>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</si>
  <si>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</si>
  <si>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</si>
  <si>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</si>
  <si>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</si>
  <si>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</si>
  <si>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</si>
  <si>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</si>
  <si>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</si>
  <si>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</si>
  <si>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</si>
  <si>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</si>
  <si>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</si>
  <si>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</si>
  <si>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</si>
  <si>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</si>
  <si>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</si>
  <si>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</si>
  <si>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</si>
  <si>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</si>
  <si>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</si>
  <si>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</si>
  <si>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</si>
  <si>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</si>
  <si>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</si>
  <si>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</si>
  <si>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</si>
  <si>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</si>
  <si>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</si>
  <si>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</si>
  <si>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</si>
  <si>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</si>
  <si>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</si>
  <si>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</si>
  <si>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</si>
  <si>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</si>
  <si>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</si>
  <si>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</si>
  <si>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</si>
  <si>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</si>
  <si>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</si>
  <si>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</si>
  <si>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</si>
  <si>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</si>
  <si>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</si>
  <si>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</si>
  <si>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</si>
  <si>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</si>
  <si>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</si>
  <si>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</si>
  <si>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</si>
  <si>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</si>
  <si>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</si>
  <si>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</si>
  <si>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</si>
  <si>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</si>
  <si>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</si>
  <si>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</si>
  <si>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</si>
  <si>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</si>
  <si>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</si>
  <si>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</si>
  <si>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</si>
  <si>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</si>
  <si>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</si>
  <si>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</si>
  <si>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</si>
  <si>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</si>
  <si>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</si>
  <si>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</si>
  <si>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</si>
  <si>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</si>
  <si>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</si>
  <si>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</si>
  <si>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</si>
  <si>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</si>
  <si>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</si>
  <si>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</si>
  <si>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</si>
  <si>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</si>
  <si>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</si>
  <si>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</si>
  <si>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</si>
  <si>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</si>
  <si>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</si>
  <si>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</si>
  <si>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</si>
  <si>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</si>
  <si>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</si>
  <si>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</si>
  <si>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</si>
  <si>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</si>
  <si>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</si>
  <si>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</si>
  <si>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</si>
  <si>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</si>
  <si>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</si>
  <si>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</si>
  <si>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</si>
  <si>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</si>
  <si>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</si>
  <si>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</si>
  <si>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</si>
  <si>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</si>
  <si>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</si>
  <si>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</si>
  <si>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</si>
  <si>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</si>
  <si>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</si>
  <si>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</si>
  <si>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</si>
  <si>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</si>
  <si>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</si>
  <si>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</si>
  <si>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</si>
  <si>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</si>
  <si>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</si>
  <si>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</si>
  <si>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</si>
  <si>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</si>
  <si>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</si>
  <si>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</si>
  <si>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</si>
  <si>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</si>
  <si>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</si>
  <si>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</si>
  <si>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</si>
  <si>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</si>
  <si>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</si>
  <si>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</si>
  <si>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</si>
  <si>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</si>
  <si>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</si>
  <si>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</si>
  <si>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</si>
  <si>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</si>
  <si>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</si>
  <si>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</si>
  <si>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</si>
  <si>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</si>
  <si>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</si>
  <si>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</si>
  <si>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</si>
  <si>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</si>
  <si>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</si>
  <si>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</si>
  <si>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</si>
  <si>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</si>
  <si>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</si>
  <si>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</si>
  <si>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</si>
  <si>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</si>
  <si>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</si>
  <si>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</si>
  <si>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</si>
  <si>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</si>
  <si>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</si>
  <si>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</si>
  <si>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</si>
  <si>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</si>
  <si>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</si>
  <si>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</si>
  <si>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</si>
  <si>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</si>
  <si>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</si>
  <si>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</si>
  <si>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</si>
  <si>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</si>
  <si>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</si>
  <si>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</si>
  <si>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</si>
  <si>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</si>
  <si>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</si>
  <si>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</si>
  <si>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</si>
  <si>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</si>
  <si>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</si>
  <si>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</si>
  <si>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</si>
  <si>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</si>
  <si>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</si>
  <si>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</si>
  <si>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</si>
  <si>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</si>
  <si>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</si>
  <si>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</si>
  <si>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</si>
  <si>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</si>
  <si>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</si>
  <si>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</si>
  <si>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</si>
  <si>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</si>
  <si>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</si>
  <si>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</si>
  <si>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</si>
  <si>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</si>
  <si>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</si>
  <si>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</si>
  <si>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</si>
  <si>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</si>
  <si>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</si>
  <si>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</si>
  <si>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</si>
  <si>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</si>
  <si>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</si>
  <si>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</si>
  <si>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</si>
  <si>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</si>
  <si>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</si>
  <si>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</si>
  <si>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</si>
  <si>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</si>
  <si>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</si>
  <si>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</si>
  <si>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</si>
  <si>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</si>
  <si>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</si>
  <si>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</si>
  <si>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</si>
  <si>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</si>
  <si>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</si>
  <si>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</si>
  <si>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</si>
  <si>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</si>
  <si>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</si>
  <si>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</si>
  <si>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</si>
  <si>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</si>
  <si>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</si>
  <si>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</si>
  <si>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</si>
  <si>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</si>
  <si>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</si>
  <si>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</si>
  <si>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</si>
  <si>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</si>
  <si>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</si>
  <si>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</si>
  <si>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</si>
  <si>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</si>
  <si>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</si>
  <si>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</si>
  <si>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</si>
  <si>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</si>
  <si>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</si>
  <si>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</si>
  <si>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</si>
  <si>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</si>
  <si>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</si>
  <si>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</si>
  <si>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</si>
  <si>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</si>
  <si>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</si>
  <si>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</si>
  <si>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</si>
  <si>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</si>
  <si>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</si>
  <si>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</si>
  <si>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</si>
  <si>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</si>
  <si>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</si>
  <si>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</si>
  <si>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</si>
  <si>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</si>
  <si>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</si>
  <si>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</si>
  <si>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</si>
  <si>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</si>
  <si>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</si>
  <si>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</si>
  <si>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</si>
  <si>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</si>
  <si>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</si>
  <si>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</si>
  <si>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</si>
  <si>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</si>
  <si>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</si>
  <si>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</si>
  <si>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</si>
  <si>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</si>
  <si>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</si>
  <si>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</si>
  <si>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</si>
  <si>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</si>
  <si>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</si>
  <si>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</si>
  <si>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</si>
  <si>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</si>
  <si>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</si>
  <si>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</si>
  <si>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</si>
  <si>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</si>
  <si>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</si>
  <si>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</si>
  <si>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</si>
  <si>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</si>
  <si>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</si>
  <si>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</si>
  <si>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</si>
  <si>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</si>
  <si>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</si>
  <si>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</si>
  <si>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</si>
  <si>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</si>
  <si>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</si>
  <si>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</si>
  <si>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</si>
  <si>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</si>
  <si>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</si>
  <si>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</si>
  <si>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</si>
  <si>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</si>
  <si>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</si>
  <si>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</si>
  <si>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</si>
  <si>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</si>
  <si>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</si>
  <si>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</si>
  <si>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</si>
  <si>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</si>
  <si>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</si>
  <si>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</si>
  <si>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</si>
  <si>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</si>
  <si>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</si>
  <si>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</si>
  <si>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</si>
  <si>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</si>
  <si>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</si>
  <si>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</si>
  <si>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</si>
  <si>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</si>
  <si>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</si>
  <si>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</si>
  <si>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</si>
  <si>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</si>
  <si>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</si>
  <si>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</si>
  <si>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</si>
  <si>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</si>
  <si>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</si>
  <si>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</si>
  <si>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</si>
  <si>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</si>
  <si>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</si>
  <si>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</si>
  <si>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</si>
  <si>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</si>
  <si>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</si>
  <si>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</si>
  <si>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</si>
  <si>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</si>
  <si>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</si>
  <si>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</si>
  <si>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</si>
  <si>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</si>
  <si>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</si>
  <si>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</si>
  <si>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</si>
  <si>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</si>
  <si>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</si>
  <si>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</si>
  <si>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</si>
  <si>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</si>
  <si>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</si>
  <si>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</si>
  <si>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</si>
  <si>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</si>
  <si>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</si>
  <si>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</si>
  <si>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</si>
  <si>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</si>
  <si>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</si>
  <si>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</si>
  <si>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</si>
  <si>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</si>
  <si>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</si>
  <si>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</si>
  <si>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</si>
  <si>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</si>
  <si>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</si>
  <si>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</si>
  <si>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</si>
  <si>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</si>
  <si>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</si>
  <si>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</si>
  <si>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</si>
  <si>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</si>
  <si>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</si>
  <si>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</si>
  <si>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</si>
  <si>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</si>
  <si>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</si>
  <si>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</si>
  <si>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</si>
  <si>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</si>
  <si>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</si>
  <si>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</si>
  <si>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</si>
  <si>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</si>
  <si>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</si>
  <si>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</si>
  <si>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</si>
  <si>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</si>
  <si>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</si>
  <si>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</si>
  <si>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</si>
  <si>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</si>
  <si>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</si>
  <si>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</si>
  <si>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</si>
  <si>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</si>
  <si>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</si>
  <si>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</si>
  <si>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</si>
  <si>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</si>
  <si>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</si>
  <si>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</si>
  <si>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</si>
  <si>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</si>
  <si>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</si>
  <si>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</si>
  <si>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</si>
  <si>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</si>
  <si>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</si>
  <si>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</si>
  <si>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</si>
  <si>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</si>
  <si>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</si>
  <si>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</si>
  <si>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</si>
  <si>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</si>
  <si>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</si>
  <si>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</si>
  <si>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</si>
  <si>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</si>
  <si>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</si>
  <si>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</si>
  <si>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</si>
  <si>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</si>
  <si>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</si>
  <si>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</si>
  <si>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</si>
  <si>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</si>
  <si>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</si>
  <si>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</si>
  <si>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</si>
  <si>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</si>
  <si>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</si>
  <si>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</si>
  <si>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</si>
  <si>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</si>
  <si>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</si>
  <si>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</si>
  <si>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</si>
  <si>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</si>
  <si>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</si>
  <si>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</si>
  <si>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</si>
  <si>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</si>
  <si>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</si>
  <si>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</si>
  <si>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</si>
  <si>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</si>
  <si>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</si>
  <si>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</si>
  <si>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</si>
  <si>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</si>
  <si>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</si>
  <si>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</si>
  <si>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</si>
  <si>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</si>
  <si>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</si>
  <si>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</si>
  <si>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</si>
  <si>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</si>
  <si>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</si>
  <si>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</si>
  <si>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</si>
  <si>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</si>
  <si>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</si>
  <si>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</si>
  <si>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</si>
  <si>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</si>
  <si>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</si>
  <si>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</si>
  <si>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</si>
  <si>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</si>
  <si>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</si>
  <si>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</si>
  <si>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</si>
  <si>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</si>
  <si>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</si>
  <si>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</si>
  <si>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</si>
  <si>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</si>
  <si>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</si>
  <si>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</si>
  <si>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</si>
  <si>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</si>
  <si>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</si>
  <si>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</si>
  <si>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</si>
  <si>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</si>
  <si>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</si>
  <si>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</si>
  <si>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</si>
  <si>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</si>
  <si>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</si>
  <si>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</si>
  <si>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</si>
  <si>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</si>
  <si>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</si>
  <si>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</si>
  <si>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</si>
  <si>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</si>
  <si>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</si>
  <si>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</si>
  <si>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</si>
  <si>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</si>
  <si>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</si>
  <si>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</si>
  <si>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</si>
  <si>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</si>
  <si>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</si>
  <si>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</si>
  <si>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</si>
  <si>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</si>
  <si>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</si>
  <si>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</si>
  <si>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</si>
  <si>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</si>
  <si>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</si>
  <si>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</si>
  <si>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</si>
  <si>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</si>
  <si>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</si>
  <si>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</si>
  <si>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</si>
  <si>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</si>
  <si>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</si>
  <si>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</si>
  <si>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</si>
  <si>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</si>
  <si>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</si>
  <si>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</si>
  <si>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</si>
  <si>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</si>
  <si>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</si>
  <si>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</si>
  <si>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</si>
  <si>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</si>
  <si>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</si>
  <si>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</si>
  <si>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</si>
  <si>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</si>
  <si>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</si>
  <si>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</si>
  <si>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</si>
  <si>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</si>
  <si>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</si>
  <si>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</si>
  <si>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</si>
  <si>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</si>
  <si>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</si>
  <si>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</si>
  <si>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</si>
  <si>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</si>
  <si>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</si>
  <si>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</si>
  <si>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</si>
  <si>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</si>
  <si>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</si>
  <si>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</si>
  <si>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</si>
  <si>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</si>
  <si>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</si>
  <si>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</si>
  <si>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</si>
  <si>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</si>
  <si>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</si>
  <si>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</si>
  <si>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</si>
  <si>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</si>
  <si>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</si>
  <si>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</si>
  <si>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</si>
  <si>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</si>
  <si>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</si>
  <si>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</si>
  <si>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</si>
  <si>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</si>
  <si>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</si>
  <si>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</si>
  <si>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</si>
  <si>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</si>
  <si>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</si>
  <si>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</si>
  <si>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</si>
  <si>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</si>
  <si>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</si>
  <si>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</si>
  <si>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</si>
  <si>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</si>
  <si>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</si>
  <si>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</si>
  <si>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</si>
  <si>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</si>
  <si>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</si>
  <si>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</si>
  <si>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</si>
  <si>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</si>
  <si>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</si>
  <si>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</si>
  <si>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</si>
  <si>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</si>
  <si>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</si>
  <si>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</si>
  <si>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</si>
  <si>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</si>
  <si>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</si>
  <si>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</si>
  <si>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</si>
  <si>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</si>
  <si>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</si>
  <si>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</si>
  <si>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</si>
  <si>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</si>
  <si>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</si>
  <si>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</si>
  <si>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</si>
  <si>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</si>
  <si>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</si>
  <si>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</si>
  <si>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</si>
  <si>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</si>
  <si>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</si>
  <si>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</si>
  <si>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</si>
  <si>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</si>
  <si>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</si>
  <si>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</si>
  <si>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</si>
  <si>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</si>
  <si>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</si>
  <si>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</si>
  <si>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</si>
  <si>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</si>
  <si>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</si>
  <si>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</si>
  <si>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</si>
  <si>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</si>
  <si>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</si>
  <si>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</si>
  <si>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</si>
  <si>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</si>
  <si>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</si>
  <si>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</si>
  <si>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</si>
  <si>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</si>
  <si>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</si>
  <si>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</si>
  <si>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</si>
  <si>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</si>
  <si>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</si>
  <si>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</si>
  <si>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</si>
  <si>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</si>
  <si>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</si>
  <si>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</si>
  <si>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</si>
  <si>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</si>
  <si>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</si>
  <si>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</si>
  <si>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</si>
  <si>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</si>
  <si>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</si>
  <si>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</si>
  <si>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</si>
  <si>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</si>
  <si>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</si>
  <si>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</si>
  <si>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</si>
  <si>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</si>
  <si>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</si>
  <si>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</si>
  <si>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</si>
  <si>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</si>
  <si>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</si>
  <si>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</si>
  <si>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</si>
  <si>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</si>
  <si>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</si>
  <si>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</si>
  <si>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</si>
  <si>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</si>
  <si>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</si>
  <si>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</si>
  <si>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</si>
  <si>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</si>
  <si>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</si>
  <si>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</si>
  <si>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</si>
  <si>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</si>
  <si>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</si>
  <si>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</si>
  <si>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</si>
  <si>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</si>
  <si>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</si>
  <si>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</si>
  <si>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</si>
  <si>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</si>
  <si>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</si>
  <si>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</si>
  <si>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</si>
  <si>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</si>
  <si>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</si>
  <si>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</si>
  <si>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</si>
  <si>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</si>
  <si>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</si>
  <si>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</si>
  <si>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</si>
  <si>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</si>
  <si>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</si>
  <si>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</si>
  <si>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</si>
  <si>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</si>
  <si>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</si>
  <si>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</si>
  <si>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</si>
  <si>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</si>
  <si>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</si>
  <si>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</si>
  <si>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</si>
  <si>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</si>
  <si>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</si>
  <si>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</si>
  <si>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</si>
  <si>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</si>
  <si>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</si>
  <si>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</si>
  <si>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</si>
  <si>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</si>
  <si>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</si>
  <si>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</si>
  <si>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</si>
  <si>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</si>
  <si>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</si>
  <si>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</si>
  <si>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</si>
  <si>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</si>
  <si>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</si>
  <si>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</si>
  <si>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</si>
  <si>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</si>
  <si>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</si>
  <si>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</si>
  <si>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</si>
  <si>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</si>
  <si>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</si>
  <si>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</si>
  <si>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</si>
  <si>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</si>
  <si>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</si>
  <si>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</si>
  <si>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</si>
  <si>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</si>
  <si>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</si>
  <si>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</si>
  <si>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</si>
  <si>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</si>
  <si>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</si>
  <si>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</si>
  <si>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</si>
  <si>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</si>
  <si>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</si>
  <si>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</si>
  <si>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</si>
  <si>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</si>
  <si>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</si>
  <si>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</si>
  <si>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</si>
  <si>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</si>
  <si>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</si>
  <si>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</si>
  <si>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</si>
  <si>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</si>
  <si>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</si>
  <si>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</si>
  <si>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</si>
  <si>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</si>
  <si>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</si>
  <si>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</si>
  <si>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</si>
  <si>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</si>
  <si>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</si>
  <si>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</si>
  <si>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</si>
  <si>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</si>
  <si>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</si>
  <si>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</si>
  <si>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</si>
  <si>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</si>
  <si>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</si>
  <si>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</si>
  <si>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</si>
  <si>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</si>
  <si>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</si>
  <si>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</si>
  <si>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</si>
  <si>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</si>
  <si>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</si>
  <si>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</si>
  <si>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</si>
  <si>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</si>
  <si>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</si>
  <si>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</si>
  <si>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</si>
  <si>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</si>
  <si>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</si>
  <si>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</si>
  <si>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</si>
  <si>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</si>
  <si>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</si>
  <si>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</si>
  <si>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</si>
  <si>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</si>
  <si>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</si>
  <si>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</si>
  <si>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</si>
  <si>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</si>
  <si>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</si>
  <si>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</si>
  <si>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</si>
  <si>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</si>
  <si>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</si>
  <si>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</si>
  <si>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</si>
  <si>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</si>
  <si>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</si>
  <si>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</si>
  <si>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</si>
  <si>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</si>
  <si>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</si>
  <si>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</si>
  <si>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</si>
  <si>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</si>
  <si>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</si>
  <si>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</si>
  <si>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</si>
  <si>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</si>
  <si>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</si>
  <si>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</si>
  <si>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</si>
  <si>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</si>
  <si>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</si>
  <si>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</si>
  <si>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</si>
  <si>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</si>
  <si>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</si>
  <si>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</si>
  <si>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</si>
  <si>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</si>
  <si>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</si>
  <si>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</si>
  <si>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</si>
  <si>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</si>
  <si>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</si>
  <si>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</si>
  <si>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</si>
  <si>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</si>
  <si>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</si>
  <si>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</si>
  <si>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</si>
  <si>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</si>
  <si>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</si>
  <si>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</si>
  <si>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</si>
  <si>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</si>
  <si>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</si>
  <si>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</si>
  <si>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</si>
  <si>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</si>
  <si>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</si>
  <si>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</si>
  <si>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</si>
  <si>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</si>
  <si>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</si>
  <si>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</si>
  <si>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</si>
  <si>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</si>
  <si>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</si>
  <si>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</si>
  <si>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</si>
  <si>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</si>
  <si>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</si>
  <si>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</si>
  <si>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</si>
  <si>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</si>
  <si>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</si>
  <si>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</si>
  <si>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</si>
  <si>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</si>
  <si>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</si>
  <si>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</si>
  <si>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</si>
  <si>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</si>
  <si>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</si>
  <si>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</si>
  <si>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</si>
  <si>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</si>
  <si>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</si>
  <si>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</si>
  <si>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</si>
  <si>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</si>
  <si>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</si>
  <si>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</si>
  <si>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</si>
  <si>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</si>
  <si>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</si>
  <si>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</si>
  <si>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</si>
  <si>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</si>
  <si>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</si>
  <si>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</si>
  <si>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</si>
  <si>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</si>
  <si>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</si>
  <si>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</si>
  <si>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</si>
  <si>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</si>
  <si>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</si>
  <si>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</si>
  <si>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</si>
  <si>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</si>
  <si>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</si>
  <si>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</si>
  <si>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</si>
  <si>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</si>
  <si>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</si>
  <si>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</si>
  <si>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</si>
  <si>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</si>
  <si>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</si>
  <si>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</si>
  <si>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</si>
  <si>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</si>
  <si>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</si>
  <si>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</si>
  <si>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</si>
  <si>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</si>
  <si>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</si>
  <si>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</si>
  <si>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</si>
  <si>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</si>
  <si>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</si>
  <si>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</si>
  <si>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</si>
  <si>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</si>
  <si>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</si>
  <si>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</si>
  <si>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</si>
  <si>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</si>
  <si>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</si>
  <si>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</si>
  <si>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</si>
  <si>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</si>
  <si>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</si>
  <si>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</si>
  <si>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</si>
  <si>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</si>
  <si>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</si>
  <si>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</si>
  <si>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</si>
  <si>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</si>
  <si>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</si>
  <si>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</si>
  <si>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</si>
  <si>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</si>
  <si>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</si>
  <si>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</si>
  <si>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</si>
  <si>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</si>
  <si>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</si>
  <si>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</si>
  <si>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</si>
  <si>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</si>
  <si>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</si>
  <si>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</si>
  <si>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</si>
  <si>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</si>
  <si>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</si>
  <si>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</si>
  <si>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</si>
  <si>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</si>
  <si>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</si>
  <si>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</si>
  <si>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</si>
  <si>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</si>
  <si>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</si>
  <si>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</si>
  <si>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</si>
  <si>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</si>
  <si>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</si>
  <si>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</si>
  <si>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</si>
  <si>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</si>
  <si>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</si>
  <si>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</si>
  <si>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</si>
  <si>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</si>
  <si>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</si>
  <si>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</si>
  <si>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</si>
  <si>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</si>
  <si>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</si>
  <si>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</si>
  <si>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</si>
  <si>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</si>
  <si>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</si>
  <si>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</si>
  <si>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</si>
  <si>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</si>
  <si>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</si>
  <si>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</si>
  <si>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</si>
  <si>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</si>
  <si>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</si>
  <si>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</si>
  <si>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</si>
  <si>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</si>
  <si>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</si>
  <si>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</si>
  <si>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</si>
  <si>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</si>
  <si>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</si>
  <si>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</si>
  <si>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</si>
  <si>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</si>
  <si>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</si>
  <si>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</si>
  <si>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</si>
  <si>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</si>
  <si>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</si>
  <si>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</si>
  <si>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</si>
  <si>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</si>
  <si>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</si>
  <si>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</si>
  <si>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</si>
  <si>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</si>
  <si>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</si>
  <si>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</si>
  <si>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</si>
  <si>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</si>
  <si>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</si>
  <si>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</si>
  <si>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</si>
  <si>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</si>
  <si>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</si>
  <si>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</si>
  <si>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</si>
  <si>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</si>
  <si>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</si>
  <si>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</si>
  <si>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</si>
  <si>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</si>
  <si>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</si>
  <si>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</si>
  <si>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</si>
  <si>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</si>
  <si>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</si>
  <si>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</si>
  <si>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</si>
  <si>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</si>
  <si>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</si>
  <si>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</si>
  <si>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</si>
  <si>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</si>
  <si>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</si>
  <si>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</si>
  <si>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</si>
  <si>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</si>
  <si>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</si>
  <si>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</si>
  <si>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</si>
  <si>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</si>
  <si>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</si>
  <si>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</si>
  <si>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</si>
  <si>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</si>
  <si>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</si>
  <si>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</si>
  <si>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</si>
  <si>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</si>
  <si>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</si>
  <si>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</si>
  <si>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</si>
  <si>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</si>
  <si>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</si>
  <si>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</si>
  <si>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</si>
  <si>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</si>
  <si>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</si>
  <si>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</si>
  <si>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</si>
  <si>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</si>
  <si>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</si>
  <si>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</si>
  <si>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</si>
  <si>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</si>
  <si>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</si>
  <si>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</si>
  <si>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</si>
  <si>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</si>
  <si>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</si>
  <si>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</si>
  <si>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</si>
  <si>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</si>
  <si>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</si>
  <si>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</si>
  <si>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</si>
  <si>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</si>
  <si>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</si>
  <si>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</si>
  <si>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</si>
  <si>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</si>
  <si>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</si>
  <si>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</si>
  <si>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</si>
  <si>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</si>
  <si>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</si>
  <si>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</si>
  <si>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</si>
  <si>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</si>
  <si>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</si>
  <si>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</si>
  <si>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</si>
  <si>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</si>
  <si>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</si>
  <si>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</si>
  <si>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</si>
  <si>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</si>
  <si>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</si>
  <si>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</si>
  <si>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</si>
  <si>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</si>
  <si>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</si>
  <si>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</si>
  <si>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</si>
  <si>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</si>
  <si>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</si>
  <si>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</si>
  <si>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</si>
  <si>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</si>
  <si>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</si>
  <si>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</si>
  <si>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</si>
  <si>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</si>
  <si>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</si>
  <si>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</si>
  <si>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</si>
  <si>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</si>
  <si>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</si>
  <si>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</si>
  <si>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</si>
  <si>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</si>
  <si>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</si>
  <si>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</si>
  <si>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</si>
  <si>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</si>
  <si>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</si>
  <si>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</si>
  <si>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</si>
  <si>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</si>
  <si>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</si>
  <si>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</si>
  <si>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</si>
  <si>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</si>
  <si>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</si>
  <si>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</si>
  <si>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</si>
  <si>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</si>
  <si>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</si>
  <si>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</si>
  <si>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</si>
  <si>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</si>
  <si>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</si>
  <si>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</si>
  <si>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</si>
  <si>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</si>
  <si>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</si>
  <si>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</si>
  <si>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</si>
  <si>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</si>
  <si>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</si>
  <si>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</si>
  <si>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</si>
  <si>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</si>
  <si>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</si>
  <si>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</si>
  <si>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</si>
  <si>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</si>
  <si>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</si>
  <si>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</si>
  <si>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</si>
  <si>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</si>
  <si>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</si>
  <si>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</si>
  <si>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</si>
  <si>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</si>
  <si>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</si>
  <si>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</si>
  <si>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</si>
  <si>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</si>
  <si>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</si>
  <si>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</si>
  <si>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</si>
  <si>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</si>
  <si>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</si>
  <si>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</si>
  <si>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</si>
  <si>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</si>
  <si>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</si>
  <si>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</si>
  <si>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</si>
  <si>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</si>
  <si>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</si>
  <si>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</si>
  <si>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</si>
  <si>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</si>
  <si>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</si>
  <si>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</si>
  <si>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</si>
  <si>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</si>
  <si>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</si>
  <si>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</si>
  <si>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</si>
  <si>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</si>
  <si>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</si>
  <si>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</si>
  <si>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</si>
  <si>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</si>
  <si>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</si>
  <si>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</si>
  <si>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</si>
  <si>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</si>
  <si>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</si>
  <si>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</si>
  <si>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</si>
  <si>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</si>
  <si>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</si>
  <si>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</si>
  <si>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</si>
  <si>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</si>
  <si>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</si>
  <si>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</si>
  <si>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</si>
  <si>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</si>
  <si>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</si>
  <si>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</si>
  <si>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</si>
  <si>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</si>
  <si>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</si>
  <si>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</si>
  <si>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</si>
  <si>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</si>
  <si>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</si>
  <si>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</si>
  <si>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</si>
  <si>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</si>
  <si>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</si>
  <si>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</si>
  <si>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</si>
  <si>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</si>
  <si>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</si>
  <si>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</si>
  <si>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</si>
  <si>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</si>
  <si>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</si>
  <si>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</si>
  <si>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</si>
  <si>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</si>
  <si>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</si>
  <si>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</si>
  <si>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</si>
  <si>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</si>
  <si>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</si>
  <si>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</si>
  <si>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</si>
  <si>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</si>
  <si>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</si>
  <si>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</si>
  <si>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</si>
  <si>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</si>
  <si>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</si>
  <si>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</si>
  <si>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</si>
  <si>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</si>
  <si>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</si>
  <si>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</si>
  <si>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</si>
  <si>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</si>
  <si>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</si>
  <si>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</si>
  <si>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</si>
  <si>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</si>
  <si>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</si>
  <si>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</si>
  <si>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</si>
  <si>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</si>
  <si>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</si>
  <si>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</si>
  <si>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</si>
  <si>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</si>
  <si>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</si>
  <si>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</si>
  <si>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</si>
  <si>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</si>
  <si>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</si>
  <si>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</si>
  <si>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</si>
  <si>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</si>
  <si>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</si>
  <si>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</si>
  <si>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</si>
  <si>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</si>
  <si>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</si>
  <si>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</si>
  <si>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</si>
  <si>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</si>
  <si>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</si>
  <si>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</si>
  <si>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</si>
  <si>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</si>
  <si>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</si>
  <si>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</si>
  <si>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</si>
  <si>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</si>
  <si>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</si>
  <si>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</si>
  <si>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</si>
  <si>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</si>
  <si>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</si>
  <si>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</si>
  <si>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</si>
  <si>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</si>
  <si>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</si>
  <si>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</si>
  <si>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</si>
  <si>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</si>
  <si>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</si>
  <si>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</si>
  <si>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</si>
  <si>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</si>
  <si>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</si>
  <si>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</si>
  <si>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</si>
  <si>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</si>
  <si>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</si>
  <si>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</si>
  <si>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</si>
  <si>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</si>
  <si>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</si>
  <si>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</si>
  <si>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</si>
  <si>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</si>
  <si>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</si>
  <si>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</si>
  <si>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</si>
  <si>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</si>
  <si>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</si>
  <si>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</si>
  <si>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</si>
  <si>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</si>
  <si>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</si>
  <si>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</si>
  <si>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</si>
  <si>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</si>
  <si>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</si>
  <si>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</si>
  <si>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</si>
  <si>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</si>
  <si>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</si>
  <si>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</si>
  <si>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</si>
  <si>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</si>
  <si>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</si>
  <si>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Where is the guide?</t>
  </si>
  <si>
    <t>In Adventurer's Path: Gathering Point, the "Ghost Girl in a Dress" will show up during sunny days (not hot)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</si>
  <si>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</si>
  <si>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</si>
  <si>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</si>
  <si>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</si>
  <si>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</si>
  <si>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</si>
  <si>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</si>
  <si>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</si>
  <si>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</si>
  <si>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</si>
  <si>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</si>
  <si>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</si>
  <si>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</si>
  <si>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</si>
  <si>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</si>
  <si>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</si>
  <si>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</si>
  <si>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</si>
  <si>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</si>
  <si>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</si>
  <si>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</si>
  <si>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</si>
  <si>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</si>
  <si>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</si>
  <si>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</si>
  <si>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</si>
  <si>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</si>
  <si>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</si>
  <si>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</si>
  <si>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</si>
  <si>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</si>
  <si>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</si>
  <si>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</si>
  <si>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</si>
  <si>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</si>
  <si>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</si>
  <si>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</si>
  <si>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</si>
  <si>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</si>
  <si>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</si>
  <si>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</si>
  <si>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</si>
  <si>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</si>
  <si>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</si>
  <si>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</si>
  <si>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</si>
  <si>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</si>
  <si>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</si>
  <si>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</si>
  <si>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</si>
  <si>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</si>
  <si>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</si>
  <si>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</si>
  <si>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</si>
  <si>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</si>
  <si>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</si>
  <si>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</si>
  <si>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</si>
  <si>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</si>
  <si>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</si>
  <si>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</si>
  <si>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</si>
  <si>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</si>
  <si>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</si>
  <si>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</si>
  <si>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</si>
  <si>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</si>
  <si>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</si>
  <si>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</si>
  <si>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</si>
  <si>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</si>
  <si>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</si>
  <si>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</si>
  <si>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</si>
  <si>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</si>
  <si>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</si>
  <si>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</si>
  <si>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</si>
  <si>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</si>
  <si>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</si>
  <si>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</si>
  <si>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</si>
  <si>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</si>
  <si>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</si>
  <si>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</si>
  <si>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</si>
  <si>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</si>
  <si>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</si>
  <si>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</si>
  <si>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</si>
  <si>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</si>
  <si>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</si>
  <si>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</si>
  <si>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</si>
  <si>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</si>
  <si>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</si>
  <si>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</si>
  <si>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</si>
  <si>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</si>
  <si>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</si>
  <si>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</si>
  <si>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</si>
  <si>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</si>
  <si>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</si>
  <si>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</si>
  <si>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</si>
  <si>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</si>
  <si>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</si>
  <si>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</si>
  <si>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</si>
  <si>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</si>
  <si>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</si>
  <si>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</si>
  <si>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</si>
  <si>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</si>
  <si>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</si>
  <si>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</si>
  <si>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</si>
  <si>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</si>
  <si>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</si>
  <si>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</si>
  <si>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</si>
  <si>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</si>
  <si>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</si>
  <si>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</si>
  <si>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</si>
  <si>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</si>
  <si>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</si>
  <si>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</si>
  <si>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</si>
  <si>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</si>
  <si>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</si>
  <si>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</si>
  <si>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</si>
  <si>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</si>
  <si>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</si>
  <si>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</si>
  <si>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</si>
  <si>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</si>
  <si>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</si>
  <si>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</si>
  <si>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</si>
  <si>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</si>
  <si>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</si>
  <si>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</si>
  <si>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</si>
  <si>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</si>
  <si>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</si>
  <si>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</si>
  <si>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</si>
  <si>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</si>
  <si>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</si>
  <si>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</si>
  <si>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</si>
  <si>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</si>
  <si>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</si>
  <si>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</si>
  <si>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</si>
  <si>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</si>
  <si>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</si>
  <si>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</si>
  <si>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</si>
  <si>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</si>
  <si>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</si>
  <si>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</si>
  <si>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</si>
  <si>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</si>
  <si>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</si>
  <si>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</si>
  <si>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</si>
  <si>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</si>
  <si>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</si>
  <si>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</si>
  <si>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</si>
  <si>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</si>
  <si>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</si>
  <si>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</si>
  <si>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</si>
  <si>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</si>
  <si>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</si>
  <si>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</si>
  <si>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</si>
  <si>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</si>
  <si>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</si>
  <si>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</si>
  <si>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</si>
  <si>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</si>
  <si>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</si>
  <si>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</si>
  <si>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</si>
  <si>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</si>
  <si>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</si>
  <si>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</si>
  <si>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</si>
  <si>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</si>
  <si>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</si>
  <si>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</si>
  <si>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</si>
  <si>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</si>
  <si>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</si>
  <si>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</si>
  <si>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</si>
  <si>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</si>
  <si>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</si>
  <si>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</si>
  <si>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</si>
  <si>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</si>
  <si>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</si>
  <si>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</si>
  <si>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</si>
  <si>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</si>
  <si>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</si>
  <si>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</si>
  <si>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</si>
  <si>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</si>
  <si>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</si>
  <si>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</si>
  <si>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</si>
  <si>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</si>
  <si>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</si>
  <si>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</si>
  <si>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</si>
  <si>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</si>
  <si>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</si>
  <si>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</si>
  <si>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</si>
  <si>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</si>
  <si>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</si>
  <si>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</si>
  <si>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</si>
  <si>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</si>
  <si>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</si>
  <si>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</si>
  <si>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</si>
  <si>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</si>
  <si>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</si>
  <si>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</si>
  <si>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</si>
  <si>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</si>
  <si>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</si>
  <si>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</si>
  <si>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</si>
  <si>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</si>
  <si>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</si>
  <si>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</si>
  <si>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</si>
  <si>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</si>
  <si>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</si>
  <si>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</si>
  <si>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</si>
  <si>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</si>
  <si>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</si>
  <si>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</si>
  <si>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</si>
  <si>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</si>
  <si>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</si>
  <si>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</si>
  <si>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</si>
  <si>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</si>
  <si>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</si>
  <si>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</si>
  <si>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</si>
  <si>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</si>
  <si>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</si>
  <si>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</si>
  <si>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</si>
  <si>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</si>
  <si>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</si>
  <si>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</si>
  <si>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</si>
  <si>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</si>
  <si>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</si>
  <si>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</si>
  <si>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</si>
  <si>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</si>
  <si>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</si>
  <si>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</si>
  <si>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</si>
  <si>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</si>
  <si>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</si>
  <si>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</si>
  <si>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</si>
  <si>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</si>
  <si>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</si>
  <si>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</si>
  <si>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</si>
  <si>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</si>
  <si>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</si>
  <si>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</si>
  <si>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</si>
  <si>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</si>
  <si>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</si>
  <si>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</si>
  <si>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</si>
  <si>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</si>
  <si>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</si>
  <si>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</si>
  <si>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</si>
  <si>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</si>
  <si>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</si>
  <si>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</si>
  <si>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</si>
  <si>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</si>
  <si>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</si>
  <si>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</si>
  <si>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</si>
  <si>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</si>
  <si>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</si>
  <si>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</si>
  <si>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</si>
  <si>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</si>
  <si>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</si>
  <si>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</si>
  <si>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</si>
  <si>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</si>
  <si>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</si>
  <si>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</si>
  <si>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</si>
  <si>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</si>
  <si>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</si>
  <si>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</si>
  <si>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</si>
  <si>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</si>
  <si>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</si>
  <si>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</si>
  <si>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</si>
  <si>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</si>
  <si>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</si>
  <si>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</si>
  <si>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</si>
  <si>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</si>
  <si>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</si>
  <si>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</si>
  <si>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</si>
  <si>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</si>
  <si>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</si>
  <si>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</si>
  <si>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</si>
  <si>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</si>
  <si>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</si>
  <si>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</si>
  <si>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</si>
  <si>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</si>
  <si>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</si>
  <si>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</si>
  <si>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</si>
  <si>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</si>
  <si>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</si>
  <si>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</si>
  <si>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</si>
  <si>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</si>
  <si>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</si>
  <si>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</si>
  <si>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</si>
  <si>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</si>
  <si>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</si>
  <si>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</si>
  <si>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</si>
  <si>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</si>
  <si>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</si>
  <si>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</si>
  <si>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</si>
  <si>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</si>
  <si>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</si>
  <si>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</si>
  <si>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</si>
  <si>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</si>
  <si>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</si>
  <si>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</si>
  <si>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</si>
  <si>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</si>
  <si>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</si>
  <si>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</si>
  <si>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</si>
  <si>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</si>
  <si>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</si>
  <si>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</si>
  <si>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</si>
  <si>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</si>
  <si>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</si>
  <si>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</si>
  <si>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</si>
  <si>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</si>
  <si>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</si>
  <si>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</si>
  <si>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</si>
  <si>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</si>
  <si>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</si>
  <si>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</si>
  <si>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</si>
  <si>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</si>
  <si>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</si>
  <si>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</si>
  <si>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</si>
  <si>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</si>
  <si>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</si>
  <si>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</si>
  <si>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</si>
  <si>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</si>
  <si>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</si>
  <si>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</si>
  <si>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</si>
  <si>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</si>
  <si>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</si>
  <si>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</si>
  <si>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</si>
  <si>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</si>
  <si>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</si>
  <si>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</si>
  <si>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</si>
  <si>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</si>
  <si>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</si>
  <si>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</si>
  <si>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</si>
  <si>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</si>
  <si>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</si>
  <si>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</si>
  <si>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</si>
  <si>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</si>
  <si>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</si>
  <si>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</si>
  <si>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</si>
  <si>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</si>
  <si>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</si>
  <si>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</si>
  <si>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</si>
  <si>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</si>
  <si>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</si>
  <si>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</si>
  <si>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</si>
  <si>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</si>
  <si>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</si>
  <si>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</si>
  <si>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</si>
  <si>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</si>
  <si>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</si>
  <si>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</si>
  <si>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</si>
  <si>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</si>
  <si>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</si>
  <si>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</si>
  <si>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</si>
  <si>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</si>
  <si>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</si>
  <si>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</si>
  <si>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</si>
  <si>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</si>
  <si>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</si>
  <si>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</si>
  <si>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</si>
  <si>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</si>
  <si>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</si>
  <si>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</si>
  <si>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</si>
  <si>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</si>
  <si>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</si>
  <si>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</si>
  <si>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</si>
  <si>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</si>
  <si>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</si>
  <si>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</si>
  <si>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</si>
  <si>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</si>
  <si>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</si>
  <si>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</si>
  <si>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</si>
  <si>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</si>
  <si>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</si>
  <si>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</si>
  <si>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</si>
  <si>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</si>
  <si>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</si>
  <si>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</si>
  <si>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</si>
  <si>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</si>
  <si>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</si>
  <si>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</si>
  <si>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</si>
  <si>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</si>
  <si>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</si>
  <si>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</si>
  <si>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</si>
  <si>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</si>
  <si>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炎熱天氣4</t>
  </si>
  <si>
    <t>同上，在炎熱天氣與妹妹進行過色情話題後，下次炎熱天氣時，有機率觸發第二段劇情，妹妹沒來迎接回家
(當次數多了之後會觸發第三段，未實裝)</t>
  </si>
  <si>
    <t>炎熱天氣分支劇情</t>
  </si>
  <si>
    <t>猛暑-4</t>
  </si>
  <si>
    <t>猛暑時に妹とちょっとHな話をした後、次の猛暑時に妹が迎えに来ないイベントが発生する可能性がある（回数が多くなると、第3段がトリガーされますが、未実装）</t>
  </si>
  <si>
    <t>猛暑による分岐イベント</t>
  </si>
  <si>
    <t>Hot Weather 4</t>
  </si>
  <si>
    <t>Same as the previous "Hot Weather events."
If you talk to your sister about Naughty Topics during the day, there is a chance that when you go home early again during the hot weather, Imouto won't greet you and a special event will trigger. 
*If this happens a couple more times, the next stage of the events will trigger (not yet implemented)</t>
  </si>
  <si>
    <t>Another event from the "Hot Weather" storyline</t>
  </si>
  <si>
    <t>Clima caluroso 4</t>
  </si>
  <si>
    <t>«Igual que los anteriores »«Eventos de tiempo caluroso»".
Si hablas con tu hermana de Temas Traviesos durante el día, existe la posibilidad de que cuando vuelvas a casa temprano otra vez durante el tiempo caluroso, Imouto no te salude y se desencadene un evento especial.
*Si esto ocurre un par de veces más, se activará la siguiente fase de eventos (aún no implementada)"</t>
  </si>
  <si>
    <t>Heißes Wetter 4</t>
  </si>
  <si>
    <t>Wie oben, nachdem man bei heißem Wetter ein erotisches Gespräch mit der kleinen Schwester geführt hat, kann bei der nächsten Hitze die zweite Szene ausgelöst werden, in der die kleine Schwester einen nicht mehr beim nach hause kommen begrüßt. 
(Wenn dies mehrmals passiert, wird die dritte Szene ausgelöst – diese ist jedoch noch nicht implementiert.)</t>
  </si>
  <si>
    <t>Heißes Wetter Handlung</t>
  </si>
  <si>
    <t>Trời nóng 4</t>
  </si>
  <si>
    <t>Giống như các sự kiện "Thời tiết nóng" trước đó. Nếu bạn nói chuyện với em gái về những chuyện dâm đãng trong ngày, sẽ có khả năng khi bạn về nhà sớm lần nữa trong lúc trời nóng, Imouto sẽ không đón bạn và một cảnh đặc biệt sẽ xảy ra. 
*Nếu điều này xảy ra thêm một vài lần nữa, giai đoạn tiếp theo của sự kiện sẽ xảy ra (chưa được triển khai)</t>
  </si>
  <si>
    <t>Một sự kiện khác từ cốt truyện “Trời nóng”.</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</si>
  <si>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</si>
  <si>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</si>
  <si>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</si>
  <si>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</si>
  <si>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</si>
  <si>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</si>
  <si>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</si>
  <si>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</si>
  <si>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</si>
  <si>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</si>
  <si>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</si>
  <si>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</si>
  <si>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</si>
  <si>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</si>
  <si>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</si>
  <si>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</si>
  <si>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</si>
  <si>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</si>
  <si>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</si>
  <si>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</si>
  <si>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</si>
  <si>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</si>
  <si>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</si>
  <si>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</si>
  <si>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</si>
  <si>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</si>
  <si>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</si>
  <si>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</si>
  <si>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</si>
  <si>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</si>
  <si>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</si>
  <si>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</si>
  <si>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</si>
  <si>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</si>
  <si>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</si>
  <si>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</si>
  <si>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</si>
  <si>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</si>
  <si>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</si>
  <si>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</si>
  <si>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</si>
  <si>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</si>
  <si>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</si>
  <si>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</si>
  <si>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</si>
  <si>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</si>
  <si>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</si>
  <si>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</si>
  <si>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</si>
  <si>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</si>
  <si>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</si>
  <si>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</si>
  <si>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</si>
  <si>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</si>
  <si>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</si>
  <si>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</si>
  <si>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</si>
  <si>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</si>
  <si>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</si>
  <si>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</si>
  <si>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</si>
  <si>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</si>
  <si>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</si>
  <si>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</si>
  <si>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</si>
  <si>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</si>
  <si>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</si>
  <si>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</si>
  <si>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</si>
  <si>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</si>
  <si>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</si>
  <si>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</si>
  <si>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</si>
  <si>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</si>
  <si>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</si>
  <si>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</si>
  <si>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</si>
  <si>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</si>
  <si>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</si>
  <si>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</si>
  <si>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</si>
  <si>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</si>
  <si>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</si>
  <si>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</si>
  <si>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</si>
  <si>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</si>
  <si>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</si>
  <si>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</si>
  <si>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</si>
  <si>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</si>
  <si>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</si>
  <si>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</si>
  <si>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</si>
  <si>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</si>
  <si>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</si>
  <si>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</si>
  <si>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</si>
  <si>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</si>
  <si>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</si>
  <si>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</si>
  <si>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</si>
  <si>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</si>
  <si>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</si>
  <si>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</si>
  <si>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</si>
  <si>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</si>
  <si>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</si>
  <si>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</si>
  <si>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</si>
  <si>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</si>
  <si>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</si>
  <si>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</si>
  <si>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</si>
  <si>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</si>
  <si>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</si>
  <si>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</si>
  <si>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</si>
  <si>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</si>
  <si>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</si>
  <si>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</si>
  <si>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</si>
  <si>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</si>
  <si>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</si>
  <si>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</si>
  <si>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</si>
  <si>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</si>
  <si>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</si>
  <si>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</si>
  <si>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</si>
  <si>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</si>
  <si>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</si>
  <si>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</si>
  <si>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</si>
  <si>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</si>
  <si>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</si>
  <si>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</si>
  <si>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</si>
  <si>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</si>
  <si>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</si>
  <si>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</si>
  <si>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</si>
  <si>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</si>
  <si>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</si>
  <si>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</si>
  <si>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</si>
  <si>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</si>
  <si>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</si>
  <si>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</si>
  <si>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</si>
  <si>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</si>
  <si>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</si>
  <si>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</si>
  <si>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</si>
  <si>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</si>
  <si>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</si>
  <si>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</si>
  <si>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</si>
  <si>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</si>
  <si>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</si>
  <si>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</si>
  <si>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</si>
  <si>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</si>
  <si>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</si>
  <si>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</si>
  <si>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</si>
  <si>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</si>
  <si>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</si>
  <si>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</si>
  <si>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</si>
  <si>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</si>
  <si>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</si>
  <si>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</si>
  <si>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</si>
  <si>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</si>
  <si>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</si>
  <si>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</si>
  <si>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</si>
  <si>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</si>
  <si>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</si>
  <si>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</si>
  <si>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</si>
  <si>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</si>
  <si>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</si>
  <si>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</si>
  <si>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</si>
  <si>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</si>
  <si>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</si>
  <si>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</si>
  <si>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</si>
  <si>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</si>
  <si>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</si>
  <si>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</si>
  <si>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</si>
  <si>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</si>
  <si>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</si>
  <si>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</si>
  <si>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</si>
  <si>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</si>
  <si>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</si>
  <si>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</si>
  <si>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</si>
  <si>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</si>
  <si>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</si>
  <si>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</si>
  <si>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</si>
  <si>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</si>
  <si>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</si>
  <si>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</si>
  <si>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</si>
  <si>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</si>
  <si>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</si>
  <si>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</si>
  <si>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</si>
  <si>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</si>
  <si>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</si>
  <si>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</si>
  <si>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</si>
  <si>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</si>
  <si>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</si>
  <si>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</si>
  <si>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</si>
  <si>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</si>
  <si>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</si>
  <si>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</si>
  <si>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</si>
  <si>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</si>
  <si>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</si>
  <si>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</si>
  <si>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</si>
  <si>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</si>
  <si>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</si>
  <si>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</si>
  <si>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</si>
  <si>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</si>
  <si>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</si>
  <si>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</si>
  <si>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</si>
  <si>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</si>
  <si>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</si>
  <si>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</si>
  <si>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</si>
  <si>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</si>
  <si>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</si>
  <si>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</si>
  <si>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</si>
  <si>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</si>
  <si>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</si>
  <si>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</si>
  <si>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</si>
  <si>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</si>
  <si>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</si>
  <si>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</si>
  <si>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</si>
  <si>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</si>
  <si>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</si>
  <si>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</si>
  <si>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</si>
  <si>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</si>
  <si>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</si>
  <si>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</si>
  <si>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</si>
  <si>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</si>
  <si>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</si>
  <si>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</si>
  <si>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</si>
  <si>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</si>
  <si>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</si>
  <si>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</si>
  <si>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</si>
  <si>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</si>
  <si>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</si>
  <si>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</si>
  <si>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</si>
  <si>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</si>
  <si>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</si>
  <si>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</si>
  <si>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</si>
  <si>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</si>
  <si>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</si>
  <si>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</si>
  <si>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</si>
  <si>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</si>
  <si>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</si>
  <si>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</si>
  <si>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</si>
  <si>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</si>
  <si>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</si>
  <si>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</si>
  <si>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</si>
  <si>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</si>
  <si>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</si>
  <si>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</si>
  <si>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</si>
  <si>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</si>
  <si>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</si>
  <si>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</si>
  <si>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</si>
  <si>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</si>
  <si>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</si>
  <si>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</si>
  <si>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</si>
  <si>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</si>
  <si>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</si>
  <si>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</si>
  <si>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</si>
  <si>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</si>
  <si>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</si>
  <si>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</si>
  <si>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</si>
  <si>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</si>
  <si>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</si>
  <si>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</si>
  <si>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</si>
  <si>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</si>
  <si>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</si>
  <si>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</si>
  <si>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</si>
  <si>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</si>
  <si>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</si>
  <si>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</si>
  <si>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</si>
  <si>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</si>
  <si>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</si>
  <si>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</si>
  <si>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</si>
  <si>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</si>
  <si>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</si>
  <si>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</si>
  <si>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</si>
  <si>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</si>
  <si>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</si>
  <si>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</si>
  <si>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</si>
  <si>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</si>
  <si>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</si>
  <si>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</si>
  <si>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</si>
  <si>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</si>
  <si>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</si>
  <si>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</si>
  <si>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</si>
  <si>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</si>
  <si>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</si>
  <si>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</si>
  <si>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</si>
  <si>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</si>
  <si>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</si>
  <si>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</si>
  <si>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</si>
  <si>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</si>
  <si>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</si>
  <si>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</si>
  <si>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</si>
  <si>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</si>
  <si>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</si>
  <si>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</si>
  <si>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</si>
  <si>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</si>
  <si>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</si>
  <si>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</si>
  <si>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</si>
  <si>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</si>
  <si>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</si>
  <si>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</si>
  <si>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</si>
  <si>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</si>
  <si>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</si>
  <si>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</si>
  <si>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</si>
  <si>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</si>
  <si>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</si>
  <si>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</si>
  <si>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</si>
  <si>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</si>
  <si>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</si>
  <si>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</si>
  <si>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</si>
  <si>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</si>
  <si>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</si>
  <si>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</si>
  <si>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</si>
  <si>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</si>
  <si>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</si>
  <si>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</si>
  <si>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</si>
  <si>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</si>
  <si>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</si>
  <si>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</si>
  <si>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</si>
  <si>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</si>
  <si>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</si>
  <si>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</si>
  <si>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</si>
  <si>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</si>
  <si>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</si>
  <si>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</si>
  <si>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</si>
  <si>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</si>
  <si>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</si>
  <si>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</si>
  <si>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</si>
  <si>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</si>
  <si>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</si>
  <si>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</si>
  <si>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</si>
  <si>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</si>
  <si>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</si>
  <si>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</si>
  <si>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</si>
  <si>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</si>
  <si>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</si>
  <si>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</si>
  <si>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</si>
  <si>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</si>
  <si>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</si>
  <si>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</si>
  <si>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</si>
  <si>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</si>
  <si>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</si>
  <si>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</si>
  <si>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</si>
  <si>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</si>
  <si>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</si>
  <si>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</si>
  <si>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</si>
  <si>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</si>
  <si>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</si>
  <si>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</si>
  <si>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</si>
  <si>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</si>
  <si>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</si>
  <si>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</si>
  <si>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</si>
  <si>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</si>
  <si>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</si>
  <si>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</si>
  <si>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</si>
  <si>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</si>
  <si>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</si>
  <si>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</si>
  <si>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</si>
  <si>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</si>
  <si>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</si>
  <si>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</si>
  <si>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</si>
  <si>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</si>
  <si>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</si>
  <si>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</si>
  <si>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</si>
  <si>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</si>
  <si>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</si>
  <si>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</si>
  <si>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</si>
  <si>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</si>
  <si>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</si>
  <si>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</si>
  <si>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</si>
  <si>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</si>
  <si>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</si>
  <si>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</si>
  <si>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</si>
  <si>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</si>
  <si>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</si>
  <si>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</si>
  <si>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</si>
  <si>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</si>
  <si>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</si>
  <si>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</si>
  <si>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</si>
  <si>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</si>
  <si>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</si>
  <si>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</si>
  <si>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</si>
  <si>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</si>
  <si>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</si>
  <si>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</si>
  <si>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</si>
  <si>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</si>
  <si>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</si>
  <si>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</si>
  <si>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</si>
  <si>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</si>
  <si>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</si>
  <si>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</si>
  <si>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</si>
  <si>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</si>
  <si>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</si>
  <si>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</si>
  <si>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</si>
  <si>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</si>
  <si>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</si>
  <si>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</si>
  <si>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</si>
  <si>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</si>
  <si>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</si>
  <si>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</si>
  <si>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</si>
  <si>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</si>
  <si>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</si>
  <si>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</si>
  <si>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</si>
  <si>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</si>
  <si>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</si>
  <si>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</si>
  <si>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</si>
  <si>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</si>
  <si>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</si>
  <si>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</si>
  <si>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</si>
  <si>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</si>
  <si>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</si>
  <si>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</si>
  <si>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</si>
  <si>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</si>
  <si>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</si>
  <si>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</si>
  <si>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</si>
  <si>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</si>
  <si>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</si>
  <si>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</si>
  <si>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</si>
  <si>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</si>
  <si>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</si>
  <si>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</si>
  <si>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</si>
  <si>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</si>
  <si>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</si>
  <si>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</si>
  <si>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</si>
  <si>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</si>
  <si>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</si>
  <si>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</si>
  <si>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ドロップアイテム：にんじんの大剣
ドロップ食材：にんじん</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</si>
  <si>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</si>
  <si>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</si>
  <si>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</si>
  <si>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</si>
  <si>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</si>
  <si>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</si>
  <si>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</si>
  <si>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</si>
  <si>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</si>
  <si>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</si>
  <si>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</si>
  <si>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</si>
  <si>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</si>
  <si>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</si>
  <si>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</si>
  <si>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</si>
  <si>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</si>
  <si>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</si>
  <si>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</si>
  <si>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</si>
  <si>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</si>
  <si>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</si>
  <si>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</si>
  <si>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</si>
  <si>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</si>
  <si>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</si>
  <si>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</si>
  <si>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</si>
  <si>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</si>
  <si>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</si>
  <si>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</si>
  <si>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</si>
  <si>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</si>
  <si>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</si>
  <si>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</si>
  <si>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</si>
  <si>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</si>
  <si>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</si>
  <si>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</si>
  <si>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</si>
  <si>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</si>
  <si>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</si>
  <si>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</si>
  <si>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</si>
  <si>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</si>
  <si>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</si>
  <si>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</si>
  <si>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</si>
  <si>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</si>
  <si>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</si>
  <si>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</si>
  <si>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</si>
  <si>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</si>
  <si>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</si>
  <si>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</si>
  <si>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</si>
  <si>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</si>
  <si>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</si>
  <si>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</si>
  <si>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</si>
  <si>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</si>
  <si>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</si>
  <si>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</si>
  <si>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</si>
  <si>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</si>
  <si>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</si>
  <si>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</si>
  <si>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</si>
  <si>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</si>
  <si>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</si>
  <si>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</si>
  <si>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</si>
  <si>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</si>
  <si>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</si>
  <si>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</si>
  <si>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</si>
  <si>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</si>
  <si>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</si>
  <si>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</si>
  <si>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</si>
  <si>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</si>
  <si>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</si>
  <si>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</si>
  <si>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</si>
  <si>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</si>
  <si>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</si>
  <si>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</si>
  <si>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</si>
  <si>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</si>
  <si>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</si>
  <si>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</si>
  <si>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</si>
  <si>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</si>
  <si>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</si>
  <si>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</si>
  <si>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</si>
  <si>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</si>
  <si>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</si>
  <si>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</si>
  <si>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</si>
  <si>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</si>
  <si>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</si>
  <si>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</si>
  <si>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</si>
  <si>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</si>
  <si>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</si>
  <si>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</si>
  <si>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</si>
  <si>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</si>
  <si>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</si>
  <si>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</si>
  <si>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</si>
  <si>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</si>
  <si>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</si>
  <si>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</si>
  <si>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</si>
  <si>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</si>
  <si>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</si>
  <si>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</si>
  <si>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</si>
  <si>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</si>
  <si>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</si>
  <si>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</si>
  <si>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</si>
  <si>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</si>
  <si>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</si>
  <si>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</si>
  <si>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</si>
  <si>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</si>
  <si>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</si>
  <si>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</si>
  <si>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</si>
  <si>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</si>
  <si>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</si>
  <si>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</si>
  <si>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</si>
  <si>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</si>
  <si>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</si>
  <si>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</si>
  <si>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</si>
  <si>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</si>
  <si>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</si>
  <si>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</si>
  <si>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</si>
  <si>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</si>
  <si>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</si>
  <si>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</si>
  <si>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</si>
  <si>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</si>
  <si>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</si>
  <si>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</si>
  <si>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</si>
  <si>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</si>
  <si>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</si>
  <si>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</si>
  <si>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</si>
  <si>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</si>
  <si>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</si>
  <si>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</si>
  <si>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</si>
  <si>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</si>
  <si>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</si>
  <si>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</si>
  <si>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</si>
  <si>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</si>
  <si>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</si>
  <si>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</si>
  <si>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</si>
  <si>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</si>
  <si>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</si>
  <si>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</si>
  <si>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</si>
  <si>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</si>
  <si>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</si>
  <si>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</si>
  <si>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</si>
  <si>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</si>
  <si>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</si>
  <si>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</si>
  <si>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</si>
  <si>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</si>
  <si>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</si>
  <si>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</si>
  <si>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</si>
  <si>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</si>
  <si>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</si>
  <si>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</si>
  <si>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</si>
  <si>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</si>
  <si>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</si>
  <si>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</si>
  <si>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</si>
  <si>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</si>
  <si>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</si>
  <si>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</si>
  <si>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</si>
  <si>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</si>
  <si>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</si>
  <si>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</si>
  <si>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</si>
  <si>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</si>
  <si>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</si>
  <si>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</si>
  <si>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</si>
  <si>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</si>
  <si>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</si>
  <si>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</si>
  <si>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</si>
  <si>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</si>
  <si>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</si>
  <si>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</si>
  <si>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</si>
  <si>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</si>
  <si>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</si>
  <si>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</si>
  <si>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</si>
  <si>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</si>
  <si>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</si>
  <si>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</si>
  <si>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</si>
  <si>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</si>
  <si>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</si>
  <si>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</si>
  <si>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</si>
  <si>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</si>
  <si>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</si>
  <si>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</si>
  <si>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</si>
  <si>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</si>
  <si>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</si>
  <si>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</si>
  <si>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</si>
  <si>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</si>
  <si>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</si>
  <si>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</si>
  <si>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</si>
  <si>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</si>
  <si>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</si>
  <si>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</si>
  <si>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</si>
  <si>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</si>
  <si>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</si>
  <si>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</si>
  <si>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</si>
  <si>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</si>
  <si>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</si>
  <si>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</si>
  <si>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</si>
  <si>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</si>
  <si>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</si>
  <si>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</si>
  <si>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</si>
  <si>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</si>
  <si>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</si>
  <si>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</si>
  <si>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</si>
  <si>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</si>
  <si>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</si>
  <si>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</si>
  <si>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</si>
  <si>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</si>
  <si>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</si>
  <si>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</si>
  <si>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</si>
  <si>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</si>
  <si>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</si>
  <si>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</si>
  <si>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</si>
  <si>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</si>
  <si>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</si>
  <si>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</si>
  <si>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</si>
  <si>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</si>
  <si>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</si>
  <si>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</si>
  <si>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</si>
  <si>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</si>
  <si>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</si>
  <si>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</si>
  <si>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</si>
  <si>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</si>
  <si>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</si>
  <si>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</si>
  <si>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</si>
  <si>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</si>
  <si>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</si>
  <si>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</si>
  <si>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</si>
  <si>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</si>
  <si>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</si>
  <si>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</si>
  <si>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</si>
  <si>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</si>
  <si>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</si>
  <si>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</si>
  <si>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</si>
  <si>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</si>
  <si>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</si>
  <si>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</si>
  <si>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</si>
  <si>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</si>
  <si>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</si>
  <si>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</si>
  <si>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</si>
  <si>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</si>
  <si>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</si>
  <si>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</si>
  <si>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</si>
  <si>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</si>
  <si>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</si>
  <si>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</si>
  <si>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</si>
  <si>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</si>
  <si>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</si>
  <si>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</si>
  <si>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</si>
  <si>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</si>
  <si>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</si>
  <si>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</si>
  <si>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</si>
  <si>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</si>
  <si>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</si>
  <si>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</si>
  <si>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</si>
  <si>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</si>
  <si>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</si>
  <si>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</si>
  <si>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</si>
  <si>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</si>
  <si>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</si>
  <si>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</si>
  <si>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</si>
  <si>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</si>
  <si>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</si>
  <si>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</si>
  <si>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</si>
  <si>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</si>
  <si>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</si>
  <si>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</si>
  <si>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</si>
  <si>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</si>
  <si>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</si>
  <si>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</si>
  <si>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</si>
  <si>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</si>
  <si>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</si>
  <si>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</si>
  <si>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</si>
  <si>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</si>
  <si>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</si>
  <si>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</si>
  <si>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</si>
  <si>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</si>
  <si>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</si>
  <si>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</si>
  <si>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</si>
  <si>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</si>
  <si>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</si>
  <si>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</si>
  <si>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</si>
  <si>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</si>
  <si>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</si>
  <si>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</si>
  <si>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</si>
  <si>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</si>
  <si>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</si>
  <si>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</si>
  <si>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</si>
  <si>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</si>
  <si>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</si>
  <si>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</si>
  <si>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</si>
  <si>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</si>
  <si>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</si>
  <si>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</si>
  <si>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</si>
  <si>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</si>
  <si>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</si>
  <si>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</si>
  <si>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</si>
  <si>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</si>
  <si>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</si>
  <si>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</si>
  <si>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</si>
  <si>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</si>
  <si>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</si>
  <si>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</si>
  <si>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</si>
  <si>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</si>
  <si>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</si>
  <si>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</si>
  <si>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</si>
  <si>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</si>
  <si>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</si>
  <si>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</si>
  <si>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</si>
  <si>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</si>
  <si>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</si>
  <si>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</si>
  <si>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</si>
  <si>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</si>
  <si>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</si>
  <si>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</si>
  <si>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</si>
  <si>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</si>
  <si>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</si>
  <si>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</si>
  <si>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</si>
  <si>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</si>
  <si>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</si>
  <si>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</si>
  <si>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</si>
  <si>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</si>
  <si>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</si>
  <si>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</si>
  <si>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</si>
  <si>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</si>
  <si>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</si>
  <si>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</si>
  <si>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</si>
  <si>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</si>
  <si>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</si>
  <si>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</si>
  <si>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</si>
  <si>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</si>
  <si>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</si>
  <si>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</si>
  <si>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</si>
  <si>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</si>
  <si>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</si>
  <si>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</si>
  <si>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</si>
  <si>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</si>
  <si>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</si>
  <si>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</si>
  <si>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</si>
  <si>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</si>
  <si>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</si>
  <si>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</si>
  <si>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</si>
  <si>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</si>
  <si>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</si>
  <si>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</si>
  <si>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</si>
  <si>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</si>
  <si>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</si>
  <si>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</si>
  <si>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</si>
  <si>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</si>
  <si>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</si>
  <si>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</si>
  <si>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</si>
  <si>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</si>
  <si>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</si>
  <si>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</si>
  <si>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</si>
  <si>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</si>
  <si>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</si>
  <si>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</si>
  <si>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</si>
  <si>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</si>
  <si>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</si>
  <si>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</si>
  <si>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</si>
  <si>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</si>
  <si>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</si>
  <si>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</si>
  <si>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</si>
  <si>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</si>
  <si>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</si>
  <si>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</si>
  <si>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</si>
  <si>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</si>
  <si>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</si>
  <si>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</si>
  <si>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</si>
  <si>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</si>
  <si>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</si>
  <si>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</si>
  <si>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</si>
  <si>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</si>
  <si>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</si>
  <si>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</si>
  <si>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</si>
  <si>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</si>
  <si>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</si>
  <si>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</si>
  <si>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</si>
  <si>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</si>
  <si>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</si>
  <si>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</si>
  <si>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</si>
  <si>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</si>
  <si>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</si>
  <si>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</si>
  <si>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</si>
  <si>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</si>
  <si>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</si>
  <si>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</si>
  <si>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</si>
  <si>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</si>
  <si>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</si>
  <si>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</si>
  <si>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</si>
  <si>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</si>
  <si>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</si>
  <si>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</si>
  <si>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</si>
  <si>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</si>
  <si>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</si>
  <si>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</si>
  <si>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</si>
  <si>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</si>
  <si>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</si>
  <si>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</si>
  <si>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</si>
  <si>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</si>
  <si>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</si>
  <si>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</si>
  <si>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</si>
  <si>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</si>
  <si>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</si>
  <si>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</si>
  <si>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</si>
  <si>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</si>
  <si>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</si>
  <si>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</si>
  <si>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</si>
  <si>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</si>
  <si>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</si>
  <si>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</si>
  <si>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</si>
  <si>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</si>
  <si>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</si>
  <si>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</si>
  <si>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</si>
  <si>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</si>
  <si>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</si>
  <si>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</si>
  <si>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</si>
  <si>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</si>
  <si>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</si>
  <si>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</si>
  <si>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</si>
  <si>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</si>
  <si>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</si>
  <si>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</si>
  <si>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</si>
  <si>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</si>
  <si>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</si>
  <si>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</si>
  <si>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</si>
  <si>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</si>
  <si>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</si>
  <si>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</si>
  <si>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</si>
  <si>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</si>
  <si>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</si>
  <si>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</si>
  <si>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</si>
  <si>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</si>
  <si>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</si>
  <si>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</si>
  <si>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</si>
  <si>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</si>
  <si>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</si>
  <si>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</si>
  <si>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</si>
  <si>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</si>
  <si>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</si>
  <si>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</si>
  <si>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</si>
  <si>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</si>
  <si>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</si>
  <si>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</si>
  <si>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</si>
  <si>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</si>
  <si>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</si>
  <si>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</si>
  <si>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</si>
  <si>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</si>
  <si>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</si>
  <si>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</si>
  <si>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</si>
  <si>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</si>
  <si>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</si>
  <si>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</si>
  <si>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</si>
  <si>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</si>
  <si>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</si>
  <si>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</si>
  <si>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</si>
  <si>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</si>
  <si>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</si>
  <si>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</si>
  <si>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</si>
  <si>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</si>
  <si>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</si>
  <si>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</si>
  <si>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</si>
  <si>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</si>
  <si>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</si>
  <si>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</si>
  <si>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</si>
  <si>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</si>
  <si>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</si>
  <si>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</si>
  <si>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</si>
  <si>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</si>
  <si>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</si>
  <si>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</si>
  <si>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</si>
  <si>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</si>
  <si>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</si>
  <si>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</si>
  <si>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</si>
  <si>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</si>
  <si>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</si>
  <si>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</si>
  <si>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</si>
  <si>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</si>
  <si>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</si>
  <si>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</si>
  <si>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</si>
  <si>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</si>
  <si>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</si>
  <si>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</si>
  <si>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</si>
  <si>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</si>
  <si>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</si>
  <si>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</si>
  <si>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</si>
  <si>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</si>
  <si>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</si>
  <si>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</si>
  <si>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</si>
  <si>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</si>
  <si>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</si>
  <si>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</si>
  <si>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</si>
  <si>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</si>
  <si>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</si>
  <si>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</si>
  <si>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</si>
  <si>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</si>
  <si>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</si>
  <si>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</si>
  <si>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</si>
  <si>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</si>
  <si>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</si>
  <si>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</si>
  <si>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</si>
  <si>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</si>
  <si>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</si>
  <si>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</si>
  <si>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</si>
  <si>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</si>
  <si>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</si>
  <si>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</si>
  <si>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</si>
  <si>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</si>
  <si>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</si>
  <si>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</si>
  <si>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</si>
  <si>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</si>
  <si>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</si>
  <si>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</si>
  <si>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</si>
  <si>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</si>
  <si>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</si>
  <si>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</si>
  <si>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</si>
  <si>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</si>
  <si>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</si>
  <si>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</si>
  <si>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</si>
  <si>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</si>
  <si>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</si>
  <si>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</si>
  <si>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</si>
  <si>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</si>
  <si>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</si>
  <si>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</si>
  <si>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</si>
  <si>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</si>
  <si>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</si>
  <si>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</si>
  <si>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</si>
  <si>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</si>
  <si>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</si>
  <si>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</si>
  <si>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</si>
  <si>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</si>
  <si>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</si>
  <si>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</si>
  <si>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</si>
  <si>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</si>
  <si>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</si>
  <si>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</si>
  <si>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</si>
  <si>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</si>
  <si>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</si>
  <si>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</si>
  <si>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</si>
  <si>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</si>
  <si>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</si>
  <si>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</si>
  <si>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</si>
  <si>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</si>
  <si>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</si>
  <si>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</si>
  <si>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</si>
  <si>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</si>
  <si>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</si>
  <si>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</si>
  <si>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</si>
  <si>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</si>
  <si>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</si>
  <si>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</si>
  <si>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</si>
  <si>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</si>
  <si>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</si>
  <si>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</si>
  <si>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</si>
  <si>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</si>
  <si>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</si>
  <si>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</si>
  <si>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</si>
  <si>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</si>
  <si>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</si>
  <si>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</si>
  <si>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</si>
  <si>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</si>
  <si>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</si>
  <si>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</si>
  <si>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</si>
  <si>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</si>
  <si>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</si>
  <si>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</si>
  <si>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</si>
  <si>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</si>
  <si>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</si>
  <si>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</si>
  <si>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</si>
  <si>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</si>
  <si>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</si>
  <si>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</si>
  <si>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</si>
  <si>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</si>
  <si>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</si>
  <si>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</si>
  <si>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</si>
  <si>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</si>
  <si>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</si>
  <si>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</si>
  <si>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</si>
  <si>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</si>
  <si>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</si>
  <si>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</si>
  <si>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</si>
  <si>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</si>
  <si>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</si>
  <si>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</si>
  <si>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</si>
  <si>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</si>
  <si>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</si>
  <si>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</si>
  <si>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</si>
  <si>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</si>
  <si>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</si>
  <si>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</si>
  <si>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</si>
  <si>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</si>
  <si>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</si>
  <si>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</si>
  <si>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</si>
  <si>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</si>
  <si>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</si>
  <si>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</si>
  <si>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</si>
  <si>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</si>
  <si>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</si>
  <si>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</si>
  <si>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</si>
  <si>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</si>
  <si>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</si>
  <si>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</si>
  <si>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</si>
  <si>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</si>
  <si>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</si>
  <si>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</si>
  <si>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</si>
  <si>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</si>
  <si>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</si>
  <si>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</si>
  <si>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</si>
  <si>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</si>
  <si>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</si>
  <si>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</si>
  <si>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</si>
  <si>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</si>
  <si>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</si>
  <si>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</si>
  <si>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</si>
  <si>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</si>
  <si>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</si>
  <si>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</si>
  <si>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</si>
  <si>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</si>
  <si>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</si>
  <si>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</si>
  <si>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</si>
  <si>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</si>
  <si>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</si>
  <si>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</si>
  <si>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</si>
  <si>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</si>
  <si>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</si>
  <si>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</si>
  <si>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</si>
  <si>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</si>
  <si>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</si>
  <si>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</si>
  <si>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</si>
  <si>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</si>
  <si>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</si>
  <si>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</si>
  <si>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</si>
  <si>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</si>
  <si>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</si>
  <si>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</si>
  <si>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</si>
  <si>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</si>
  <si>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</si>
  <si>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</si>
  <si>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</si>
  <si>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</si>
  <si>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</si>
  <si>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</si>
  <si>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</si>
  <si>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</si>
  <si>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</si>
  <si>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</si>
  <si>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</si>
  <si>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</si>
  <si>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</si>
  <si>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</si>
  <si>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</si>
  <si>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</si>
  <si>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</si>
  <si>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</si>
  <si>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</si>
  <si>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</si>
  <si>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</si>
  <si>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</si>
  <si>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</si>
  <si>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</si>
  <si>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</si>
  <si>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</si>
  <si>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</si>
  <si>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</si>
  <si>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</si>
  <si>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</si>
  <si>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</si>
  <si>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</si>
  <si>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</si>
  <si>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</si>
  <si>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</si>
  <si>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</si>
  <si>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</si>
  <si>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</si>
  <si>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</si>
  <si>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</si>
  <si>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</si>
  <si>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</si>
  <si>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</si>
  <si>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</si>
  <si>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</si>
  <si>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</si>
  <si>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</si>
  <si>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</si>
  <si>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</si>
  <si>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</si>
  <si>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</si>
  <si>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</si>
  <si>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</si>
  <si>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</si>
  <si>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</si>
  <si>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</si>
  <si>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</si>
  <si>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</si>
  <si>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</si>
  <si>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</si>
  <si>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</si>
  <si>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</si>
  <si>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</si>
  <si>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</si>
  <si>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</si>
  <si>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</si>
  <si>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</si>
  <si>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</si>
  <si>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</si>
  <si>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</si>
  <si>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</si>
  <si>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</si>
  <si>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</si>
  <si>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</si>
  <si>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</si>
  <si>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</si>
  <si>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</si>
  <si>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</si>
  <si>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</si>
  <si>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</si>
  <si>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</si>
  <si>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</si>
  <si>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</si>
  <si>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</si>
  <si>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</si>
  <si>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</si>
  <si>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</si>
  <si>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</si>
  <si>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</si>
  <si>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</si>
  <si>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</si>
  <si>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</si>
  <si>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</si>
  <si>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</si>
  <si>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</si>
  <si>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</si>
  <si>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</si>
  <si>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</si>
  <si>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</si>
  <si>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</si>
  <si>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</si>
  <si>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</si>
  <si>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</si>
  <si>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</si>
  <si>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</si>
  <si>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</si>
  <si>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</si>
  <si>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</si>
  <si>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</si>
  <si>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</si>
  <si>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</si>
  <si>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</si>
  <si>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</si>
  <si>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</si>
  <si>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</si>
  <si>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</si>
  <si>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</si>
  <si>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</si>
  <si>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</si>
  <si>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</si>
  <si>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</si>
  <si>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</si>
  <si>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</si>
  <si>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</si>
  <si>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</si>
  <si>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</si>
  <si>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</si>
  <si>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</si>
  <si>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</si>
  <si>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</si>
  <si>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</si>
  <si>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</si>
  <si>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</si>
  <si>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</si>
  <si>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</si>
  <si>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</si>
  <si>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</si>
  <si>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</si>
  <si>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</si>
  <si>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</si>
  <si>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</si>
  <si>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</si>
  <si>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</si>
  <si>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</si>
  <si>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</si>
  <si>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</si>
  <si>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</si>
  <si>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</si>
  <si>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</si>
  <si>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</si>
  <si>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</si>
  <si>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</si>
  <si>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</si>
  <si>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</si>
  <si>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</si>
  <si>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</si>
  <si>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</si>
  <si>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</si>
  <si>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</si>
  <si>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</si>
  <si>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</si>
  <si>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</si>
  <si>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</si>
  <si>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</si>
  <si>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</si>
  <si>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</si>
  <si>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</si>
  <si>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</si>
  <si>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</si>
  <si>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</si>
  <si>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</si>
  <si>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</si>
  <si>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</si>
  <si>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</si>
  <si>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</si>
  <si>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</si>
  <si>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</si>
  <si>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</si>
  <si>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</si>
  <si>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</si>
  <si>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</si>
  <si>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</si>
  <si>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</si>
  <si>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</si>
  <si>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</si>
  <si>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</si>
  <si>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</si>
  <si>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</si>
  <si>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</si>
  <si>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</si>
  <si>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</si>
  <si>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</si>
  <si>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</si>
  <si>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</si>
  <si>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</si>
  <si>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</si>
  <si>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</si>
  <si>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</si>
  <si>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</si>
  <si>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</si>
  <si>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</si>
  <si>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</si>
  <si>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</si>
  <si>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</si>
  <si>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</si>
  <si>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</si>
  <si>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</si>
  <si>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</si>
  <si>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</si>
  <si>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</si>
  <si>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</si>
  <si>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</si>
  <si>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</si>
  <si>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</si>
  <si>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</si>
  <si>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</si>
  <si>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</si>
  <si>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</si>
  <si>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</si>
  <si>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</si>
  <si>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</si>
  <si>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</si>
  <si>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</si>
  <si>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</si>
  <si>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</si>
  <si>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</si>
  <si>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</si>
  <si>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</si>
  <si>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</si>
  <si>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</si>
  <si>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</si>
  <si>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</si>
  <si>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</si>
  <si>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</si>
  <si>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</si>
  <si>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</si>
  <si>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</si>
  <si>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</si>
  <si>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</si>
  <si>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</si>
  <si>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</si>
  <si>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</si>
  <si>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</si>
  <si>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</si>
  <si>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</si>
  <si>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</si>
  <si>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</si>
  <si>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</si>
  <si>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</si>
  <si>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</si>
  <si>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</si>
  <si>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</si>
  <si>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</si>
  <si>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</si>
  <si>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</si>
  <si>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</si>
  <si>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</si>
  <si>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</si>
  <si>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</si>
  <si>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</si>
  <si>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</si>
  <si>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</si>
  <si>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</si>
  <si>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</si>
  <si>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</si>
  <si>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</si>
  <si>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</si>
  <si>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</si>
  <si>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</si>
  <si>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</si>
  <si>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</si>
  <si>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</si>
  <si>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</si>
  <si>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</si>
  <si>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</si>
  <si>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</si>
  <si>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</si>
  <si>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</si>
  <si>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</si>
  <si>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</si>
  <si>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</si>
  <si>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</si>
  <si>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</si>
  <si>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</si>
  <si>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</si>
  <si>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</si>
  <si>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</si>
  <si>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</si>
  <si>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</si>
  <si>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</si>
  <si>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</si>
  <si>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</si>
  <si>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</si>
  <si>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</si>
  <si>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</si>
  <si>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</si>
  <si>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</si>
  <si>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</si>
  <si>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</si>
  <si>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</si>
  <si>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</si>
  <si>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</si>
  <si>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</si>
  <si>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</si>
  <si>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</si>
  <si>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</si>
  <si>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</si>
  <si>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</si>
  <si>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</si>
  <si>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</si>
  <si>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</si>
  <si>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</si>
  <si>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</si>
  <si>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</si>
  <si>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</si>
  <si>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</si>
  <si>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</si>
  <si>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</si>
  <si>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</si>
  <si>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</si>
  <si>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</si>
  <si>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</si>
  <si>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</si>
  <si>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</si>
  <si>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</si>
  <si>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</si>
  <si>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</si>
  <si>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</si>
  <si>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</si>
  <si>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</si>
  <si>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</si>
  <si>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</si>
  <si>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</si>
  <si>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</si>
  <si>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</si>
  <si>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</si>
  <si>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</si>
  <si>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</si>
  <si>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</si>
  <si>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</si>
  <si>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</si>
  <si>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</si>
  <si>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</si>
  <si>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</si>
  <si>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</si>
  <si>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</si>
  <si>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</si>
  <si>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</si>
  <si>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</si>
  <si>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</si>
  <si>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</si>
  <si>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</si>
  <si>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</si>
  <si>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</si>
  <si>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</si>
  <si>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</si>
  <si>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</si>
  <si>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</si>
  <si>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</si>
  <si>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</si>
  <si>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</si>
  <si>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</si>
  <si>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</si>
  <si>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</si>
  <si>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</si>
  <si>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</si>
  <si>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</si>
  <si>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</si>
  <si>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</si>
  <si>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</si>
  <si>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</si>
  <si>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</si>
  <si>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</si>
  <si>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</si>
  <si>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</si>
  <si>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</si>
  <si>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</si>
  <si>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</si>
  <si>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</si>
  <si>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</si>
  <si>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</si>
  <si>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</si>
  <si>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</si>
  <si>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</si>
  <si>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</si>
  <si>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</si>
  <si>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</si>
  <si>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</si>
  <si>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</si>
  <si>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</si>
  <si>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</si>
  <si>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</si>
  <si>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</si>
  <si>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</si>
  <si>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</si>
  <si>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</si>
  <si>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</si>
  <si>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</si>
  <si>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</si>
  <si>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</si>
  <si>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</si>
  <si>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</si>
  <si>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</si>
  <si>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</si>
  <si>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</si>
  <si>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</si>
  <si>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</si>
  <si>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</si>
  <si>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</si>
  <si>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</si>
  <si>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</si>
  <si>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</si>
  <si>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</si>
  <si>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</si>
  <si>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</si>
  <si>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</si>
  <si>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</si>
  <si>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</si>
  <si>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</si>
  <si>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</si>
  <si>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</si>
  <si>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</si>
  <si>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</si>
  <si>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</si>
  <si>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</si>
  <si>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</si>
  <si>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</si>
  <si>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</si>
  <si>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</si>
  <si>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</si>
  <si>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</si>
  <si>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</si>
  <si>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</si>
  <si>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</si>
  <si>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</si>
  <si>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</si>
  <si>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</si>
  <si>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</si>
  <si>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</si>
  <si>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</si>
  <si>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</si>
  <si>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</si>
  <si>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</si>
  <si>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</si>
  <si>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</si>
  <si>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</si>
  <si>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</si>
  <si>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</si>
  <si>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</si>
  <si>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</si>
  <si>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</si>
  <si>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</si>
  <si>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</si>
  <si>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</si>
  <si>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</si>
  <si>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</si>
  <si>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</si>
  <si>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</si>
  <si>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</si>
  <si>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</si>
  <si>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</si>
  <si>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</si>
  <si>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</si>
  <si>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</si>
  <si>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</si>
  <si>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</si>
  <si>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</si>
  <si>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</si>
  <si>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</si>
  <si>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</si>
  <si>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</si>
  <si>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</si>
  <si>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</si>
  <si>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</si>
  <si>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</si>
  <si>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</si>
  <si>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</si>
  <si>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</si>
  <si>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</si>
  <si>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</si>
  <si>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</si>
  <si>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</si>
  <si>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</si>
  <si>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</si>
  <si>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</si>
  <si>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</si>
  <si>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</si>
  <si>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</si>
  <si>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</si>
  <si>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</si>
  <si>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</si>
  <si>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</si>
  <si>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</si>
  <si>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</si>
  <si>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</si>
  <si>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</si>
  <si>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</si>
  <si>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</si>
  <si>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</si>
  <si>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</si>
  <si>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</si>
  <si>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</si>
  <si>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</si>
  <si>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</si>
  <si>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</si>
  <si>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</si>
  <si>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</si>
  <si>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</si>
  <si>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</si>
  <si>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</si>
  <si>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</si>
  <si>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</si>
  <si>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</si>
  <si>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</si>
  <si>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</si>
  <si>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</si>
  <si>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</si>
  <si>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</si>
  <si>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</si>
  <si>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</si>
  <si>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</si>
  <si>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</si>
  <si>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</si>
  <si>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</si>
  <si>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</si>
  <si>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</si>
  <si>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</si>
  <si>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</si>
  <si>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</si>
  <si>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</si>
  <si>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</si>
  <si>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</si>
  <si>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</si>
  <si>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</si>
  <si>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</si>
  <si>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</si>
  <si>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</si>
  <si>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</si>
  <si>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</si>
  <si>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</si>
  <si>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</si>
  <si>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</si>
  <si>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</si>
  <si>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</si>
  <si>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</si>
  <si>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</si>
  <si>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</si>
  <si>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</si>
  <si>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</si>
  <si>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</si>
  <si>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</si>
  <si>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</si>
  <si>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</si>
  <si>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</si>
  <si>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</si>
  <si>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</si>
  <si>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</si>
  <si>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</si>
  <si>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</si>
  <si>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</si>
  <si>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</si>
  <si>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</si>
  <si>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</si>
  <si>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</si>
  <si>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</si>
  <si>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</si>
  <si>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</si>
  <si>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</si>
  <si>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</si>
  <si>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</si>
  <si>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</si>
  <si>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</si>
  <si>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</si>
  <si>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</si>
  <si>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</si>
  <si>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</si>
  <si>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</si>
  <si>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</si>
  <si>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</si>
  <si>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</si>
  <si>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</si>
  <si>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</si>
  <si>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</si>
  <si>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</si>
  <si>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</si>
  <si>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</si>
  <si>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</si>
  <si>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</si>
  <si>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</si>
  <si>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</si>
  <si>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</si>
  <si>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</si>
  <si>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</si>
  <si>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</si>
  <si>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</si>
  <si>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</si>
  <si>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</si>
  <si>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</si>
  <si>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</si>
  <si>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</si>
  <si>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</si>
  <si>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</si>
  <si>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</si>
  <si>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</si>
  <si>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</si>
  <si>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</si>
  <si>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</si>
  <si>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</si>
  <si>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</si>
  <si>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</si>
  <si>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</si>
  <si>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</si>
  <si>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</si>
  <si>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</si>
  <si>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</si>
  <si>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</si>
  <si>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</si>
  <si>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</si>
  <si>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</si>
  <si>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</si>
  <si>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</si>
  <si>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</si>
  <si>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</si>
  <si>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</si>
  <si>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</si>
  <si>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</si>
  <si>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</si>
  <si>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</si>
  <si>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</si>
  <si>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</si>
  <si>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</si>
  <si>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</si>
  <si>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</si>
  <si>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</si>
  <si>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</si>
  <si>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</si>
  <si>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</si>
  <si>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</si>
  <si>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</si>
  <si>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</si>
  <si>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</si>
  <si>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</si>
  <si>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</si>
  <si>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</si>
  <si>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</si>
  <si>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</si>
  <si>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</si>
  <si>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</si>
  <si>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</si>
  <si>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</si>
  <si>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</si>
  <si>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</si>
  <si>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</si>
  <si>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</si>
  <si>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</si>
  <si>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</si>
  <si>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</si>
  <si>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</si>
  <si>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</si>
  <si>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</si>
  <si>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</si>
  <si>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</si>
  <si>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</si>
  <si>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</si>
  <si>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</si>
  <si>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</si>
  <si>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</si>
  <si>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</si>
  <si>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</si>
  <si>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</si>
  <si>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</si>
  <si>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</si>
  <si>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</si>
  <si>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</si>
  <si>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</si>
  <si>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</si>
  <si>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</si>
  <si>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</si>
  <si>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</si>
  <si>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</si>
  <si>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</si>
  <si>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</si>
  <si>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</si>
  <si>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</si>
  <si>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</si>
  <si>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</si>
  <si>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</si>
  <si>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</si>
  <si>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</si>
  <si>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</si>
  <si>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</si>
  <si>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</si>
  <si>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</si>
  <si>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</si>
  <si>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</si>
  <si>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</si>
  <si>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</si>
  <si>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</si>
  <si>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</si>
  <si>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</si>
  <si>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</si>
  <si>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</si>
  <si>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</si>
  <si>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</si>
  <si>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</si>
  <si>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</si>
  <si>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</si>
  <si>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</si>
  <si>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</si>
  <si>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</si>
  <si>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</si>
  <si>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</si>
  <si>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</si>
  <si>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</si>
  <si>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</si>
  <si>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</si>
  <si>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</si>
  <si>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</si>
  <si>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</si>
  <si>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</si>
  <si>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</si>
  <si>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</si>
  <si>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</si>
  <si>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</si>
  <si>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</si>
  <si>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</si>
  <si>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</si>
  <si>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</si>
  <si>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</si>
  <si>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</si>
  <si>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</si>
  <si>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</si>
  <si>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</si>
  <si>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</si>
  <si>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</si>
  <si>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</si>
  <si>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</si>
  <si>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</si>
  <si>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</si>
  <si>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</si>
  <si>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</si>
  <si>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</si>
  <si>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</si>
  <si>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</si>
  <si>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</si>
  <si>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</si>
  <si>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</si>
  <si>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</si>
  <si>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</si>
  <si>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</si>
  <si>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</si>
  <si>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</si>
  <si>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</si>
  <si>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</si>
  <si>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</si>
  <si>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</si>
  <si>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</si>
  <si>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</si>
  <si>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</si>
  <si>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</si>
  <si>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</si>
  <si>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</si>
  <si>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</si>
  <si>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</si>
  <si>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</si>
  <si>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</si>
  <si>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</si>
  <si>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</si>
  <si>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</si>
  <si>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</si>
  <si>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</si>
  <si>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</si>
  <si>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</si>
  <si>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</si>
  <si>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</si>
  <si>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</si>
  <si>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</si>
  <si>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</si>
  <si>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</si>
  <si>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</si>
  <si>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</si>
  <si>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</si>
  <si>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</si>
  <si>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</si>
  <si>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</si>
  <si>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</si>
  <si>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</si>
  <si>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</si>
  <si>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</si>
  <si>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</si>
  <si>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</si>
  <si>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</si>
  <si>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</si>
  <si>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</si>
  <si>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</si>
  <si>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</si>
  <si>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</si>
  <si>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</si>
  <si>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</si>
  <si>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</si>
  <si>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</si>
  <si>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</si>
  <si>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</si>
  <si>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</si>
  <si>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</si>
  <si>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</si>
  <si>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</si>
  <si>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</si>
  <si>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</si>
  <si>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</si>
  <si>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</si>
  <si>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</si>
  <si>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</si>
  <si>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</si>
  <si>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</si>
  <si>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</si>
  <si>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</si>
  <si>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</si>
  <si>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</si>
  <si>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</si>
  <si>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</si>
  <si>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</si>
  <si>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</si>
  <si>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</si>
  <si>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</si>
  <si>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</si>
  <si>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</si>
  <si>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</si>
  <si>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</si>
  <si>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</si>
  <si>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</si>
  <si>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</si>
  <si>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</si>
  <si>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</si>
  <si>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</si>
  <si>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</si>
  <si>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</si>
  <si>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</si>
  <si>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</si>
  <si>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</si>
  <si>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</si>
  <si>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</si>
  <si>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</si>
  <si>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</si>
  <si>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</si>
  <si>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</si>
  <si>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</si>
  <si>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</si>
  <si>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</si>
  <si>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</si>
  <si>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</si>
  <si>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</si>
  <si>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</si>
  <si>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</si>
  <si>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</si>
  <si>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</si>
  <si>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</si>
  <si>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</si>
  <si>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</si>
  <si>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</si>
  <si>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</si>
  <si>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</si>
  <si>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</si>
  <si>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</si>
  <si>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</si>
  <si>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</si>
  <si>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</si>
  <si>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</si>
  <si>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</si>
  <si>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</si>
  <si>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</si>
  <si>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</si>
  <si>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</si>
  <si>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</si>
  <si>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</si>
  <si>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</si>
  <si>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</si>
  <si>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</si>
  <si>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</si>
  <si>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</si>
  <si>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</si>
  <si>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</si>
  <si>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</si>
  <si>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</si>
  <si>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</si>
  <si>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</si>
  <si>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</si>
  <si>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</si>
  <si>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</si>
  <si>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</si>
  <si>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</si>
  <si>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</si>
  <si>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</si>
  <si>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</si>
  <si>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</si>
  <si>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</si>
  <si>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</si>
  <si>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</si>
  <si>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</si>
  <si>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</si>
  <si>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</si>
  <si>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</si>
  <si>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</si>
  <si>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</si>
  <si>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</si>
  <si>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</si>
  <si>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</si>
  <si>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</si>
  <si>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</si>
  <si>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</si>
  <si>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</si>
  <si>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</si>
  <si>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</si>
  <si>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</si>
  <si>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</si>
  <si>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</si>
  <si>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</si>
  <si>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</si>
  <si>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</si>
  <si>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</si>
  <si>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</si>
  <si>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</si>
  <si>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</si>
  <si>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</si>
  <si>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</si>
  <si>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</si>
  <si>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</si>
  <si>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</si>
  <si>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</si>
  <si>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</si>
  <si>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</si>
  <si>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</si>
  <si>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</si>
  <si>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</si>
  <si>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</si>
  <si>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</si>
  <si>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</si>
  <si>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</si>
  <si>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</si>
  <si>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</si>
  <si>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</si>
  <si>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</si>
  <si>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</si>
  <si>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</si>
  <si>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</si>
  <si>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</si>
  <si>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</si>
  <si>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</si>
  <si>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</si>
  <si>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</si>
  <si>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</si>
  <si>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</si>
  <si>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</si>
  <si>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</si>
  <si>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</si>
  <si>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</si>
  <si>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</si>
  <si>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</si>
  <si>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</si>
  <si>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</si>
  <si>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</si>
  <si>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</si>
  <si>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</si>
  <si>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</si>
  <si>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</si>
  <si>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</si>
  <si>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</si>
  <si>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</si>
  <si>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</si>
  <si>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</si>
  <si>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</si>
  <si>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</si>
  <si>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</si>
  <si>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</si>
  <si>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</si>
  <si>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</si>
  <si>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</si>
  <si>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</si>
  <si>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</si>
  <si>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</si>
  <si>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</si>
  <si>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</si>
  <si>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</si>
  <si>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</si>
  <si>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</si>
  <si>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</si>
  <si>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</si>
  <si>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</si>
  <si>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</si>
  <si>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</si>
  <si>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</si>
  <si>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</si>
  <si>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</si>
  <si>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</si>
  <si>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</si>
  <si>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</si>
  <si>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</si>
  <si>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</si>
  <si>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</si>
  <si>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</si>
  <si>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</si>
  <si>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</si>
  <si>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</si>
  <si>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</si>
  <si>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</si>
  <si>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</si>
  <si>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</si>
  <si>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</si>
  <si>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</si>
  <si>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</si>
  <si>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</si>
  <si>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</si>
  <si>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</si>
  <si>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</si>
  <si>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</si>
  <si>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</si>
  <si>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</si>
  <si>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</si>
  <si>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</si>
  <si>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</si>
  <si>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</si>
  <si>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</si>
  <si>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</si>
  <si>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</si>
  <si>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</si>
  <si>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</si>
  <si>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</si>
  <si>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</si>
  <si>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</si>
  <si>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</si>
  <si>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</si>
  <si>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</si>
  <si>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</si>
  <si>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</si>
  <si>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</si>
  <si>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</si>
  <si>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</si>
  <si>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</si>
  <si>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</si>
  <si>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</si>
  <si>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</si>
  <si>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</si>
  <si>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</si>
  <si>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</si>
  <si>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</si>
  <si>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</si>
  <si>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</si>
  <si>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</si>
  <si>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</si>
  <si>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</si>
  <si>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</si>
  <si>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</si>
  <si>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</si>
  <si>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</si>
  <si>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</si>
  <si>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</si>
  <si>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</si>
  <si>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</si>
  <si>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</si>
  <si>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</si>
  <si>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</si>
  <si>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</si>
  <si>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</si>
  <si>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</si>
  <si>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</si>
  <si>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</si>
  <si>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</si>
  <si>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</si>
  <si>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</si>
  <si>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</si>
  <si>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</si>
  <si>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</si>
  <si>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</si>
  <si>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</si>
  <si>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</si>
  <si>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</si>
  <si>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</si>
  <si>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</si>
  <si>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</si>
  <si>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</si>
  <si>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</si>
  <si>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</si>
  <si>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</si>
  <si>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</si>
  <si>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</si>
  <si>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</si>
  <si>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</si>
  <si>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</si>
  <si>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</si>
  <si>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</si>
  <si>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</si>
  <si>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</si>
  <si>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</si>
  <si>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</si>
  <si>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</si>
  <si>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</si>
  <si>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</si>
  <si>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</si>
  <si>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</si>
  <si>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</si>
  <si>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</si>
  <si>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</si>
  <si>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</si>
  <si>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</si>
  <si>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</si>
  <si>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</si>
  <si>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</si>
  <si>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</si>
  <si>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</si>
  <si>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</si>
  <si>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</si>
  <si>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</si>
  <si>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</si>
  <si>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</si>
  <si>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</si>
  <si>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</si>
  <si>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</si>
  <si>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</si>
  <si>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</si>
  <si>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</si>
  <si>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</si>
  <si>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</si>
  <si>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</si>
  <si>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</si>
  <si>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</si>
  <si>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</si>
  <si>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</si>
  <si>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</si>
  <si>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</si>
  <si>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</si>
  <si>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</si>
  <si>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</si>
  <si>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</si>
  <si>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</si>
  <si>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</si>
  <si>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</si>
  <si>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</si>
  <si>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</si>
  <si>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</si>
  <si>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</si>
  <si>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</si>
  <si>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</si>
  <si>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</si>
  <si>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</si>
  <si>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</si>
  <si>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</si>
  <si>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</si>
  <si>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</si>
  <si>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</si>
  <si>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</si>
  <si>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</si>
  <si>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</si>
  <si>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</si>
  <si>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</si>
  <si>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</si>
  <si>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</si>
  <si>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</si>
  <si>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</si>
  <si>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</si>
  <si>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</si>
  <si>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</si>
  <si>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</si>
  <si>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</si>
  <si>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</si>
  <si>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</si>
  <si>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</si>
  <si>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</si>
  <si>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</si>
  <si>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</si>
  <si>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</si>
  <si>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</si>
  <si>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</si>
  <si>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</si>
  <si>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</si>
  <si>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</si>
  <si>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</si>
  <si>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</si>
  <si>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</si>
  <si>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</si>
  <si>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</si>
  <si>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</si>
  <si>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</si>
  <si>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</si>
  <si>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</si>
  <si>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</si>
  <si>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</si>
  <si>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</si>
  <si>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</si>
  <si>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</si>
  <si>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</si>
  <si>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</si>
  <si>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</si>
  <si>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</si>
  <si>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</si>
  <si>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</si>
  <si>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</si>
  <si>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</si>
  <si>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</si>
  <si>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</si>
  <si>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</si>
  <si>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</si>
  <si>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</si>
  <si>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</si>
  <si>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</si>
  <si>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</si>
  <si>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</si>
  <si>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</si>
  <si>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</si>
  <si>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</si>
  <si>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</si>
  <si>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</si>
  <si>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</si>
  <si>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</si>
  <si>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</si>
  <si>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</si>
  <si>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</si>
  <si>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</si>
  <si>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</si>
  <si>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</si>
  <si>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</si>
  <si>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</si>
  <si>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</si>
  <si>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</si>
  <si>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</si>
  <si>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</si>
  <si>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</si>
  <si>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</si>
  <si>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</si>
  <si>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</si>
  <si>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</si>
  <si>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</si>
  <si>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</si>
  <si>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</si>
  <si>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</si>
  <si>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</si>
  <si>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</si>
  <si>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</si>
  <si>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</si>
  <si>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</si>
  <si>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</si>
  <si>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</si>
  <si>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</si>
  <si>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</si>
  <si>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</si>
  <si>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</si>
  <si>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</si>
  <si>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</si>
  <si>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</si>
  <si>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</si>
  <si>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</si>
  <si>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</si>
  <si>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</si>
  <si>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</si>
  <si>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</si>
  <si>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</si>
  <si>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</si>
  <si>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</si>
  <si>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</si>
  <si>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</si>
  <si>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</si>
  <si>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</si>
  <si>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</si>
  <si>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</si>
  <si>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</si>
  <si>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</si>
  <si>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</si>
  <si>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</si>
  <si>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</si>
  <si>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</si>
  <si>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</si>
  <si>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</si>
  <si>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</si>
  <si>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</si>
  <si>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</si>
  <si>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</si>
  <si>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</si>
  <si>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</si>
  <si>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</si>
  <si>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</si>
  <si>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</si>
  <si>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</si>
  <si>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</si>
  <si>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</si>
  <si>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</si>
  <si>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</si>
  <si>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</si>
  <si>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</si>
  <si>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</si>
  <si>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</si>
  <si>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</si>
  <si>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</si>
  <si>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</si>
  <si>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</si>
  <si>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</si>
  <si>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</si>
  <si>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</si>
  <si>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</si>
  <si>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</si>
  <si>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</si>
  <si>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</si>
  <si>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</si>
  <si>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</si>
  <si>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</si>
  <si>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</si>
  <si>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</si>
  <si>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</si>
  <si>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</si>
  <si>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</si>
  <si>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</si>
  <si>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</si>
  <si>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</si>
  <si>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</si>
  <si>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</si>
  <si>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</si>
  <si>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</si>
  <si>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</si>
  <si>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</si>
  <si>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</si>
  <si>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</si>
  <si>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</si>
  <si>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</si>
  <si>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</si>
  <si>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</si>
  <si>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</si>
  <si>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</si>
  <si>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</si>
  <si>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</si>
  <si>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</si>
  <si>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</si>
  <si>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</si>
  <si>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</si>
  <si>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</si>
  <si>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</si>
  <si>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</si>
  <si>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</si>
  <si>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</si>
  <si>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</si>
  <si>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</si>
  <si>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</si>
  <si>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</si>
  <si>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</si>
  <si>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</si>
  <si>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</si>
  <si>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</si>
  <si>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</si>
  <si>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</si>
  <si>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</si>
  <si>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</si>
  <si>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</si>
  <si>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</si>
  <si>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</si>
  <si>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</si>
  <si>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</si>
  <si>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</si>
  <si>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</si>
  <si>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</si>
  <si>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</si>
  <si>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</si>
  <si>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</si>
  <si>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</si>
  <si>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</si>
  <si>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</si>
  <si>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</si>
  <si>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</si>
  <si>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</si>
  <si>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</si>
  <si>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</si>
  <si>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</si>
  <si>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</si>
  <si>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</si>
  <si>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</si>
  <si>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</si>
  <si>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</si>
  <si>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</si>
  <si>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</si>
  <si>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</si>
  <si>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</si>
  <si>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</si>
  <si>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</si>
  <si>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</si>
  <si>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</si>
  <si>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</si>
  <si>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</si>
  <si>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</si>
  <si>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</si>
  <si>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</si>
  <si>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</si>
  <si>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</si>
  <si>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</si>
  <si>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</si>
  <si>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</si>
  <si>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</si>
  <si>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</si>
  <si>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</si>
  <si>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</si>
  <si>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</si>
  <si>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</si>
  <si>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</si>
  <si>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</si>
  <si>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</si>
  <si>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</si>
  <si>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</si>
  <si>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</si>
  <si>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</si>
  <si>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</si>
  <si>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</si>
  <si>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</si>
  <si>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</si>
  <si>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</si>
  <si>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</si>
  <si>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</si>
  <si>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</si>
  <si>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</si>
  <si>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</si>
  <si>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</si>
  <si>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</si>
  <si>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</si>
  <si>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</si>
  <si>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</si>
  <si>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</si>
  <si>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</si>
  <si>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</si>
  <si>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</si>
  <si>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</si>
  <si>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</si>
  <si>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</si>
  <si>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</si>
  <si>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</si>
  <si>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</si>
  <si>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</si>
  <si>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</si>
  <si>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</si>
  <si>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</si>
  <si>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</si>
  <si>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</si>
  <si>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</si>
  <si>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</si>
  <si>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</si>
  <si>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</si>
  <si>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</si>
  <si>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</si>
  <si>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</si>
  <si>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</si>
  <si>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</si>
  <si>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</si>
  <si>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</si>
  <si>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</si>
  <si>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</si>
  <si>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</si>
  <si>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</si>
  <si>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</si>
  <si>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</si>
  <si>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</si>
  <si>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</si>
  <si>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</si>
  <si>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</si>
  <si>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</si>
  <si>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</si>
  <si>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</si>
  <si>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</si>
  <si>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</si>
  <si>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</si>
  <si>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</si>
  <si>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</si>
  <si>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</si>
  <si>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</si>
  <si>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</si>
  <si>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</si>
  <si>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</si>
  <si>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</si>
  <si>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</si>
  <si>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</si>
  <si>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</si>
  <si>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</si>
  <si>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</si>
  <si>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</si>
  <si>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</si>
  <si>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</si>
  <si>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</si>
  <si>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</si>
  <si>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</si>
  <si>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</si>
  <si>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</si>
  <si>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</si>
  <si>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</si>
  <si>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</si>
  <si>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</si>
  <si>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</si>
  <si>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</si>
  <si>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</si>
  <si>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</si>
  <si>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</si>
  <si>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</si>
  <si>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</si>
  <si>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</si>
  <si>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</si>
  <si>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</si>
  <si>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</si>
  <si>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</si>
  <si>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</si>
  <si>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</si>
  <si>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</si>
  <si>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</si>
  <si>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</si>
  <si>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</si>
  <si>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</si>
  <si>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</si>
  <si>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</si>
  <si>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</si>
  <si>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</si>
  <si>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</si>
  <si>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</si>
  <si>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</si>
  <si>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</si>
  <si>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</si>
  <si>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</si>
  <si>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</si>
  <si>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</si>
  <si>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</si>
  <si>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</si>
  <si>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</si>
  <si>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</si>
  <si>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</si>
  <si>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</si>
  <si>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</si>
  <si>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</si>
  <si>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</si>
  <si>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</si>
  <si>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</si>
  <si>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</si>
  <si>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</si>
  <si>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</si>
  <si>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</si>
  <si>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</si>
  <si>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</si>
  <si>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</si>
  <si>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</si>
  <si>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</si>
  <si>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</si>
  <si>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</si>
  <si>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</si>
  <si>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</si>
  <si>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</si>
  <si>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</si>
  <si>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</si>
  <si>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</si>
  <si>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</si>
  <si>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</si>
  <si>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</si>
  <si>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</si>
  <si>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</si>
  <si>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</si>
  <si>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</si>
  <si>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</si>
  <si>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</si>
  <si>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</si>
  <si>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</si>
  <si>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</si>
  <si>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</si>
  <si>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</si>
  <si>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</si>
  <si>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</si>
  <si>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</si>
  <si>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</si>
  <si>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</si>
  <si>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</si>
  <si>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</si>
  <si>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</si>
  <si>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</si>
  <si>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</si>
  <si>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</si>
  <si>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</si>
  <si>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</si>
  <si>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</si>
  <si>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</si>
  <si>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</si>
  <si>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</si>
  <si>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</si>
  <si>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</si>
  <si>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</si>
  <si>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</si>
  <si>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</si>
  <si>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</si>
  <si>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</si>
  <si>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</si>
  <si>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</si>
  <si>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</si>
  <si>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</si>
  <si>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</si>
  <si>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</si>
  <si>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</si>
  <si>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</si>
  <si>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</si>
  <si>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</si>
  <si>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</si>
  <si>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</si>
  <si>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</si>
  <si>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</si>
  <si>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</si>
  <si>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</si>
  <si>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</si>
  <si>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</si>
  <si>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</si>
  <si>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</si>
  <si>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</si>
  <si>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</si>
  <si>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</si>
  <si>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</si>
  <si>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</si>
  <si>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</si>
  <si>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</si>
  <si>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</si>
  <si>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</si>
  <si>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</si>
  <si>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</si>
  <si>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</si>
  <si>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</si>
  <si>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</si>
  <si>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</si>
  <si>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</si>
  <si>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</si>
  <si>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</si>
  <si>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</si>
  <si>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</si>
  <si>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</si>
  <si>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</si>
  <si>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</si>
  <si>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</si>
  <si>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</si>
  <si>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</si>
  <si>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</si>
  <si>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</si>
  <si>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</si>
  <si>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</si>
  <si>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</si>
  <si>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</si>
  <si>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</si>
  <si>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</si>
  <si>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</si>
  <si>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</si>
  <si>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</si>
  <si>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</si>
  <si>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</si>
  <si>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</si>
  <si>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</si>
  <si>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</si>
  <si>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</si>
  <si>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</si>
  <si>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</si>
  <si>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</si>
  <si>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</si>
  <si>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</si>
  <si>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</si>
  <si>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</si>
  <si>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</si>
  <si>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</si>
  <si>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</si>
  <si>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</si>
  <si>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</si>
  <si>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</si>
  <si>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</si>
  <si>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</si>
  <si>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</si>
  <si>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</si>
  <si>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</si>
  <si>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</si>
  <si>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</si>
  <si>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</si>
  <si>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</si>
  <si>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</si>
  <si>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</si>
  <si>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</si>
  <si>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</si>
  <si>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</si>
  <si>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</si>
  <si>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</si>
  <si>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</si>
  <si>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</si>
  <si>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</si>
  <si>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</si>
  <si>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</si>
  <si>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</si>
  <si>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</si>
  <si>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</si>
  <si>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</si>
  <si>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</si>
  <si>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</si>
  <si>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</si>
  <si>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</si>
  <si>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</si>
  <si>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</si>
  <si>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</si>
  <si>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</si>
  <si>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</si>
  <si>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</si>
  <si>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</si>
  <si>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</si>
  <si>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</si>
  <si>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</si>
  <si>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</si>
  <si>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</si>
  <si>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</si>
  <si>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</si>
  <si>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</si>
  <si>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</si>
  <si>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</si>
  <si>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</si>
  <si>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</si>
  <si>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</si>
  <si>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</si>
  <si>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</si>
  <si>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</si>
  <si>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</si>
  <si>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</si>
  <si>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</si>
  <si>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</si>
  <si>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</si>
  <si>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</si>
  <si>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</si>
  <si>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</si>
  <si>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</si>
  <si>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</si>
  <si>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</si>
  <si>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</si>
  <si>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</si>
  <si>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</si>
  <si>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</si>
  <si>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</si>
  <si>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</si>
  <si>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</si>
  <si>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</si>
  <si>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</si>
  <si>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</si>
  <si>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</si>
  <si>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</si>
  <si>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</si>
  <si>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</si>
  <si>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</si>
  <si>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</si>
  <si>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</si>
  <si>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</si>
  <si>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</si>
  <si>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</si>
  <si>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</si>
  <si>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</si>
  <si>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</si>
  <si>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</si>
  <si>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</si>
  <si>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</si>
  <si>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</si>
  <si>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</si>
  <si>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</si>
  <si>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</si>
  <si>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</si>
  <si>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</si>
  <si>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</si>
  <si>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</si>
  <si>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</si>
  <si>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</si>
  <si>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</si>
  <si>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</si>
  <si>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</si>
  <si>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</si>
  <si>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</si>
  <si>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</si>
  <si>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</si>
  <si>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</si>
  <si>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</si>
  <si>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</si>
  <si>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</si>
  <si>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</si>
  <si>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</si>
  <si>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</si>
  <si>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</si>
  <si>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</si>
  <si>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</si>
  <si>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</si>
  <si>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</si>
  <si>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</si>
  <si>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</si>
  <si>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</si>
  <si>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</si>
  <si>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</si>
  <si>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</si>
  <si>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</si>
  <si>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</si>
  <si>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</si>
  <si>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</si>
  <si>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</si>
  <si>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</si>
  <si>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</si>
  <si>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</si>
  <si>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</si>
  <si>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</si>
  <si>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</si>
  <si>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</si>
  <si>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</si>
  <si>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</si>
  <si>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</si>
  <si>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</si>
  <si>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</si>
  <si>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</si>
  <si>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</si>
  <si>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</si>
  <si>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</si>
  <si>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</si>
  <si>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</si>
  <si>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</si>
  <si>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</si>
  <si>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</si>
  <si>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</si>
  <si>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</si>
  <si>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</si>
  <si>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</si>
  <si>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</si>
  <si>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</si>
  <si>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</si>
  <si>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</si>
  <si>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</si>
  <si>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</si>
  <si>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</si>
  <si>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</si>
  <si>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</si>
  <si>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</si>
  <si>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</si>
  <si>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</si>
  <si>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</si>
  <si>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</si>
  <si>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</si>
  <si>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</si>
  <si>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</si>
  <si>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</si>
  <si>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</si>
  <si>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</si>
  <si>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</si>
  <si>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</si>
  <si>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</si>
  <si>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</si>
  <si>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</si>
  <si>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</si>
  <si>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</si>
  <si>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</si>
  <si>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</si>
  <si>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</si>
  <si>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</si>
  <si>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</si>
  <si>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</si>
  <si>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</si>
  <si>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</si>
  <si>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</si>
  <si>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</si>
  <si>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</si>
  <si>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</si>
  <si>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</si>
  <si>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</si>
  <si>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</si>
  <si>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</si>
  <si>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</si>
  <si>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</si>
  <si>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</si>
  <si>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</si>
  <si>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</si>
  <si>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</si>
  <si>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</si>
  <si>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</si>
  <si>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</si>
  <si>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</si>
  <si>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</si>
  <si>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</si>
  <si>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</si>
  <si>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</si>
  <si>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</si>
  <si>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</si>
  <si>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</si>
  <si>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</si>
  <si>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</si>
  <si>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</si>
  <si>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</si>
  <si>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</si>
  <si>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</si>
  <si>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</si>
  <si>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</si>
  <si>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</si>
  <si>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</si>
  <si>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</si>
  <si>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</si>
  <si>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</si>
  <si>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</si>
  <si>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</si>
  <si>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</si>
  <si>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</si>
  <si>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</si>
  <si>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</si>
  <si>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</si>
  <si>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</si>
  <si>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</si>
  <si>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</si>
  <si>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</si>
  <si>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</si>
  <si>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</si>
  <si>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</si>
  <si>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</si>
  <si>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</si>
  <si>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</si>
  <si>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</si>
  <si>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</si>
  <si>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</si>
  <si>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</si>
  <si>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</si>
  <si>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</si>
  <si>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</si>
  <si>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</si>
  <si>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</si>
  <si>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</si>
  <si>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</si>
  <si>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</si>
  <si>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</si>
  <si>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</si>
  <si>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</si>
  <si>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</si>
  <si>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</si>
  <si>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</si>
  <si>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</si>
  <si>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</si>
  <si>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</si>
  <si>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</si>
  <si>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</si>
  <si>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</si>
  <si>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</si>
  <si>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</si>
  <si>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</si>
  <si>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</si>
  <si>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</si>
  <si>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</si>
  <si>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</si>
  <si>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</si>
  <si>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</si>
  <si>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</si>
  <si>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</si>
  <si>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</si>
  <si>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</si>
  <si>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</si>
  <si>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</si>
  <si>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</si>
  <si>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</si>
  <si>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</si>
  <si>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</si>
  <si>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</si>
  <si>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</si>
  <si>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</si>
  <si>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</si>
  <si>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</si>
  <si>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</si>
  <si>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</si>
  <si>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</si>
  <si>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</si>
  <si>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</si>
  <si>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</si>
  <si>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</si>
  <si>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</si>
  <si>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</si>
  <si>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</si>
  <si>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</si>
  <si>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</si>
  <si>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</si>
  <si>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</si>
  <si>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</si>
  <si>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</si>
  <si>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</si>
  <si>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</si>
  <si>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</si>
  <si>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</si>
  <si>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</si>
  <si>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</si>
  <si>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</si>
  <si>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</si>
  <si>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</si>
  <si>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</si>
  <si>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</si>
  <si>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</si>
  <si>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</si>
  <si>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</si>
  <si>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</si>
  <si>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</si>
  <si>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</si>
  <si>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</si>
  <si>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</si>
  <si>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</si>
  <si>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</si>
  <si>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</si>
  <si>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</si>
  <si>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</si>
  <si>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</si>
  <si>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</si>
  <si>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</si>
  <si>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</si>
  <si>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</si>
  <si>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</si>
  <si>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</si>
  <si>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</si>
  <si>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</si>
  <si>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</si>
  <si>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</si>
  <si>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</si>
  <si>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</si>
  <si>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</si>
  <si>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</si>
  <si>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</si>
  <si>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</si>
  <si>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</si>
  <si>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</si>
  <si>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</si>
  <si>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</si>
  <si>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</si>
  <si>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</si>
  <si>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</si>
  <si>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</si>
  <si>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</si>
  <si>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</si>
  <si>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</si>
  <si>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</si>
  <si>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</si>
  <si>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</si>
  <si>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</si>
  <si>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</si>
  <si>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</si>
  <si>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</si>
  <si>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</si>
  <si>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</si>
  <si>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</si>
  <si>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</si>
  <si>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</si>
  <si>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</si>
  <si>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</si>
  <si>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</si>
  <si>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</si>
  <si>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</si>
  <si>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</si>
  <si>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</si>
  <si>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</si>
  <si>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</si>
  <si>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</si>
  <si>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</si>
  <si>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</si>
  <si>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</si>
  <si>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</si>
  <si>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</si>
  <si>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</si>
  <si>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</si>
  <si>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</si>
  <si>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</si>
  <si>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</si>
  <si>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</si>
  <si>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</si>
  <si>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</si>
  <si>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</si>
  <si>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</si>
  <si>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</si>
  <si>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</si>
  <si>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</si>
  <si>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</si>
  <si>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</si>
  <si>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</si>
  <si>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</si>
  <si>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</si>
  <si>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</si>
  <si>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</si>
  <si>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</si>
  <si>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</si>
  <si>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</si>
  <si>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</si>
  <si>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</si>
  <si>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</si>
  <si>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</si>
  <si>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</si>
  <si>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</si>
  <si>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</si>
  <si>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</si>
  <si>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</si>
  <si>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</si>
  <si>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</si>
  <si>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</si>
  <si>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</si>
  <si>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</si>
  <si>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</si>
  <si>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</si>
  <si>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</si>
  <si>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</si>
  <si>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</si>
  <si>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</si>
  <si>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</si>
  <si>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</si>
  <si>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</si>
  <si>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</si>
  <si>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</si>
  <si>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</si>
  <si>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</si>
  <si>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</si>
  <si>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</si>
  <si>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</si>
  <si>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</si>
  <si>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</si>
  <si>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</si>
  <si>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</si>
  <si>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</si>
  <si>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</si>
  <si>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</si>
  <si>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</si>
  <si>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</si>
  <si>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</si>
  <si>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</si>
  <si>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</si>
  <si>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</si>
  <si>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</si>
  <si>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</si>
  <si>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</si>
  <si>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</si>
  <si>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</si>
  <si>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</si>
  <si>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</si>
  <si>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</si>
  <si>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</si>
  <si>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</si>
  <si>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</si>
  <si>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</si>
  <si>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</si>
  <si>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</si>
  <si>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</si>
  <si>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</si>
  <si>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</si>
  <si>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</si>
  <si>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</si>
  <si>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</si>
  <si>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</si>
  <si>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</si>
  <si>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</si>
  <si>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</si>
  <si>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</si>
  <si>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</si>
  <si>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</si>
  <si>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</si>
  <si>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</si>
  <si>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</si>
  <si>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</si>
  <si>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</si>
  <si>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Red Rhomboid Stone</t>
  </si>
  <si>
    <t>Feuerdiamant</t>
  </si>
  <si>
    <t>Derzeit keine Einlöseoption
(Juwel)</t>
  </si>
  <si>
    <t>Đá Hình Thoi Đỏ</t>
  </si>
  <si>
    <t>茶會拍立得收藏集</t>
  </si>
  <si>
    <t>完成後提升幸運值</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</si>
  <si>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</si>
  <si>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</si>
  <si>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</si>
  <si>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</si>
  <si>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</si>
  <si>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</si>
  <si>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</si>
  <si>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</si>
  <si>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Ginkela</t>
  </si>
  <si>
    <t>Fertilizer/Lures monsters</t>
  </si>
  <si>
    <t>Dünger / Lockt Monster an</t>
  </si>
  <si>
    <t>Phân bón/Dụ quái vật</t>
  </si>
  <si>
    <t>冒險者心得</t>
  </si>
  <si>
    <t>攻略心得(部分地區可能需要連國外網路)</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</si>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</sst>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руководств"&amp;"о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требуе"&amp;"тся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ein VPN für den Zugriff auf andere Regionen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ein VPN für den Zugriff auf andere Regionen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0.6Bバージョン情報を新規追加: イベント")</f>
        <v>2025/1/5 0.6Bバージョン情報を新規追加: 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걸 원해.""")</f>
        <v>어디 보자... -3
"섹시한 걸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7"/>
      <c r="B83" s="17"/>
      <c r="C83" s="46"/>
      <c r="D83" s="46"/>
      <c r="E83" s="17"/>
      <c r="F83" s="17"/>
      <c r="G83" s="46"/>
      <c r="H83" s="46"/>
      <c r="I83" s="17"/>
      <c r="J83" s="17"/>
      <c r="K83" s="46"/>
      <c r="L83" s="46"/>
      <c r="M83" s="17"/>
      <c r="N83" s="17"/>
      <c r="O83" s="46"/>
      <c r="P83" s="46"/>
      <c r="Q83" s="17"/>
      <c r="R83" s="17"/>
      <c r="S83" s="46"/>
      <c r="T83" s="46"/>
      <c r="U83" s="17"/>
      <c r="V83" s="17"/>
      <c r="W83" s="46"/>
      <c r="X83" s="46"/>
      <c r="Y83" s="17"/>
      <c r="Z83" s="17"/>
      <c r="AA83" s="46"/>
      <c r="AB83" s="46"/>
      <c r="AC83" s="17"/>
      <c r="AD83" s="17"/>
      <c r="AE83" s="46"/>
      <c r="AF83" s="46"/>
      <c r="AG83" s="142"/>
      <c r="AH83" s="142"/>
      <c r="AI83" s="142"/>
      <c r="AJ83" s="142"/>
      <c r="AK83" s="46"/>
      <c r="AL83" s="46"/>
      <c r="AM83" s="46"/>
      <c r="AN83" s="46"/>
      <c r="AO83" s="46"/>
    </row>
    <row r="84">
      <c r="A84" s="80" t="s">
        <v>1644</v>
      </c>
      <c r="B84" s="143" t="s">
        <v>1645</v>
      </c>
      <c r="E84" s="80" t="s">
        <v>1644</v>
      </c>
      <c r="F84" s="80" t="s">
        <v>1646</v>
      </c>
      <c r="I84" s="80" t="s">
        <v>1644</v>
      </c>
      <c r="J84" s="80" t="s">
        <v>1647</v>
      </c>
      <c r="M84" s="80" t="s">
        <v>1644</v>
      </c>
      <c r="N84" s="80" t="str">
        <f>IFERROR(__xludf.DUMMYFUNCTION("GOOGLETRANSLATE(B84,""zh-tw"",""zh"")"),"夜袭相关")</f>
        <v>夜袭相关</v>
      </c>
      <c r="Q84" s="80" t="s">
        <v>1644</v>
      </c>
      <c r="R84" s="80" t="s">
        <v>1648</v>
      </c>
      <c r="U84" s="80" t="s">
        <v>1644</v>
      </c>
      <c r="V84" s="80" t="s">
        <v>1649</v>
      </c>
      <c r="Y84" s="80" t="s">
        <v>1644</v>
      </c>
      <c r="Z84" s="80" t="s">
        <v>1650</v>
      </c>
      <c r="AC84" s="80" t="s">
        <v>1644</v>
      </c>
      <c r="AD84" s="80" t="s">
        <v>1651</v>
      </c>
      <c r="AG84" s="82" t="s">
        <v>1644</v>
      </c>
      <c r="AH84" s="144" t="s">
        <v>1652</v>
      </c>
      <c r="AK84" s="143"/>
      <c r="AL84" s="143"/>
      <c r="AM84" s="143"/>
      <c r="AN84" s="143"/>
      <c r="AO84" s="143"/>
    </row>
    <row r="85">
      <c r="A85" s="136">
        <v>1.0</v>
      </c>
      <c r="B85" s="88" t="s">
        <v>1653</v>
      </c>
      <c r="C85" s="89" t="s">
        <v>1654</v>
      </c>
      <c r="D85" s="55" t="s">
        <v>1655</v>
      </c>
      <c r="E85" s="136">
        <v>1.0</v>
      </c>
      <c r="F85" s="88" t="s">
        <v>1656</v>
      </c>
      <c r="G85" s="89" t="s">
        <v>1657</v>
      </c>
      <c r="H85" s="55" t="s">
        <v>1658</v>
      </c>
      <c r="I85" s="136">
        <v>1.0</v>
      </c>
      <c r="J85" s="88" t="s">
        <v>1659</v>
      </c>
      <c r="K85" s="89" t="s">
        <v>1660</v>
      </c>
      <c r="L85" s="55" t="s">
        <v>1661</v>
      </c>
      <c r="M85" s="136">
        <v>1.0</v>
      </c>
      <c r="N85" s="88" t="str">
        <f>IFERROR(__xludf.DUMMYFUNCTION("GOOGLETRANSLATE(B85,""zh-tw"",""zh"")"),"气息消除-3")</f>
        <v>气息消除-3</v>
      </c>
      <c r="O85" s="89" t="str">
        <f>IFERROR(__xludf.DUMMYFUNCTION("GOOGLETRANSLATE(C85,""zh-tw"",""zh"")"),"夜袭相关选项")</f>
        <v>夜袭相关选项</v>
      </c>
      <c r="P85" s="55" t="str">
        <f>IFERROR(__xludf.DUMMYFUNCTION("GOOGLETRANSLATE(D85,""zh-tw"",""zh"")"),"未实装
待夜袭场景重制")</f>
        <v>未实装
待夜袭场景重制</v>
      </c>
      <c r="Q85" s="136">
        <v>1.0</v>
      </c>
      <c r="R85" s="100" t="s">
        <v>1662</v>
      </c>
      <c r="S85" s="97" t="s">
        <v>1663</v>
      </c>
      <c r="T85" s="52" t="s">
        <v>1664</v>
      </c>
      <c r="U85" s="136">
        <v>1.0</v>
      </c>
      <c r="V85" s="88" t="str">
        <f>IFERROR(__xludf.DUMMYFUNCTION("GOOGLETRANSLATE(B85,""zh-tw"",""KO"")"),"호흡 제거 -3")</f>
        <v>호흡 제거 -3</v>
      </c>
      <c r="W85" s="89" t="str">
        <f>IFERROR(__xludf.DUMMYFUNCTION("GOOGLETRANSLATE(C85,""zh-tw"",""KO"")"),"야간 습격 옵션")</f>
        <v>야간 습격 옵션</v>
      </c>
      <c r="X85" s="55" t="str">
        <f>IFERROR(__xludf.DUMMYFUNCTION("GOOGLETRANSLATE(D85,""zh-tw"",""KO"")"),"아직 구현되지 않음
야간 공격 장면 리메이크를 기다리는 중")</f>
        <v>아직 구현되지 않음
야간 공격 장면 리메이크를 기다리는 중</v>
      </c>
      <c r="Y85" s="136">
        <v>1.0</v>
      </c>
      <c r="Z85" s="118" t="str">
        <f>IFERROR(__xludf.DUMMYFUNCTION("IF(J85="""", """", GOOGLETRANSLATE(
J85,""en"",""ru""))"),"Сокрытие дыхания-3")</f>
        <v>Сокрытие дыхания-3</v>
      </c>
      <c r="AA85" s="137" t="str">
        <f>IFERROR(__xludf.DUMMYFUNCTION("IF(K85="""", """", GOOGLETRANSLATE(K85,""en"",""RU""))"),"Новая опция будет доступна во время ночных рейдов.")</f>
        <v>Новая опция будет доступна во время ночных рейдов.</v>
      </c>
      <c r="AB85" s="114" t="str">
        <f>IFERROR(__xludf.DUMMYFUNCTION("IF(L85="""", """", GOOGLETRANSLATE(L85, ""en"", ""ru""))
"),"*Пока не реализовано. Пожалуйста, дождитесь переработки ночных рейдов.")</f>
        <v>*Пока не реализовано. Пожалуйста, дождитесь переработки ночных рейдов.</v>
      </c>
      <c r="AC85" s="136">
        <v>1.0</v>
      </c>
      <c r="AD85" s="88" t="s">
        <v>1665</v>
      </c>
      <c r="AE85" s="89" t="s">
        <v>1666</v>
      </c>
      <c r="AF85" s="55" t="s">
        <v>905</v>
      </c>
      <c r="AG85" s="138">
        <v>1.0</v>
      </c>
      <c r="AH85" s="139" t="s">
        <v>1667</v>
      </c>
      <c r="AI85" s="140" t="s">
        <v>1668</v>
      </c>
      <c r="AJ85" s="141" t="s">
        <v>1669</v>
      </c>
      <c r="AK85" s="55"/>
      <c r="AL85" s="55"/>
      <c r="AM85" s="55"/>
      <c r="AN85" s="55"/>
      <c r="AO85" s="55"/>
    </row>
    <row r="86">
      <c r="A86" s="17"/>
      <c r="B86" s="17"/>
      <c r="C86" s="46"/>
      <c r="D86" s="46"/>
      <c r="E86" s="17"/>
      <c r="F86" s="17"/>
      <c r="G86" s="46"/>
      <c r="H86" s="46"/>
      <c r="I86" s="17"/>
      <c r="J86" s="17"/>
      <c r="K86" s="46"/>
      <c r="L86" s="46"/>
      <c r="M86" s="17"/>
      <c r="N86" s="17"/>
      <c r="O86" s="46"/>
      <c r="P86" s="46"/>
      <c r="Q86" s="17"/>
      <c r="R86" s="17"/>
      <c r="S86" s="46"/>
      <c r="T86" s="46"/>
      <c r="U86" s="17"/>
      <c r="V86" s="17"/>
      <c r="W86" s="46"/>
      <c r="X86" s="46"/>
      <c r="Y86" s="17"/>
      <c r="Z86" s="17"/>
      <c r="AA86" s="46"/>
      <c r="AB86" s="46"/>
      <c r="AC86" s="17"/>
      <c r="AD86" s="17"/>
      <c r="AE86" s="46"/>
      <c r="AF86" s="46"/>
      <c r="AG86" s="142"/>
      <c r="AH86" s="142"/>
      <c r="AI86" s="142"/>
      <c r="AJ86" s="142"/>
      <c r="AK86" s="46"/>
      <c r="AL86" s="46"/>
      <c r="AM86" s="46"/>
      <c r="AN86" s="46"/>
      <c r="AO86" s="46"/>
    </row>
    <row r="87">
      <c r="A87" s="17"/>
      <c r="B87" s="17"/>
      <c r="C87" s="46"/>
      <c r="D87" s="46"/>
      <c r="E87" s="17"/>
      <c r="F87" s="17"/>
      <c r="G87" s="46"/>
      <c r="H87" s="46"/>
      <c r="I87" s="17"/>
      <c r="J87" s="17"/>
      <c r="K87" s="46"/>
      <c r="L87" s="46"/>
      <c r="M87" s="17"/>
      <c r="N87" s="17"/>
      <c r="O87" s="46"/>
      <c r="P87" s="46"/>
      <c r="Q87" s="17"/>
      <c r="R87" s="17"/>
      <c r="S87" s="46"/>
      <c r="T87" s="46"/>
      <c r="U87" s="17"/>
      <c r="V87" s="17"/>
      <c r="W87" s="46"/>
      <c r="X87" s="46"/>
      <c r="Y87" s="17"/>
      <c r="Z87" s="17"/>
      <c r="AA87" s="46"/>
      <c r="AB87" s="46"/>
      <c r="AC87" s="17"/>
      <c r="AD87" s="17"/>
      <c r="AE87" s="46"/>
      <c r="AF87" s="46"/>
      <c r="AG87" s="142"/>
      <c r="AH87" s="142"/>
      <c r="AI87" s="142"/>
      <c r="AJ87" s="142"/>
      <c r="AK87" s="46"/>
      <c r="AL87" s="46"/>
      <c r="AM87" s="46"/>
      <c r="AN87" s="46"/>
      <c r="AO87" s="46"/>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17"/>
      <c r="B89" s="17"/>
      <c r="C89" s="46"/>
      <c r="D89" s="46"/>
      <c r="E89" s="17"/>
      <c r="F89" s="17"/>
      <c r="G89" s="46"/>
      <c r="H89" s="46"/>
      <c r="I89" s="17"/>
      <c r="J89" s="17"/>
      <c r="K89" s="46"/>
      <c r="L89" s="46"/>
      <c r="M89" s="17"/>
      <c r="N89" s="17"/>
      <c r="O89" s="46"/>
      <c r="P89" s="46"/>
      <c r="Q89" s="17"/>
      <c r="R89" s="17"/>
      <c r="S89" s="46"/>
      <c r="T89" s="46"/>
      <c r="U89" s="17"/>
      <c r="V89" s="17"/>
      <c r="W89" s="46"/>
      <c r="X89" s="46"/>
      <c r="Y89" s="17"/>
      <c r="Z89" s="17"/>
      <c r="AA89" s="46"/>
      <c r="AB89" s="46"/>
      <c r="AC89" s="17"/>
      <c r="AD89" s="17"/>
      <c r="AE89" s="46"/>
      <c r="AF89" s="46"/>
      <c r="AG89" s="142"/>
      <c r="AH89" s="142"/>
      <c r="AI89" s="142"/>
      <c r="AJ89" s="142"/>
      <c r="AK89" s="46"/>
      <c r="AL89" s="46"/>
      <c r="AM89" s="46"/>
      <c r="AN89" s="46"/>
      <c r="AO89" s="46"/>
    </row>
    <row r="90">
      <c r="A90" s="17"/>
      <c r="B90" s="17"/>
      <c r="C90" s="46"/>
      <c r="D90" s="46"/>
      <c r="E90" s="17"/>
      <c r="F90" s="17"/>
      <c r="G90" s="46"/>
      <c r="H90" s="46"/>
      <c r="I90" s="17"/>
      <c r="J90" s="17"/>
      <c r="K90" s="46"/>
      <c r="L90" s="46"/>
      <c r="M90" s="17"/>
      <c r="N90" s="17"/>
      <c r="O90" s="46"/>
      <c r="P90" s="46"/>
      <c r="Q90" s="17"/>
      <c r="R90" s="17"/>
      <c r="S90" s="46"/>
      <c r="T90" s="46"/>
      <c r="U90" s="17"/>
      <c r="V90" s="17"/>
      <c r="W90" s="46"/>
      <c r="X90" s="46"/>
      <c r="Y90" s="17"/>
      <c r="Z90" s="17"/>
      <c r="AA90" s="46"/>
      <c r="AB90" s="46"/>
      <c r="AC90" s="17"/>
      <c r="AD90" s="17"/>
      <c r="AE90" s="46"/>
      <c r="AF90" s="46"/>
      <c r="AG90" s="142"/>
      <c r="AH90" s="142"/>
      <c r="AI90" s="142"/>
      <c r="AJ90" s="142"/>
      <c r="AK90" s="46"/>
      <c r="AL90" s="46"/>
      <c r="AM90" s="46"/>
      <c r="AN90" s="46"/>
      <c r="AO90" s="46"/>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5"/>
      <c r="AH931" s="146"/>
      <c r="AI931" s="147"/>
      <c r="AJ931" s="148"/>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5"/>
      <c r="AH932" s="146"/>
      <c r="AI932" s="147"/>
      <c r="AJ932" s="148"/>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5"/>
      <c r="AH933" s="146"/>
      <c r="AI933" s="147"/>
      <c r="AJ933" s="148"/>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5"/>
      <c r="AH934" s="146"/>
      <c r="AI934" s="147"/>
      <c r="AJ934" s="148"/>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5"/>
      <c r="AH935" s="146"/>
      <c r="AI935" s="147"/>
      <c r="AJ935" s="148"/>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36"/>
      <c r="B977" s="88"/>
      <c r="C977" s="89"/>
      <c r="D977" s="55"/>
      <c r="E977" s="136"/>
      <c r="F977" s="88"/>
      <c r="G977" s="89"/>
      <c r="H977" s="55"/>
      <c r="I977" s="136"/>
      <c r="J977" s="88"/>
      <c r="K977" s="89"/>
      <c r="L977" s="55"/>
      <c r="M977" s="136"/>
      <c r="N977" s="88"/>
      <c r="O977" s="89"/>
      <c r="P977" s="55"/>
      <c r="Q977" s="17"/>
      <c r="R977" s="17"/>
      <c r="S977" s="46"/>
      <c r="T977" s="46"/>
      <c r="U977" s="17"/>
      <c r="V977" s="17"/>
      <c r="W977" s="46"/>
      <c r="X977" s="46"/>
      <c r="Y977" s="136"/>
      <c r="Z977" s="149"/>
      <c r="AA977" s="150"/>
      <c r="AB977" s="150"/>
      <c r="AC977" s="136"/>
      <c r="AD977" s="17"/>
      <c r="AE977" s="151"/>
      <c r="AF977" s="151"/>
      <c r="AG977" s="145"/>
      <c r="AH977" s="146"/>
      <c r="AI977" s="147"/>
      <c r="AJ977" s="148"/>
      <c r="AK977" s="55"/>
      <c r="AL977" s="55"/>
      <c r="AM977" s="55"/>
      <c r="AN977" s="55"/>
      <c r="AO977" s="55"/>
    </row>
    <row r="978">
      <c r="A978" s="136"/>
      <c r="B978" s="88"/>
      <c r="C978" s="89"/>
      <c r="D978" s="55"/>
      <c r="E978" s="136"/>
      <c r="F978" s="88"/>
      <c r="G978" s="89"/>
      <c r="H978" s="55"/>
      <c r="I978" s="136"/>
      <c r="J978" s="88"/>
      <c r="K978" s="89"/>
      <c r="L978" s="55"/>
      <c r="M978" s="136"/>
      <c r="N978" s="88"/>
      <c r="O978" s="89"/>
      <c r="P978" s="55"/>
      <c r="Q978" s="17"/>
      <c r="R978" s="17"/>
      <c r="S978" s="46"/>
      <c r="T978" s="46"/>
      <c r="U978" s="17"/>
      <c r="V978" s="17"/>
      <c r="W978" s="46"/>
      <c r="X978" s="46"/>
      <c r="Y978" s="136"/>
      <c r="Z978" s="149"/>
      <c r="AA978" s="150"/>
      <c r="AB978" s="150"/>
      <c r="AC978" s="136"/>
      <c r="AD978" s="17"/>
      <c r="AE978" s="151"/>
      <c r="AF978" s="151"/>
      <c r="AG978" s="145"/>
      <c r="AH978" s="146"/>
      <c r="AI978" s="147"/>
      <c r="AJ978" s="148"/>
      <c r="AK978" s="55"/>
      <c r="AL978" s="55"/>
      <c r="AM978" s="55"/>
      <c r="AN978" s="55"/>
      <c r="AO978" s="55"/>
    </row>
    <row r="979">
      <c r="A979" s="136"/>
      <c r="B979" s="88"/>
      <c r="C979" s="89"/>
      <c r="D979" s="55"/>
      <c r="E979" s="136"/>
      <c r="F979" s="88"/>
      <c r="G979" s="89"/>
      <c r="H979" s="55"/>
      <c r="I979" s="136"/>
      <c r="J979" s="88"/>
      <c r="K979" s="89"/>
      <c r="L979" s="55"/>
      <c r="M979" s="136"/>
      <c r="N979" s="88"/>
      <c r="O979" s="89"/>
      <c r="P979" s="55"/>
      <c r="Q979" s="17"/>
      <c r="R979" s="17"/>
      <c r="S979" s="46"/>
      <c r="T979" s="46"/>
      <c r="U979" s="17"/>
      <c r="V979" s="17"/>
      <c r="W979" s="46"/>
      <c r="X979" s="46"/>
      <c r="Y979" s="136"/>
      <c r="Z979" s="149"/>
      <c r="AA979" s="150"/>
      <c r="AB979" s="150"/>
      <c r="AC979" s="136"/>
      <c r="AD979" s="17"/>
      <c r="AE979" s="151"/>
      <c r="AF979" s="151"/>
      <c r="AG979" s="145"/>
      <c r="AH979" s="146"/>
      <c r="AI979" s="147"/>
      <c r="AJ979" s="148"/>
      <c r="AK979" s="55"/>
      <c r="AL979" s="55"/>
      <c r="AM979" s="55"/>
      <c r="AN979" s="55"/>
      <c r="AO979" s="55"/>
    </row>
    <row r="980">
      <c r="A980" s="136"/>
      <c r="B980" s="88"/>
      <c r="C980" s="89"/>
      <c r="D980" s="55"/>
      <c r="E980" s="136"/>
      <c r="F980" s="88"/>
      <c r="G980" s="89"/>
      <c r="H980" s="55"/>
      <c r="I980" s="136"/>
      <c r="J980" s="88"/>
      <c r="K980" s="89"/>
      <c r="L980" s="55"/>
      <c r="M980" s="136"/>
      <c r="N980" s="88"/>
      <c r="O980" s="89"/>
      <c r="P980" s="55"/>
      <c r="Q980" s="17"/>
      <c r="R980" s="17"/>
      <c r="S980" s="46"/>
      <c r="T980" s="46"/>
      <c r="U980" s="17"/>
      <c r="V980" s="17"/>
      <c r="W980" s="46"/>
      <c r="X980" s="46"/>
      <c r="Y980" s="136"/>
      <c r="Z980" s="149"/>
      <c r="AA980" s="150"/>
      <c r="AB980" s="150"/>
      <c r="AC980" s="136"/>
      <c r="AD980" s="17"/>
      <c r="AE980" s="151"/>
      <c r="AF980" s="151"/>
      <c r="AG980" s="145"/>
      <c r="AH980" s="146"/>
      <c r="AI980" s="147"/>
      <c r="AJ980" s="148"/>
      <c r="AK980" s="55"/>
      <c r="AL980" s="55"/>
      <c r="AM980" s="55"/>
      <c r="AN980" s="55"/>
      <c r="AO980" s="55"/>
    </row>
    <row r="981">
      <c r="A981" s="136"/>
      <c r="B981" s="88"/>
      <c r="C981" s="89"/>
      <c r="D981" s="55"/>
      <c r="E981" s="136"/>
      <c r="F981" s="88"/>
      <c r="G981" s="89"/>
      <c r="H981" s="55"/>
      <c r="I981" s="136"/>
      <c r="J981" s="88"/>
      <c r="K981" s="89"/>
      <c r="L981" s="55"/>
      <c r="M981" s="136"/>
      <c r="N981" s="88"/>
      <c r="O981" s="89"/>
      <c r="P981" s="55"/>
      <c r="Q981" s="17"/>
      <c r="R981" s="17"/>
      <c r="S981" s="46"/>
      <c r="T981" s="46"/>
      <c r="U981" s="17"/>
      <c r="V981" s="17"/>
      <c r="W981" s="46"/>
      <c r="X981" s="46"/>
      <c r="Y981" s="136"/>
      <c r="Z981" s="149"/>
      <c r="AA981" s="150"/>
      <c r="AB981" s="150"/>
      <c r="AC981" s="136"/>
      <c r="AD981" s="17"/>
      <c r="AE981" s="151"/>
      <c r="AF981" s="151"/>
      <c r="AG981" s="145"/>
      <c r="AH981" s="146"/>
      <c r="AI981" s="147"/>
      <c r="AJ981" s="148"/>
      <c r="AK981" s="55"/>
      <c r="AL981" s="55"/>
      <c r="AM981" s="55"/>
      <c r="AN981" s="55"/>
      <c r="AO981" s="55"/>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4:AF84"/>
    <mergeCell ref="AH84:AJ84"/>
    <mergeCell ref="B84:D84"/>
    <mergeCell ref="F84:H84"/>
    <mergeCell ref="J84:L84"/>
    <mergeCell ref="N84:P84"/>
    <mergeCell ref="R84:T84"/>
    <mergeCell ref="V84:X84"/>
    <mergeCell ref="Z84:AB84"/>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2" t="s">
        <v>1670</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1671</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1672</v>
      </c>
      <c r="AG3" s="154" t="s">
        <v>1673</v>
      </c>
      <c r="AK3" s="155"/>
      <c r="AL3" s="155"/>
    </row>
    <row r="4">
      <c r="A4" s="156" t="s">
        <v>216</v>
      </c>
      <c r="B4" s="70" t="s">
        <v>1674</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1675</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1676</v>
      </c>
      <c r="AE4" s="159" t="s">
        <v>1677</v>
      </c>
      <c r="AF4" s="72" t="s">
        <v>1678</v>
      </c>
      <c r="AG4" s="73" t="s">
        <v>1679</v>
      </c>
      <c r="AH4" s="160" t="s">
        <v>1680</v>
      </c>
      <c r="AI4" s="161" t="s">
        <v>1681</v>
      </c>
      <c r="AJ4" s="162" t="s">
        <v>235</v>
      </c>
      <c r="AK4" s="30"/>
      <c r="AL4" s="30"/>
    </row>
    <row r="5">
      <c r="A5" s="128" t="s">
        <v>1682</v>
      </c>
      <c r="B5" s="100" t="s">
        <v>1683</v>
      </c>
      <c r="C5" s="97" t="s">
        <v>1684</v>
      </c>
      <c r="D5" s="52" t="s">
        <v>1685</v>
      </c>
      <c r="E5" s="128" t="str">
        <f>IFERROR(__xludf.DUMMYFUNCTION("GOOGLETRANSLATE(A5,""zh-tw"",""ja"")"),"R1")</f>
        <v>R1</v>
      </c>
      <c r="F5" s="100" t="s">
        <v>1686</v>
      </c>
      <c r="G5" s="97" t="s">
        <v>1687</v>
      </c>
      <c r="H5" s="52" t="s">
        <v>1688</v>
      </c>
      <c r="I5" s="128" t="str">
        <f>IFERROR(__xludf.DUMMYFUNCTION("GOOGLETRANSLATE(A5,""zh-tw"",""en"")"),"R1")</f>
        <v>R1</v>
      </c>
      <c r="J5" s="100" t="s">
        <v>1689</v>
      </c>
      <c r="K5" s="97" t="s">
        <v>1690</v>
      </c>
      <c r="L5" s="52" t="s">
        <v>1691</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1692</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1693</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1694</v>
      </c>
      <c r="AE5" s="166" t="s">
        <v>1695</v>
      </c>
      <c r="AF5" s="125" t="s">
        <v>1696</v>
      </c>
      <c r="AG5" s="93" t="s">
        <v>1682</v>
      </c>
      <c r="AH5" s="94" t="s">
        <v>1697</v>
      </c>
      <c r="AI5" s="167" t="s">
        <v>1698</v>
      </c>
      <c r="AJ5" s="96" t="s">
        <v>1699</v>
      </c>
      <c r="AK5" s="30"/>
      <c r="AL5" s="30"/>
    </row>
    <row r="6">
      <c r="A6" s="128" t="s">
        <v>1700</v>
      </c>
      <c r="B6" s="100" t="s">
        <v>1701</v>
      </c>
      <c r="C6" s="97" t="s">
        <v>1702</v>
      </c>
      <c r="D6" s="52" t="s">
        <v>1703</v>
      </c>
      <c r="E6" s="128" t="str">
        <f>IFERROR(__xludf.DUMMYFUNCTION("GOOGLETRANSLATE(A6,""zh-tw"",""ja"")"),"R2")</f>
        <v>R2</v>
      </c>
      <c r="F6" s="100" t="s">
        <v>1701</v>
      </c>
      <c r="G6" s="97" t="s">
        <v>1704</v>
      </c>
      <c r="H6" s="52" t="s">
        <v>1705</v>
      </c>
      <c r="I6" s="128" t="str">
        <f>IFERROR(__xludf.DUMMYFUNCTION("GOOGLETRANSLATE(A6,""zh-tw"",""en"")"),"R2")</f>
        <v>R2</v>
      </c>
      <c r="J6" s="100" t="s">
        <v>1706</v>
      </c>
      <c r="K6" s="97" t="s">
        <v>1707</v>
      </c>
      <c r="L6" s="52" t="s">
        <v>1708</v>
      </c>
      <c r="M6" s="136" t="str">
        <f>IFERROR(__xludf.DUMMYFUNCTION("GOOGLETRANSLATE(A6,""zh-tw"",""en"")"),"R2")</f>
        <v>R2</v>
      </c>
      <c r="N6" s="100" t="str">
        <f>IFERROR(__xludf.DUMMYFUNCTION("GOOGLETRANSLATE(B6,""zh-tw"",""zh"")"),"闪步太刀")</f>
        <v>闪步太刀</v>
      </c>
      <c r="O6" s="97" t="s">
        <v>1709</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1710</v>
      </c>
      <c r="AE6" s="166" t="s">
        <v>1711</v>
      </c>
      <c r="AF6" s="125" t="s">
        <v>1712</v>
      </c>
      <c r="AG6" s="93" t="s">
        <v>1700</v>
      </c>
      <c r="AH6" s="94" t="s">
        <v>1706</v>
      </c>
      <c r="AI6" s="167" t="s">
        <v>1713</v>
      </c>
      <c r="AJ6" s="96" t="s">
        <v>1714</v>
      </c>
      <c r="AK6" s="30"/>
      <c r="AL6" s="30"/>
    </row>
    <row r="7" ht="167.25" customHeight="1">
      <c r="A7" s="128" t="s">
        <v>1715</v>
      </c>
      <c r="B7" s="100" t="s">
        <v>1716</v>
      </c>
      <c r="C7" s="97" t="s">
        <v>1717</v>
      </c>
      <c r="D7" s="52" t="s">
        <v>1718</v>
      </c>
      <c r="E7" s="128" t="str">
        <f>IFERROR(__xludf.DUMMYFUNCTION("GOOGLETRANSLATE(A7,""zh-tw"",""ja"")"),"R3")</f>
        <v>R3</v>
      </c>
      <c r="F7" s="100" t="s">
        <v>1719</v>
      </c>
      <c r="G7" s="97" t="s">
        <v>1720</v>
      </c>
      <c r="H7" s="52" t="s">
        <v>1721</v>
      </c>
      <c r="I7" s="128" t="str">
        <f>IFERROR(__xludf.DUMMYFUNCTION("GOOGLETRANSLATE(A7,""zh-tw"",""en"")"),"R3")</f>
        <v>R3</v>
      </c>
      <c r="J7" s="100" t="s">
        <v>1722</v>
      </c>
      <c r="K7" s="97" t="s">
        <v>1723</v>
      </c>
      <c r="L7" s="52" t="s">
        <v>1724</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1725</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3" t="str">
        <f>IFERROR(__xludf.DUMMYFUNCTION("GOOGLETRANSLATE(I7,""zh-tw"",""en"")"),"R3")</f>
        <v>R3</v>
      </c>
      <c r="AD7" s="100" t="s">
        <v>1726</v>
      </c>
      <c r="AE7" s="166" t="s">
        <v>1727</v>
      </c>
      <c r="AF7" s="125" t="s">
        <v>1728</v>
      </c>
      <c r="AG7" s="93" t="s">
        <v>1715</v>
      </c>
      <c r="AH7" s="94" t="s">
        <v>1729</v>
      </c>
      <c r="AI7" s="167" t="s">
        <v>1730</v>
      </c>
      <c r="AJ7" s="96" t="s">
        <v>1731</v>
      </c>
      <c r="AK7" s="30"/>
      <c r="AL7" s="30"/>
    </row>
    <row r="8">
      <c r="A8" s="128" t="s">
        <v>1732</v>
      </c>
      <c r="B8" s="100" t="s">
        <v>1733</v>
      </c>
      <c r="C8" s="97" t="s">
        <v>1734</v>
      </c>
      <c r="D8" s="52" t="s">
        <v>1735</v>
      </c>
      <c r="E8" s="128" t="str">
        <f>IFERROR(__xludf.DUMMYFUNCTION("GOOGLETRANSLATE(A8,""zh-tw"",""ja"")"),"R4")</f>
        <v>R4</v>
      </c>
      <c r="F8" s="100" t="str">
        <f>IFERROR(__xludf.DUMMYFUNCTION("GOOGLETRANSLATE(B8,""zh-tw"",""ja"")"),"戦略はどこにあるのでしょうか?")</f>
        <v>戦略はどこにあるのでしょうか?</v>
      </c>
      <c r="G8" s="106" t="str">
        <f>IFERROR(__xludf.DUMMYFUNCTION("GOOGLETRANSLATE(C8,""zh-tw"",""ja"")"),"冒険者の道：集会所、焚き火の前にあります。晴れた日（暑くない日）で、かつ正午12時までに「ドレスを着た幽霊少女」が現れます。彼女に話しかけ、翌日にもう一度話しかけるとアイテムがもらえます。")</f>
        <v>冒険者の道：集会所、焚き火の前にあります。晴れた日（暑くない日）で、かつ正午12時までに「ドレスを着た幽霊少女」が現れます。彼女に話しかけ、翌日にもう一度話しかけるとアイテムがもらえます。</v>
      </c>
      <c r="H8" s="52" t="str">
        <f>IFERROR(__xludf.DUMMYFUNCTION("GOOGLETRANSLATE(D8,""zh-tw"",""ja"")"),"入手アイテム：冒険者経験値
*ストーリーは今後更新予定です")</f>
        <v>入手アイテム：冒険者経験値
*ストーリーは今後更新予定です</v>
      </c>
      <c r="I8" s="128" t="str">
        <f>IFERROR(__xludf.DUMMYFUNCTION("GOOGLETRANSLATE(A8,""zh-tw"",""en"")"),"R4")</f>
        <v>R4</v>
      </c>
      <c r="J8" s="100" t="s">
        <v>1736</v>
      </c>
      <c r="K8" s="106" t="s">
        <v>1737</v>
      </c>
      <c r="L8" s="52" t="s">
        <v>1738</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1739</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1740</v>
      </c>
      <c r="AE8" s="166" t="s">
        <v>1741</v>
      </c>
      <c r="AF8" s="125" t="s">
        <v>1742</v>
      </c>
      <c r="AG8" s="93" t="s">
        <v>1732</v>
      </c>
      <c r="AH8" s="135" t="s">
        <v>1743</v>
      </c>
      <c r="AI8" s="168" t="s">
        <v>1744</v>
      </c>
      <c r="AJ8" s="110" t="s">
        <v>1745</v>
      </c>
      <c r="AK8" s="30"/>
      <c r="AL8" s="30"/>
    </row>
    <row r="9">
      <c r="A9" s="128" t="s">
        <v>1746</v>
      </c>
      <c r="B9" s="100" t="s">
        <v>1747</v>
      </c>
      <c r="C9" s="97" t="s">
        <v>1748</v>
      </c>
      <c r="D9" s="117" t="s">
        <v>723</v>
      </c>
      <c r="E9" s="128" t="str">
        <f>IFERROR(__xludf.DUMMYFUNCTION("GOOGLETRANSLATE(A9,""zh-tw"",""ja"")"),"R5")</f>
        <v>R5</v>
      </c>
      <c r="F9" s="100" t="s">
        <v>1749</v>
      </c>
      <c r="G9" s="97" t="s">
        <v>1750</v>
      </c>
      <c r="H9" s="117" t="str">
        <f>IFERROR(__xludf.DUMMYFUNCTION("GOOGLETRANSLATE(D9,""zh-tw"",""ja"")"),"-")</f>
        <v>-</v>
      </c>
      <c r="I9" s="128" t="str">
        <f>IFERROR(__xludf.DUMMYFUNCTION("GOOGLETRANSLATE(A9,""zh-tw"",""en"")"),"R5")</f>
        <v>R5</v>
      </c>
      <c r="J9" s="100" t="s">
        <v>1751</v>
      </c>
      <c r="K9" s="97" t="s">
        <v>1752</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1753</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1754</v>
      </c>
      <c r="AE9" s="166" t="s">
        <v>1755</v>
      </c>
      <c r="AF9" s="125" t="s">
        <v>1756</v>
      </c>
      <c r="AG9" s="93" t="s">
        <v>1746</v>
      </c>
      <c r="AH9" s="94" t="s">
        <v>1757</v>
      </c>
      <c r="AI9" s="167" t="s">
        <v>1758</v>
      </c>
      <c r="AJ9" s="123" t="s">
        <v>723</v>
      </c>
      <c r="AK9" s="30"/>
      <c r="AL9" s="30"/>
    </row>
    <row r="10" ht="122.25" customHeight="1">
      <c r="A10" s="128" t="s">
        <v>1759</v>
      </c>
      <c r="B10" s="85" t="s">
        <v>1760</v>
      </c>
      <c r="C10" s="124" t="s">
        <v>1761</v>
      </c>
      <c r="D10" s="87" t="s">
        <v>1762</v>
      </c>
      <c r="E10" s="128" t="str">
        <f>IFERROR(__xludf.DUMMYFUNCTION("GOOGLETRANSLATE(A10,""zh-tw"",""ja"")"),"R6")</f>
        <v>R6</v>
      </c>
      <c r="F10" s="100" t="s">
        <v>1763</v>
      </c>
      <c r="G10" s="106" t="s">
        <v>1764</v>
      </c>
      <c r="H10" s="52" t="s">
        <v>1765</v>
      </c>
      <c r="I10" s="128" t="str">
        <f>IFERROR(__xludf.DUMMYFUNCTION("GOOGLETRANSLATE(A10,""zh-tw"",""en"")"),"R6")</f>
        <v>R6</v>
      </c>
      <c r="J10" s="100" t="s">
        <v>1766</v>
      </c>
      <c r="K10" s="97" t="s">
        <v>1767</v>
      </c>
      <c r="L10" s="52" t="s">
        <v>1768</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1769</v>
      </c>
      <c r="AE10" s="166" t="s">
        <v>1770</v>
      </c>
      <c r="AF10" s="125" t="s">
        <v>1771</v>
      </c>
      <c r="AG10" s="93" t="s">
        <v>1759</v>
      </c>
      <c r="AH10" s="94" t="s">
        <v>1772</v>
      </c>
      <c r="AI10" s="167" t="s">
        <v>1773</v>
      </c>
      <c r="AJ10" s="96" t="s">
        <v>1774</v>
      </c>
      <c r="AK10" s="30"/>
      <c r="AL10" s="30"/>
    </row>
    <row r="11">
      <c r="A11" s="128" t="s">
        <v>1775</v>
      </c>
      <c r="B11" s="100" t="s">
        <v>1776</v>
      </c>
      <c r="C11" s="97" t="s">
        <v>1777</v>
      </c>
      <c r="D11" s="52" t="s">
        <v>1778</v>
      </c>
      <c r="E11" s="128" t="str">
        <f>IFERROR(__xludf.DUMMYFUNCTION("GOOGLETRANSLATE(A11,""zh-tw"",""ja"")"),"R7")</f>
        <v>R7</v>
      </c>
      <c r="F11" s="100" t="s">
        <v>1779</v>
      </c>
      <c r="G11" s="97" t="s">
        <v>1780</v>
      </c>
      <c r="H11" s="52" t="s">
        <v>1781</v>
      </c>
      <c r="I11" s="128" t="str">
        <f>IFERROR(__xludf.DUMMYFUNCTION("GOOGLETRANSLATE(A11,""zh-tw"",""en"")"),"R7")</f>
        <v>R7</v>
      </c>
      <c r="J11" s="100" t="s">
        <v>1782</v>
      </c>
      <c r="K11" s="97" t="s">
        <v>1783</v>
      </c>
      <c r="L11" s="52" t="s">
        <v>1784</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1785</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1786</v>
      </c>
      <c r="W11" s="97" t="s">
        <v>1787</v>
      </c>
      <c r="X11" s="52" t="s">
        <v>1788</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1789</v>
      </c>
      <c r="AE11" s="166" t="s">
        <v>1790</v>
      </c>
      <c r="AF11" s="125" t="s">
        <v>1791</v>
      </c>
      <c r="AG11" s="93" t="s">
        <v>1775</v>
      </c>
      <c r="AH11" s="94" t="s">
        <v>1792</v>
      </c>
      <c r="AI11" s="167" t="s">
        <v>1793</v>
      </c>
      <c r="AJ11" s="96" t="s">
        <v>1794</v>
      </c>
      <c r="AK11" s="30"/>
      <c r="AL11" s="30"/>
    </row>
    <row r="12">
      <c r="A12" s="128" t="s">
        <v>1795</v>
      </c>
      <c r="B12" s="100" t="s">
        <v>1796</v>
      </c>
      <c r="C12" s="97" t="s">
        <v>1797</v>
      </c>
      <c r="D12" s="52" t="s">
        <v>1798</v>
      </c>
      <c r="E12" s="128" t="str">
        <f>IFERROR(__xludf.DUMMYFUNCTION("GOOGLETRANSLATE(A12,""zh-tw"",""ja"")"),"R8")</f>
        <v>R8</v>
      </c>
      <c r="F12" s="100" t="s">
        <v>1799</v>
      </c>
      <c r="G12" s="97" t="s">
        <v>1800</v>
      </c>
      <c r="H12" s="52" t="s">
        <v>1801</v>
      </c>
      <c r="I12" s="128" t="str">
        <f>IFERROR(__xludf.DUMMYFUNCTION("GOOGLETRANSLATE(A12,""zh-tw"",""en"")"),"R8")</f>
        <v>R8</v>
      </c>
      <c r="J12" s="100" t="s">
        <v>1802</v>
      </c>
      <c r="K12" s="97" t="s">
        <v>1803</v>
      </c>
      <c r="L12" s="52" t="s">
        <v>1804</v>
      </c>
      <c r="M12" s="136" t="str">
        <f>IFERROR(__xludf.DUMMYFUNCTION("GOOGLETRANSLATE(A12,""zh-tw"",""en"")"),"R8")</f>
        <v>R8</v>
      </c>
      <c r="N12" s="100" t="str">
        <f>IFERROR(__xludf.DUMMYFUNCTION("GOOGLETRANSLATE(B12,""zh-tw"",""zh"")"),"游戏机")</f>
        <v>游戏机</v>
      </c>
      <c r="O12" s="97" t="s">
        <v>1805</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1806</v>
      </c>
      <c r="AE12" s="166" t="s">
        <v>1807</v>
      </c>
      <c r="AF12" s="125" t="s">
        <v>1808</v>
      </c>
      <c r="AG12" s="93" t="s">
        <v>1795</v>
      </c>
      <c r="AH12" s="94" t="s">
        <v>1809</v>
      </c>
      <c r="AI12" s="167" t="s">
        <v>1810</v>
      </c>
      <c r="AJ12" s="96" t="s">
        <v>1811</v>
      </c>
      <c r="AK12" s="30"/>
      <c r="AL12" s="30"/>
    </row>
    <row r="13">
      <c r="A13" s="128" t="s">
        <v>1812</v>
      </c>
      <c r="B13" s="100" t="s">
        <v>1813</v>
      </c>
      <c r="C13" s="97" t="s">
        <v>1814</v>
      </c>
      <c r="D13" s="52" t="s">
        <v>1815</v>
      </c>
      <c r="E13" s="128" t="str">
        <f>IFERROR(__xludf.DUMMYFUNCTION("GOOGLETRANSLATE(A13,""zh-tw"",""ja"")"),"R9")</f>
        <v>R9</v>
      </c>
      <c r="F13" s="100" t="s">
        <v>1816</v>
      </c>
      <c r="G13" s="97" t="s">
        <v>1817</v>
      </c>
      <c r="H13" s="52" t="s">
        <v>1818</v>
      </c>
      <c r="I13" s="128" t="str">
        <f>IFERROR(__xludf.DUMMYFUNCTION("GOOGLETRANSLATE(A13,""zh-tw"",""en"")"),"R9")</f>
        <v>R9</v>
      </c>
      <c r="J13" s="100" t="s">
        <v>1819</v>
      </c>
      <c r="K13" s="97" t="s">
        <v>1820</v>
      </c>
      <c r="L13" s="52" t="s">
        <v>1821</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1822</v>
      </c>
      <c r="S13" s="97" t="s">
        <v>1823</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1824</v>
      </c>
      <c r="AE13" s="166" t="s">
        <v>1825</v>
      </c>
      <c r="AF13" s="125" t="s">
        <v>1826</v>
      </c>
      <c r="AG13" s="93" t="s">
        <v>1812</v>
      </c>
      <c r="AH13" s="94" t="s">
        <v>1827</v>
      </c>
      <c r="AI13" s="167" t="s">
        <v>1828</v>
      </c>
      <c r="AJ13" s="96" t="s">
        <v>1829</v>
      </c>
      <c r="AK13" s="30"/>
      <c r="AL13" s="30"/>
    </row>
    <row r="14">
      <c r="A14" s="128" t="s">
        <v>1830</v>
      </c>
      <c r="B14" s="100" t="s">
        <v>1831</v>
      </c>
      <c r="C14" s="97" t="s">
        <v>1832</v>
      </c>
      <c r="D14" s="52" t="s">
        <v>1833</v>
      </c>
      <c r="E14" s="128" t="str">
        <f>IFERROR(__xludf.DUMMYFUNCTION("GOOGLETRANSLATE(A14,""zh-tw"",""ja"")"),"R10")</f>
        <v>R10</v>
      </c>
      <c r="F14" s="100" t="s">
        <v>1834</v>
      </c>
      <c r="G14" s="97" t="s">
        <v>1835</v>
      </c>
      <c r="H14" s="52" t="s">
        <v>1836</v>
      </c>
      <c r="I14" s="128" t="str">
        <f>IFERROR(__xludf.DUMMYFUNCTION("GOOGLETRANSLATE(A14,""zh-tw"",""en"")"),"R10")</f>
        <v>R10</v>
      </c>
      <c r="J14" s="100" t="s">
        <v>1837</v>
      </c>
      <c r="K14" s="97" t="s">
        <v>1838</v>
      </c>
      <c r="L14" s="52" t="s">
        <v>1839</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1840</v>
      </c>
      <c r="S14" s="97" t="s">
        <v>1841</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1842</v>
      </c>
      <c r="AE14" s="166" t="s">
        <v>1843</v>
      </c>
      <c r="AF14" s="125" t="s">
        <v>1844</v>
      </c>
      <c r="AG14" s="93" t="s">
        <v>1830</v>
      </c>
      <c r="AH14" s="94" t="s">
        <v>1845</v>
      </c>
      <c r="AI14" s="167" t="s">
        <v>1846</v>
      </c>
      <c r="AJ14" s="96" t="s">
        <v>1847</v>
      </c>
      <c r="AK14" s="30"/>
      <c r="AL14" s="30"/>
    </row>
    <row r="15">
      <c r="A15" s="128" t="s">
        <v>1848</v>
      </c>
      <c r="B15" s="85" t="s">
        <v>1849</v>
      </c>
      <c r="C15" s="124" t="s">
        <v>1850</v>
      </c>
      <c r="D15" s="87" t="s">
        <v>1851</v>
      </c>
      <c r="E15" s="128" t="str">
        <f>IFERROR(__xludf.DUMMYFUNCTION("GOOGLETRANSLATE(A15,""zh-tw"",""ja"")"),"R11")</f>
        <v>R11</v>
      </c>
      <c r="F15" s="100" t="str">
        <f>IFERROR(__xludf.DUMMYFUNCTION("GOOGLETRANSLATE(B15,""zh-tw"",""ja"")"),"未知の洞窟")</f>
        <v>未知の洞窟</v>
      </c>
      <c r="G15" s="97" t="s">
        <v>1852</v>
      </c>
      <c r="H15" s="52" t="s">
        <v>1853</v>
      </c>
      <c r="I15" s="128" t="str">
        <f>IFERROR(__xludf.DUMMYFUNCTION("GOOGLETRANSLATE(A15,""zh-tw"",""en"")"),"R11")</f>
        <v>R11</v>
      </c>
      <c r="J15" s="100" t="s">
        <v>1854</v>
      </c>
      <c r="K15" s="97" t="s">
        <v>1855</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1856</v>
      </c>
      <c r="AE15" s="166" t="s">
        <v>1857</v>
      </c>
      <c r="AF15" s="125" t="s">
        <v>1858</v>
      </c>
      <c r="AG15" s="93" t="s">
        <v>1848</v>
      </c>
      <c r="AH15" s="94" t="s">
        <v>1859</v>
      </c>
      <c r="AI15" s="167" t="s">
        <v>1860</v>
      </c>
      <c r="AJ15" s="96" t="s">
        <v>1861</v>
      </c>
      <c r="AK15" s="30"/>
      <c r="AL15" s="30"/>
    </row>
    <row r="16">
      <c r="A16" s="128" t="s">
        <v>1862</v>
      </c>
      <c r="B16" s="100" t="s">
        <v>1863</v>
      </c>
      <c r="C16" s="97" t="s">
        <v>1864</v>
      </c>
      <c r="D16" s="52" t="s">
        <v>1865</v>
      </c>
      <c r="E16" s="128" t="str">
        <f>IFERROR(__xludf.DUMMYFUNCTION("GOOGLETRANSLATE(A16,""zh-tw"",""ja"")"),"R12")</f>
        <v>R12</v>
      </c>
      <c r="F16" s="100" t="s">
        <v>1866</v>
      </c>
      <c r="G16" s="97" t="str">
        <f>IFERROR(__xludf.DUMMYFUNCTION("GOOGLETRANSLATE(C16,""zh-tw"",""ja"")"),"冒険者の道：森の中では、森の右下隅に隠されたアイテムがあります。")</f>
        <v>冒険者の道：森の中では、森の右下隅に隠されたアイテムがあります。</v>
      </c>
      <c r="H16" s="52" t="s">
        <v>1867</v>
      </c>
      <c r="I16" s="128" t="str">
        <f>IFERROR(__xludf.DUMMYFUNCTION("GOOGLETRANSLATE(A16,""zh-tw"",""en"")"),"R12")</f>
        <v>R12</v>
      </c>
      <c r="J16" s="100" t="s">
        <v>1868</v>
      </c>
      <c r="K16" s="97" t="s">
        <v>1869</v>
      </c>
      <c r="L16" s="52" t="s">
        <v>1870</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1871</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1872</v>
      </c>
      <c r="AE16" s="166" t="s">
        <v>1873</v>
      </c>
      <c r="AF16" s="125" t="s">
        <v>1874</v>
      </c>
      <c r="AG16" s="93" t="s">
        <v>1862</v>
      </c>
      <c r="AH16" s="94" t="s">
        <v>1875</v>
      </c>
      <c r="AI16" s="167" t="s">
        <v>1876</v>
      </c>
      <c r="AJ16" s="96" t="s">
        <v>1877</v>
      </c>
      <c r="AK16" s="30"/>
      <c r="AL16" s="30"/>
    </row>
    <row r="17">
      <c r="A17" s="128" t="s">
        <v>1878</v>
      </c>
      <c r="B17" s="100" t="s">
        <v>1879</v>
      </c>
      <c r="C17" s="97" t="s">
        <v>1880</v>
      </c>
      <c r="D17" s="52" t="s">
        <v>1881</v>
      </c>
      <c r="E17" s="128" t="str">
        <f>IFERROR(__xludf.DUMMYFUNCTION("GOOGLETRANSLATE(A17,""zh-tw"",""ja"")"),"R13")</f>
        <v>R13</v>
      </c>
      <c r="F17" s="100" t="s">
        <v>1882</v>
      </c>
      <c r="G17" s="106" t="str">
        <f>IFERROR(__xludf.DUMMYFUNCTION("GOOGLETRANSLATE(C17,""zh-tw"",""ja"")"),"冒険者の道：集会所、左上に宝箱がある")</f>
        <v>冒険者の道：集会所、左上に宝箱がある</v>
      </c>
      <c r="H17" s="52" t="s">
        <v>1883</v>
      </c>
      <c r="I17" s="128" t="str">
        <f>IFERROR(__xludf.DUMMYFUNCTION("GOOGLETRANSLATE(A17,""zh-tw"",""en"")"),"R13")</f>
        <v>R13</v>
      </c>
      <c r="J17" s="100" t="s">
        <v>1884</v>
      </c>
      <c r="K17" s="97" t="s">
        <v>1885</v>
      </c>
      <c r="L17" s="52" t="s">
        <v>1886</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1887</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1888</v>
      </c>
      <c r="AE17" s="166" t="s">
        <v>1889</v>
      </c>
      <c r="AF17" s="125" t="s">
        <v>1890</v>
      </c>
      <c r="AG17" s="93" t="s">
        <v>1878</v>
      </c>
      <c r="AH17" s="94" t="s">
        <v>1891</v>
      </c>
      <c r="AI17" s="167" t="s">
        <v>1892</v>
      </c>
      <c r="AJ17" s="96" t="s">
        <v>1893</v>
      </c>
      <c r="AK17" s="30"/>
      <c r="AL17" s="30"/>
    </row>
    <row r="18">
      <c r="A18" s="128" t="s">
        <v>1894</v>
      </c>
      <c r="B18" s="100" t="s">
        <v>1895</v>
      </c>
      <c r="C18" s="97" t="s">
        <v>1896</v>
      </c>
      <c r="D18" s="52" t="s">
        <v>1897</v>
      </c>
      <c r="E18" s="128" t="str">
        <f>IFERROR(__xludf.DUMMYFUNCTION("GOOGLETRANSLATE(A18,""zh-tw"",""ja"")"),"R14")</f>
        <v>R14</v>
      </c>
      <c r="F18" s="100" t="s">
        <v>1898</v>
      </c>
      <c r="G18" s="106" t="s">
        <v>1899</v>
      </c>
      <c r="H18" s="52" t="s">
        <v>1900</v>
      </c>
      <c r="I18" s="128" t="str">
        <f>IFERROR(__xludf.DUMMYFUNCTION("GOOGLETRANSLATE(A18,""zh-tw"",""en"")"),"R14")</f>
        <v>R14</v>
      </c>
      <c r="J18" s="100" t="s">
        <v>1901</v>
      </c>
      <c r="K18" s="97" t="s">
        <v>1902</v>
      </c>
      <c r="L18" s="52" t="s">
        <v>1903</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1904</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1905</v>
      </c>
      <c r="AE18" s="166" t="s">
        <v>1906</v>
      </c>
      <c r="AF18" s="125" t="s">
        <v>1907</v>
      </c>
      <c r="AG18" s="93" t="s">
        <v>1894</v>
      </c>
      <c r="AH18" s="94" t="s">
        <v>1908</v>
      </c>
      <c r="AI18" s="167" t="s">
        <v>1909</v>
      </c>
      <c r="AJ18" s="96" t="s">
        <v>1910</v>
      </c>
      <c r="AK18" s="30"/>
      <c r="AL18" s="30"/>
    </row>
    <row r="19">
      <c r="A19" s="128" t="s">
        <v>1911</v>
      </c>
      <c r="B19" s="100" t="s">
        <v>1912</v>
      </c>
      <c r="C19" s="97" t="s">
        <v>1913</v>
      </c>
      <c r="D19" s="52" t="s">
        <v>1865</v>
      </c>
      <c r="E19" s="128" t="str">
        <f>IFERROR(__xludf.DUMMYFUNCTION("GOOGLETRANSLATE(A19,""zh-tw"",""ja"")"),"R15")</f>
        <v>R15</v>
      </c>
      <c r="F19" s="100" t="s">
        <v>1914</v>
      </c>
      <c r="G19" s="97" t="s">
        <v>1915</v>
      </c>
      <c r="H19" s="52" t="s">
        <v>1867</v>
      </c>
      <c r="I19" s="128" t="str">
        <f>IFERROR(__xludf.DUMMYFUNCTION("GOOGLETRANSLATE(A19,""zh-tw"",""en"")"),"R15")</f>
        <v>R15</v>
      </c>
      <c r="J19" s="100" t="s">
        <v>1916</v>
      </c>
      <c r="K19" s="97" t="s">
        <v>1917</v>
      </c>
      <c r="L19" s="52" t="s">
        <v>1870</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1918</v>
      </c>
      <c r="S19" s="89" t="str">
        <f>IFERROR(__xludf.DUMMYFUNCTION("GOOGLETRANSLATE(C19,""zh-tw"",""es-MX"")"),"Hay objetos ocultos en el bosque en la esquina inferior derecha de ""Bosque de Ruinas-4"".")</f>
        <v>Hay objetos ocultos en el bosque en la esquina inferior derecha de "Bosque de Ruinas-4".</v>
      </c>
      <c r="T19" s="52" t="s">
        <v>1919</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1920</v>
      </c>
      <c r="AE19" s="166" t="s">
        <v>1921</v>
      </c>
      <c r="AF19" s="125" t="s">
        <v>1922</v>
      </c>
      <c r="AG19" s="93" t="s">
        <v>1911</v>
      </c>
      <c r="AH19" s="94" t="s">
        <v>1923</v>
      </c>
      <c r="AI19" s="167" t="s">
        <v>1924</v>
      </c>
      <c r="AJ19" s="96" t="s">
        <v>1877</v>
      </c>
      <c r="AK19" s="30"/>
      <c r="AL19" s="30"/>
    </row>
    <row r="20">
      <c r="A20" s="128" t="s">
        <v>1925</v>
      </c>
      <c r="B20" s="100" t="s">
        <v>1926</v>
      </c>
      <c r="C20" s="97" t="s">
        <v>1927</v>
      </c>
      <c r="D20" s="52" t="s">
        <v>1928</v>
      </c>
      <c r="E20" s="128" t="str">
        <f>IFERROR(__xludf.DUMMYFUNCTION("GOOGLETRANSLATE(A20,""zh-tw"",""ja"")"),"R16")</f>
        <v>R16</v>
      </c>
      <c r="F20" s="100" t="s">
        <v>1929</v>
      </c>
      <c r="G20" s="97" t="s">
        <v>1930</v>
      </c>
      <c r="H20" s="52" t="s">
        <v>1931</v>
      </c>
      <c r="I20" s="128" t="str">
        <f>IFERROR(__xludf.DUMMYFUNCTION("GOOGLETRANSLATE(A20,""zh-tw"",""en"")"),"R16")</f>
        <v>R16</v>
      </c>
      <c r="J20" s="100" t="s">
        <v>1932</v>
      </c>
      <c r="K20" s="97" t="s">
        <v>1933</v>
      </c>
      <c r="L20" s="52" t="s">
        <v>1934</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1935</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1936</v>
      </c>
      <c r="AE20" s="166" t="s">
        <v>1937</v>
      </c>
      <c r="AF20" s="125" t="s">
        <v>1938</v>
      </c>
      <c r="AG20" s="93" t="s">
        <v>1925</v>
      </c>
      <c r="AH20" s="94" t="s">
        <v>1939</v>
      </c>
      <c r="AI20" s="167" t="s">
        <v>1940</v>
      </c>
      <c r="AJ20" s="96" t="s">
        <v>1941</v>
      </c>
      <c r="AK20" s="30"/>
      <c r="AL20" s="30"/>
    </row>
    <row r="21">
      <c r="A21" s="128" t="s">
        <v>1942</v>
      </c>
      <c r="B21" s="100" t="s">
        <v>1943</v>
      </c>
      <c r="C21" s="97" t="s">
        <v>1944</v>
      </c>
      <c r="D21" s="52" t="s">
        <v>1945</v>
      </c>
      <c r="E21" s="128" t="str">
        <f>IFERROR(__xludf.DUMMYFUNCTION("GOOGLETRANSLATE(A21,""zh-tw"",""ja"")"),"R17")</f>
        <v>R17</v>
      </c>
      <c r="F21" s="100" t="s">
        <v>1946</v>
      </c>
      <c r="G21" s="106" t="str">
        <f>IFERROR(__xludf.DUMMYFUNCTION("GOOGLETRANSLATE(C21,""zh-tw"",""ja"")"),"開発エリア（鉱山）-1、トロッコは最遠点に到達し、装備を入手できる")</f>
        <v>開発エリア（鉱山）-1、トロッコは最遠点に到達し、装備を入手できる</v>
      </c>
      <c r="H21" s="52" t="s">
        <v>1947</v>
      </c>
      <c r="I21" s="128" t="str">
        <f>IFERROR(__xludf.DUMMYFUNCTION("GOOGLETRANSLATE(A21,""zh-tw"",""en"")"),"R17")</f>
        <v>R17</v>
      </c>
      <c r="J21" s="100" t="s">
        <v>1948</v>
      </c>
      <c r="K21" s="97" t="s">
        <v>1949</v>
      </c>
      <c r="L21" s="52" t="s">
        <v>1950</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1951</v>
      </c>
      <c r="S21" s="97" t="s">
        <v>1952</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1953</v>
      </c>
      <c r="AE21" s="166" t="s">
        <v>1954</v>
      </c>
      <c r="AF21" s="125" t="s">
        <v>1955</v>
      </c>
      <c r="AG21" s="93" t="s">
        <v>1942</v>
      </c>
      <c r="AH21" s="94" t="s">
        <v>1956</v>
      </c>
      <c r="AI21" s="167" t="s">
        <v>1957</v>
      </c>
      <c r="AJ21" s="96" t="s">
        <v>1958</v>
      </c>
      <c r="AK21" s="30"/>
      <c r="AL21" s="30"/>
    </row>
    <row r="22">
      <c r="A22" s="128" t="s">
        <v>1959</v>
      </c>
      <c r="B22" s="100" t="s">
        <v>1960</v>
      </c>
      <c r="C22" s="97" t="s">
        <v>1961</v>
      </c>
      <c r="D22" s="52" t="s">
        <v>1962</v>
      </c>
      <c r="E22" s="128" t="str">
        <f>IFERROR(__xludf.DUMMYFUNCTION("GOOGLETRANSLATE(A22,""zh-tw"",""ja"")"),"R18")</f>
        <v>R18</v>
      </c>
      <c r="F22" s="100" t="s">
        <v>1963</v>
      </c>
      <c r="G22" s="106" t="s">
        <v>1964</v>
      </c>
      <c r="H22" s="52" t="s">
        <v>1965</v>
      </c>
      <c r="I22" s="128" t="str">
        <f>IFERROR(__xludf.DUMMYFUNCTION("GOOGLETRANSLATE(A22,""zh-tw"",""en"")"),"R18")</f>
        <v>R18</v>
      </c>
      <c r="J22" s="100" t="s">
        <v>1966</v>
      </c>
      <c r="K22" s="97" t="s">
        <v>1967</v>
      </c>
      <c r="L22" s="52" t="s">
        <v>1968</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1969</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канал 7")</f>
        <v>Скрытый канал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1970</v>
      </c>
      <c r="AE22" s="166" t="s">
        <v>1971</v>
      </c>
      <c r="AF22" s="125" t="s">
        <v>1972</v>
      </c>
      <c r="AG22" s="93" t="s">
        <v>1959</v>
      </c>
      <c r="AH22" s="94" t="s">
        <v>1973</v>
      </c>
      <c r="AI22" s="167" t="s">
        <v>1974</v>
      </c>
      <c r="AJ22" s="96" t="s">
        <v>1975</v>
      </c>
      <c r="AK22" s="30"/>
      <c r="AL22" s="30"/>
    </row>
    <row r="23">
      <c r="A23" s="128" t="s">
        <v>1976</v>
      </c>
      <c r="B23" s="100" t="s">
        <v>1977</v>
      </c>
      <c r="C23" s="97" t="s">
        <v>1978</v>
      </c>
      <c r="D23" s="52" t="s">
        <v>1979</v>
      </c>
      <c r="E23" s="128" t="str">
        <f>IFERROR(__xludf.DUMMYFUNCTION("GOOGLETRANSLATE(A23,""zh-tw"",""ja"")"),"R19")</f>
        <v>R19</v>
      </c>
      <c r="F23" s="100" t="s">
        <v>1980</v>
      </c>
      <c r="G23" s="106" t="s">
        <v>1981</v>
      </c>
      <c r="H23" s="52" t="s">
        <v>1982</v>
      </c>
      <c r="I23" s="128" t="str">
        <f>IFERROR(__xludf.DUMMYFUNCTION("GOOGLETRANSLATE(A23,""zh-tw"",""en"")"),"R19")</f>
        <v>R19</v>
      </c>
      <c r="J23" s="100" t="s">
        <v>1983</v>
      </c>
      <c r="K23" s="97" t="s">
        <v>1984</v>
      </c>
      <c r="L23" s="52" t="s">
        <v>1985</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1986</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1987</v>
      </c>
      <c r="AE23" s="166" t="s">
        <v>1988</v>
      </c>
      <c r="AF23" s="125" t="s">
        <v>1989</v>
      </c>
      <c r="AG23" s="93" t="s">
        <v>1976</v>
      </c>
      <c r="AH23" s="94" t="s">
        <v>1990</v>
      </c>
      <c r="AI23" s="167" t="s">
        <v>1991</v>
      </c>
      <c r="AJ23" s="96" t="s">
        <v>1992</v>
      </c>
      <c r="AK23" s="30"/>
      <c r="AL23" s="30"/>
    </row>
    <row r="24">
      <c r="A24" s="128" t="s">
        <v>1993</v>
      </c>
      <c r="B24" s="100" t="s">
        <v>1994</v>
      </c>
      <c r="C24" s="97" t="s">
        <v>1995</v>
      </c>
      <c r="D24" s="52" t="s">
        <v>1996</v>
      </c>
      <c r="E24" s="128" t="str">
        <f>IFERROR(__xludf.DUMMYFUNCTION("GOOGLETRANSLATE(A24,""zh-tw"",""ja"")"),"R20")</f>
        <v>R20</v>
      </c>
      <c r="F24" s="100" t="s">
        <v>1997</v>
      </c>
      <c r="G24" s="97" t="s">
        <v>1998</v>
      </c>
      <c r="H24" s="52" t="s">
        <v>1947</v>
      </c>
      <c r="I24" s="128" t="str">
        <f>IFERROR(__xludf.DUMMYFUNCTION("GOOGLETRANSLATE(A24,""zh-tw"",""en"")"),"R20")</f>
        <v>R20</v>
      </c>
      <c r="J24" s="100" t="s">
        <v>1999</v>
      </c>
      <c r="K24" s="97" t="s">
        <v>2000</v>
      </c>
      <c r="L24" s="52" t="s">
        <v>1950</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2001</v>
      </c>
      <c r="S24" s="97" t="s">
        <v>2002</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2003</v>
      </c>
      <c r="AE24" s="166" t="s">
        <v>2004</v>
      </c>
      <c r="AF24" s="125" t="s">
        <v>2005</v>
      </c>
      <c r="AG24" s="93" t="s">
        <v>1993</v>
      </c>
      <c r="AH24" s="94" t="s">
        <v>2006</v>
      </c>
      <c r="AI24" s="167" t="s">
        <v>2007</v>
      </c>
      <c r="AJ24" s="96" t="s">
        <v>1958</v>
      </c>
      <c r="AK24" s="30"/>
      <c r="AL24" s="30"/>
    </row>
    <row r="25">
      <c r="A25" s="128" t="s">
        <v>2008</v>
      </c>
      <c r="B25" s="100" t="s">
        <v>2009</v>
      </c>
      <c r="C25" s="97" t="s">
        <v>2010</v>
      </c>
      <c r="D25" s="52" t="s">
        <v>2011</v>
      </c>
      <c r="E25" s="128" t="str">
        <f>IFERROR(__xludf.DUMMYFUNCTION("GOOGLETRANSLATE(A25,""zh-tw"",""ja"")"),"R21")</f>
        <v>R21</v>
      </c>
      <c r="F25" s="100" t="s">
        <v>2012</v>
      </c>
      <c r="G25" s="97" t="s">
        <v>2013</v>
      </c>
      <c r="H25" s="52" t="s">
        <v>2014</v>
      </c>
      <c r="I25" s="128" t="str">
        <f>IFERROR(__xludf.DUMMYFUNCTION("GOOGLETRANSLATE(A25,""zh-tw"",""en"")"),"R21")</f>
        <v>R21</v>
      </c>
      <c r="J25" s="100" t="s">
        <v>2015</v>
      </c>
      <c r="K25" s="97" t="s">
        <v>2016</v>
      </c>
      <c r="L25" s="52" t="s">
        <v>2017</v>
      </c>
      <c r="M25" s="136" t="str">
        <f>IFERROR(__xludf.DUMMYFUNCTION("GOOGLETRANSLATE(A25,""zh-tw"",""en"")"),"R21")</f>
        <v>R21</v>
      </c>
      <c r="N25" s="100" t="str">
        <f>IFERROR(__xludf.DUMMYFUNCTION("GOOGLETRANSLATE(B25,""zh-tw"",""zh"")"),"隐藏通道10
机甲")</f>
        <v>隐藏通道10
机甲</v>
      </c>
      <c r="O25" s="97" t="s">
        <v>2018</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2019</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2020</v>
      </c>
      <c r="AE25" s="166" t="s">
        <v>2021</v>
      </c>
      <c r="AF25" s="125" t="s">
        <v>2022</v>
      </c>
      <c r="AG25" s="93" t="s">
        <v>2008</v>
      </c>
      <c r="AH25" s="94" t="s">
        <v>2023</v>
      </c>
      <c r="AI25" s="167" t="s">
        <v>2024</v>
      </c>
      <c r="AJ25" s="96" t="s">
        <v>2025</v>
      </c>
      <c r="AK25" s="30"/>
      <c r="AL25" s="30"/>
    </row>
    <row r="26">
      <c r="A26" s="128" t="s">
        <v>2026</v>
      </c>
      <c r="B26" s="100" t="s">
        <v>2027</v>
      </c>
      <c r="C26" s="97" t="s">
        <v>2028</v>
      </c>
      <c r="D26" s="52" t="s">
        <v>2029</v>
      </c>
      <c r="E26" s="128" t="str">
        <f>IFERROR(__xludf.DUMMYFUNCTION("GOOGLETRANSLATE(A26,""zh-tw"",""ja"")"),"R22")</f>
        <v>R22</v>
      </c>
      <c r="F26" s="100" t="s">
        <v>2030</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2031</v>
      </c>
      <c r="I26" s="128" t="str">
        <f>IFERROR(__xludf.DUMMYFUNCTION("GOOGLETRANSLATE(A26,""zh-tw"",""en"")"),"R22")</f>
        <v>R22</v>
      </c>
      <c r="J26" s="100" t="s">
        <v>2032</v>
      </c>
      <c r="K26" s="97" t="s">
        <v>2033</v>
      </c>
      <c r="L26" s="52" t="s">
        <v>2034</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2035</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좌측 기둥 뒤에는 숨겨진 아이템과 수집 포인트가 있습니다.")</f>
        <v>"대폭발 용암지대" 좌측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2036</v>
      </c>
      <c r="AE26" s="166" t="s">
        <v>2037</v>
      </c>
      <c r="AF26" s="125" t="s">
        <v>2038</v>
      </c>
      <c r="AG26" s="93" t="s">
        <v>2026</v>
      </c>
      <c r="AH26" s="94" t="s">
        <v>2039</v>
      </c>
      <c r="AI26" s="167" t="s">
        <v>2040</v>
      </c>
      <c r="AJ26" s="96" t="s">
        <v>2041</v>
      </c>
      <c r="AK26" s="30"/>
      <c r="AL26" s="30"/>
    </row>
    <row r="27">
      <c r="A27" s="128" t="s">
        <v>2042</v>
      </c>
      <c r="B27" s="100" t="s">
        <v>2043</v>
      </c>
      <c r="C27" s="97" t="s">
        <v>2044</v>
      </c>
      <c r="D27" s="52" t="s">
        <v>2045</v>
      </c>
      <c r="E27" s="128" t="str">
        <f>IFERROR(__xludf.DUMMYFUNCTION("GOOGLETRANSLATE(A27,""zh-tw"",""ja"")"),"R23")</f>
        <v>R23</v>
      </c>
      <c r="F27" s="100" t="str">
        <f>IFERROR(__xludf.DUMMYFUNCTION("GOOGLETRANSLATE(B27,""zh-tw"",""ja"")"),"穴に落ちる")</f>
        <v>穴に落ちる</v>
      </c>
      <c r="G27" s="97" t="s">
        <v>2046</v>
      </c>
      <c r="H27" s="52" t="s">
        <v>2047</v>
      </c>
      <c r="I27" s="128" t="str">
        <f>IFERROR(__xludf.DUMMYFUNCTION("GOOGLETRANSLATE(A27,""zh-tw"",""en"")"),"R23")</f>
        <v>R23</v>
      </c>
      <c r="J27" s="100" t="s">
        <v>2048</v>
      </c>
      <c r="K27" s="97" t="s">
        <v>2049</v>
      </c>
      <c r="L27" s="52" t="s">
        <v>2050</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2051</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2052</v>
      </c>
      <c r="AE27" s="166" t="s">
        <v>2053</v>
      </c>
      <c r="AF27" s="125" t="s">
        <v>2054</v>
      </c>
      <c r="AG27" s="93" t="s">
        <v>2042</v>
      </c>
      <c r="AH27" s="94" t="s">
        <v>2055</v>
      </c>
      <c r="AI27" s="167" t="s">
        <v>2056</v>
      </c>
      <c r="AJ27" s="96" t="s">
        <v>2057</v>
      </c>
      <c r="AK27" s="30"/>
      <c r="AL27" s="30"/>
    </row>
    <row r="28">
      <c r="A28" s="128" t="s">
        <v>2058</v>
      </c>
      <c r="B28" s="100" t="s">
        <v>2059</v>
      </c>
      <c r="C28" s="97" t="s">
        <v>2060</v>
      </c>
      <c r="D28" s="52" t="s">
        <v>2061</v>
      </c>
      <c r="E28" s="128" t="str">
        <f>IFERROR(__xludf.DUMMYFUNCTION("GOOGLETRANSLATE(A28,""zh-tw"",""ja"")"),"R24")</f>
        <v>R24</v>
      </c>
      <c r="F28" s="100" t="s">
        <v>2062</v>
      </c>
      <c r="G28" s="97" t="s">
        <v>2063</v>
      </c>
      <c r="H28" s="52" t="s">
        <v>2064</v>
      </c>
      <c r="I28" s="128" t="str">
        <f>IFERROR(__xludf.DUMMYFUNCTION("GOOGLETRANSLATE(A28,""zh-tw"",""en"")"),"R24")</f>
        <v>R24</v>
      </c>
      <c r="J28" s="100" t="s">
        <v>2065</v>
      </c>
      <c r="K28" s="97" t="s">
        <v>2066</v>
      </c>
      <c r="L28" s="52" t="s">
        <v>2067</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2068</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2069</v>
      </c>
      <c r="AE28" s="166" t="s">
        <v>2070</v>
      </c>
      <c r="AF28" s="125" t="s">
        <v>2071</v>
      </c>
      <c r="AG28" s="93" t="s">
        <v>2058</v>
      </c>
      <c r="AH28" s="94" t="s">
        <v>2072</v>
      </c>
      <c r="AI28" s="167" t="s">
        <v>2073</v>
      </c>
      <c r="AJ28" s="96" t="s">
        <v>2074</v>
      </c>
      <c r="AK28" s="30"/>
      <c r="AL28" s="30"/>
    </row>
    <row r="29">
      <c r="A29" s="128" t="s">
        <v>2075</v>
      </c>
      <c r="B29" s="100" t="s">
        <v>2076</v>
      </c>
      <c r="C29" s="97" t="s">
        <v>2077</v>
      </c>
      <c r="D29" s="107" t="s">
        <v>2078</v>
      </c>
      <c r="E29" s="84" t="str">
        <f>IFERROR(__xludf.DUMMYFUNCTION("GOOGLETRANSLATE(A29,""zh-tw"",""ja"")"),"R25")</f>
        <v>R25</v>
      </c>
      <c r="F29" s="85" t="s">
        <v>2079</v>
      </c>
      <c r="G29" s="102" t="s">
        <v>2080</v>
      </c>
      <c r="H29" s="103" t="s">
        <v>2081</v>
      </c>
      <c r="I29" s="84" t="str">
        <f>IFERROR(__xludf.DUMMYFUNCTION("GOOGLETRANSLATE(A29,""zh-tw"",""en"")"),"R25")</f>
        <v>R25</v>
      </c>
      <c r="J29" s="85" t="s">
        <v>2082</v>
      </c>
      <c r="K29" s="102" t="s">
        <v>2083</v>
      </c>
      <c r="L29" s="52" t="s">
        <v>2084</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2085</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2086</v>
      </c>
      <c r="AE29" s="102" t="s">
        <v>2087</v>
      </c>
      <c r="AF29" s="103" t="s">
        <v>2088</v>
      </c>
      <c r="AG29" s="93" t="s">
        <v>2075</v>
      </c>
      <c r="AH29" s="94" t="s">
        <v>2089</v>
      </c>
      <c r="AI29" s="167" t="s">
        <v>2090</v>
      </c>
      <c r="AJ29" s="96" t="s">
        <v>2091</v>
      </c>
      <c r="AK29" s="30"/>
      <c r="AL29" s="30"/>
    </row>
    <row r="30">
      <c r="A30" s="128" t="s">
        <v>2092</v>
      </c>
      <c r="B30" s="100" t="s">
        <v>2093</v>
      </c>
      <c r="C30" s="97" t="s">
        <v>2094</v>
      </c>
      <c r="D30" s="52" t="s">
        <v>2095</v>
      </c>
      <c r="E30" s="128" t="str">
        <f>IFERROR(__xludf.DUMMYFUNCTION("GOOGLETRANSLATE(A30,""zh-tw"",""ja"")"),"R26")</f>
        <v>R26</v>
      </c>
      <c r="F30" s="100" t="s">
        <v>2096</v>
      </c>
      <c r="G30" s="106" t="s">
        <v>2097</v>
      </c>
      <c r="H30" s="52" t="s">
        <v>1931</v>
      </c>
      <c r="I30" s="128" t="str">
        <f>IFERROR(__xludf.DUMMYFUNCTION("GOOGLETRANSLATE(A30,""zh-tw"",""en"")"),"R26")</f>
        <v>R26</v>
      </c>
      <c r="J30" s="100" t="s">
        <v>2098</v>
      </c>
      <c r="K30" s="97" t="s">
        <v>2099</v>
      </c>
      <c r="L30" s="52" t="s">
        <v>2100</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2101</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2102</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2103</v>
      </c>
      <c r="AG30" s="93" t="s">
        <v>2092</v>
      </c>
      <c r="AH30" s="94" t="s">
        <v>2104</v>
      </c>
      <c r="AI30" s="167" t="s">
        <v>2105</v>
      </c>
      <c r="AJ30" s="96" t="s">
        <v>2106</v>
      </c>
      <c r="AK30" s="30"/>
      <c r="AL30" s="30"/>
    </row>
    <row r="31">
      <c r="A31" s="128" t="s">
        <v>2107</v>
      </c>
      <c r="B31" s="100" t="s">
        <v>2108</v>
      </c>
      <c r="C31" s="97" t="s">
        <v>2109</v>
      </c>
      <c r="D31" s="52" t="s">
        <v>2110</v>
      </c>
      <c r="E31" s="128" t="str">
        <f>IFERROR(__xludf.DUMMYFUNCTION("GOOGLETRANSLATE(A31,""zh-tw"",""ja"")"),"R27")</f>
        <v>R27</v>
      </c>
      <c r="F31" s="100" t="s">
        <v>2111</v>
      </c>
      <c r="G31" s="106" t="s">
        <v>2112</v>
      </c>
      <c r="H31" s="52" t="s">
        <v>1931</v>
      </c>
      <c r="I31" s="128" t="str">
        <f>IFERROR(__xludf.DUMMYFUNCTION("GOOGLETRANSLATE(A31,""zh-tw"",""en"")"),"R27")</f>
        <v>R27</v>
      </c>
      <c r="J31" s="100" t="s">
        <v>2113</v>
      </c>
      <c r="K31" s="97" t="s">
        <v>2114</v>
      </c>
      <c r="L31" s="52" t="s">
        <v>2115</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2116</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2117</v>
      </c>
      <c r="AE31" s="164" t="str">
        <f>IFERROR(__xludf.DUMMYFUNCTION("GOOGLETRANSLATE(C31,""zh-tw"",""DE"")"),"Vergessene Krypta – 1, eine Schatztruhe in der Nähe des mittleren Eis")</f>
        <v>Vergessene Krypta – 1, eine Schatztruhe in der Nähe des mittleren Eis</v>
      </c>
      <c r="AF31" s="125" t="s">
        <v>2118</v>
      </c>
      <c r="AG31" s="93" t="s">
        <v>2107</v>
      </c>
      <c r="AH31" s="94" t="s">
        <v>2119</v>
      </c>
      <c r="AI31" s="167" t="s">
        <v>2120</v>
      </c>
      <c r="AJ31" s="96" t="s">
        <v>2121</v>
      </c>
      <c r="AK31" s="30"/>
      <c r="AL31" s="30"/>
    </row>
    <row r="32">
      <c r="A32" s="128" t="s">
        <v>2122</v>
      </c>
      <c r="B32" s="100" t="s">
        <v>2123</v>
      </c>
      <c r="C32" s="97" t="s">
        <v>2124</v>
      </c>
      <c r="D32" s="52" t="s">
        <v>2125</v>
      </c>
      <c r="E32" s="128" t="str">
        <f>IFERROR(__xludf.DUMMYFUNCTION("GOOGLETRANSLATE(A32,""zh-tw"",""ja"")"),"R28")</f>
        <v>R28</v>
      </c>
      <c r="F32" s="100" t="str">
        <f>IFERROR(__xludf.DUMMYFUNCTION("GOOGLETRANSLATE(B32,""zh-tw"",""ja"")"),"ダウンロードコンテンツ")</f>
        <v>ダウンロードコンテンツ</v>
      </c>
      <c r="G32" s="97" t="s">
        <v>2126</v>
      </c>
      <c r="H32" s="52" t="s">
        <v>2127</v>
      </c>
      <c r="I32" s="128" t="str">
        <f>IFERROR(__xludf.DUMMYFUNCTION("GOOGLETRANSLATE(A32,""zh-tw"",""en"")"),"R28")</f>
        <v>R28</v>
      </c>
      <c r="J32" s="100" t="s">
        <v>2123</v>
      </c>
      <c r="K32" s="97" t="s">
        <v>2128</v>
      </c>
      <c r="L32" s="52" t="s">
        <v>2129</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2130</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2123</v>
      </c>
      <c r="AE32" s="164" t="str">
        <f>IFERROR(__xludf.DUMMYFUNCTION("GOOGLETRANSLATE(C32,""zh-tw"",""DE"")"),"Abenteurerpfad: Treffpunkt
Teile ein bestimmtes Wissen mit dem Ritter, um")</f>
        <v>Abenteurerpfad: Treffpunkt
Teile ein bestimmtes Wissen mit dem Ritter, um</v>
      </c>
      <c r="AF32" s="125" t="s">
        <v>2131</v>
      </c>
      <c r="AG32" s="93" t="s">
        <v>2122</v>
      </c>
      <c r="AH32" s="94" t="s">
        <v>2123</v>
      </c>
      <c r="AI32" s="167" t="s">
        <v>2132</v>
      </c>
      <c r="AJ32" s="96" t="s">
        <v>2133</v>
      </c>
      <c r="AK32" s="30"/>
      <c r="AL32" s="30"/>
    </row>
    <row r="33">
      <c r="A33" s="128" t="s">
        <v>2134</v>
      </c>
      <c r="B33" s="100" t="s">
        <v>2135</v>
      </c>
      <c r="C33" s="97" t="s">
        <v>2136</v>
      </c>
      <c r="D33" s="52" t="s">
        <v>2137</v>
      </c>
      <c r="E33" s="128" t="str">
        <f>IFERROR(__xludf.DUMMYFUNCTION("GOOGLETRANSLATE(A33,""zh-tw"",""ja"")"),"R29")</f>
        <v>R29</v>
      </c>
      <c r="F33" s="100" t="s">
        <v>2138</v>
      </c>
      <c r="G33" s="97" t="s">
        <v>2139</v>
      </c>
      <c r="H33" s="52" t="s">
        <v>2140</v>
      </c>
      <c r="I33" s="128" t="str">
        <f>IFERROR(__xludf.DUMMYFUNCTION("GOOGLETRANSLATE(A33,""zh-tw"",""en"")"),"R29")</f>
        <v>R29</v>
      </c>
      <c r="J33" s="100" t="s">
        <v>2141</v>
      </c>
      <c r="K33" s="97" t="s">
        <v>2142</v>
      </c>
      <c r="L33" s="52" t="s">
        <v>2143</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2144</v>
      </c>
      <c r="S33" s="97" t="s">
        <v>2145</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2146</v>
      </c>
      <c r="AE33" s="166" t="s">
        <v>2147</v>
      </c>
      <c r="AF33" s="125" t="s">
        <v>2148</v>
      </c>
      <c r="AG33" s="93" t="s">
        <v>2134</v>
      </c>
      <c r="AH33" s="94" t="s">
        <v>2149</v>
      </c>
      <c r="AI33" s="167" t="s">
        <v>2150</v>
      </c>
      <c r="AJ33" s="96" t="s">
        <v>2151</v>
      </c>
      <c r="AK33" s="30"/>
      <c r="AL33" s="30"/>
    </row>
    <row r="34">
      <c r="A34" s="128" t="s">
        <v>2152</v>
      </c>
      <c r="B34" s="100" t="s">
        <v>2153</v>
      </c>
      <c r="C34" s="97" t="s">
        <v>2154</v>
      </c>
      <c r="D34" s="52" t="s">
        <v>2155</v>
      </c>
      <c r="E34" s="128" t="str">
        <f>IFERROR(__xludf.DUMMYFUNCTION("GOOGLETRANSLATE(A34,""zh-tw"",""ja"")"),"R30")</f>
        <v>R30</v>
      </c>
      <c r="F34" s="100" t="s">
        <v>2156</v>
      </c>
      <c r="G34" s="97" t="s">
        <v>2157</v>
      </c>
      <c r="H34" s="52" t="s">
        <v>2158</v>
      </c>
      <c r="I34" s="128" t="str">
        <f>IFERROR(__xludf.DUMMYFUNCTION("GOOGLETRANSLATE(A34,""zh-tw"",""en"")"),"R30")</f>
        <v>R30</v>
      </c>
      <c r="J34" s="100" t="s">
        <v>2159</v>
      </c>
      <c r="K34" s="97" t="s">
        <v>2160</v>
      </c>
      <c r="L34" s="52" t="s">
        <v>2161</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2162</v>
      </c>
      <c r="AE34" s="166" t="s">
        <v>2163</v>
      </c>
      <c r="AF34" s="125" t="s">
        <v>2164</v>
      </c>
      <c r="AG34" s="93" t="s">
        <v>2152</v>
      </c>
      <c r="AH34" s="94" t="s">
        <v>2165</v>
      </c>
      <c r="AI34" s="167" t="s">
        <v>2166</v>
      </c>
      <c r="AJ34" s="96" t="s">
        <v>2167</v>
      </c>
      <c r="AK34" s="30"/>
      <c r="AL34" s="30"/>
    </row>
    <row r="35">
      <c r="A35" s="128" t="s">
        <v>2168</v>
      </c>
      <c r="B35" s="100" t="s">
        <v>2169</v>
      </c>
      <c r="C35" s="97" t="s">
        <v>2170</v>
      </c>
      <c r="D35" s="52" t="s">
        <v>2171</v>
      </c>
      <c r="E35" s="128" t="str">
        <f>IFERROR(__xludf.DUMMYFUNCTION("GOOGLETRANSLATE(A35,""zh-tw"",""ja"")"),"R31")</f>
        <v>R31</v>
      </c>
      <c r="F35" s="100" t="s">
        <v>2172</v>
      </c>
      <c r="G35" s="97" t="s">
        <v>2173</v>
      </c>
      <c r="H35" s="52" t="s">
        <v>2174</v>
      </c>
      <c r="I35" s="128" t="str">
        <f>IFERROR(__xludf.DUMMYFUNCTION("GOOGLETRANSLATE(A35,""zh-tw"",""en"")"),"R31")</f>
        <v>R31</v>
      </c>
      <c r="J35" s="100" t="s">
        <v>2175</v>
      </c>
      <c r="K35" s="97" t="s">
        <v>2176</v>
      </c>
      <c r="L35" s="52" t="s">
        <v>2177</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2178</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2179</v>
      </c>
      <c r="AE35" s="166" t="s">
        <v>2180</v>
      </c>
      <c r="AF35" s="125" t="s">
        <v>2181</v>
      </c>
      <c r="AG35" s="93" t="s">
        <v>2168</v>
      </c>
      <c r="AH35" s="94" t="s">
        <v>2182</v>
      </c>
      <c r="AI35" s="167" t="s">
        <v>2183</v>
      </c>
      <c r="AJ35" s="96" t="s">
        <v>2184</v>
      </c>
      <c r="AK35" s="30"/>
      <c r="AL35" s="30"/>
    </row>
    <row r="36">
      <c r="A36" s="128" t="s">
        <v>2185</v>
      </c>
      <c r="B36" s="100" t="s">
        <v>2186</v>
      </c>
      <c r="C36" s="97" t="s">
        <v>2187</v>
      </c>
      <c r="D36" s="52" t="s">
        <v>2188</v>
      </c>
      <c r="E36" s="128" t="str">
        <f>IFERROR(__xludf.DUMMYFUNCTION("GOOGLETRANSLATE(A36,""zh-tw"",""ja"")"),"R32")</f>
        <v>R32</v>
      </c>
      <c r="F36" s="100" t="s">
        <v>2189</v>
      </c>
      <c r="G36" s="97" t="s">
        <v>2190</v>
      </c>
      <c r="H36" s="52" t="s">
        <v>2191</v>
      </c>
      <c r="I36" s="128" t="str">
        <f>IFERROR(__xludf.DUMMYFUNCTION("GOOGLETRANSLATE(A36,""zh-tw"",""en"")"),"R32")</f>
        <v>R32</v>
      </c>
      <c r="J36" s="100" t="s">
        <v>2192</v>
      </c>
      <c r="K36" s="97" t="s">
        <v>2193</v>
      </c>
      <c r="L36" s="52" t="s">
        <v>2194</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2195</v>
      </c>
      <c r="S36" s="97" t="s">
        <v>2196</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2197</v>
      </c>
      <c r="AE36" s="166" t="s">
        <v>2198</v>
      </c>
      <c r="AF36" s="125" t="s">
        <v>2199</v>
      </c>
      <c r="AG36" s="93" t="s">
        <v>2185</v>
      </c>
      <c r="AH36" s="94" t="s">
        <v>2200</v>
      </c>
      <c r="AI36" s="167" t="s">
        <v>2201</v>
      </c>
      <c r="AJ36" s="96" t="s">
        <v>2202</v>
      </c>
      <c r="AK36" s="30"/>
      <c r="AL36" s="30"/>
    </row>
    <row r="37">
      <c r="A37" s="128" t="s">
        <v>2203</v>
      </c>
      <c r="B37" s="100" t="s">
        <v>2204</v>
      </c>
      <c r="C37" s="97" t="s">
        <v>2205</v>
      </c>
      <c r="D37" s="52" t="s">
        <v>2206</v>
      </c>
      <c r="E37" s="128" t="str">
        <f>IFERROR(__xludf.DUMMYFUNCTION("GOOGLETRANSLATE(A37,""zh-tw"",""ja"")"),"R33")</f>
        <v>R33</v>
      </c>
      <c r="F37" s="100" t="s">
        <v>2207</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2208</v>
      </c>
      <c r="I37" s="128" t="str">
        <f>IFERROR(__xludf.DUMMYFUNCTION("GOOGLETRANSLATE(A37,""zh-tw"",""en"")"),"R33")</f>
        <v>R33</v>
      </c>
      <c r="J37" s="100" t="s">
        <v>2209</v>
      </c>
      <c r="K37" s="106" t="s">
        <v>2210</v>
      </c>
      <c r="L37" s="52" t="s">
        <v>2211</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2212</v>
      </c>
      <c r="S37" s="97" t="s">
        <v>2213</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3" t="str">
        <f>IFERROR(__xludf.DUMMYFUNCTION("GOOGLETRANSLATE(I37,""zh-tw"",""en"")"),"R33")</f>
        <v>R33</v>
      </c>
      <c r="AD37" s="100" t="s">
        <v>2214</v>
      </c>
      <c r="AE37" s="166" t="s">
        <v>2215</v>
      </c>
      <c r="AF37" s="125" t="s">
        <v>2216</v>
      </c>
      <c r="AG37" s="93" t="s">
        <v>2203</v>
      </c>
      <c r="AH37" s="94" t="s">
        <v>2217</v>
      </c>
      <c r="AI37" s="167" t="s">
        <v>2218</v>
      </c>
      <c r="AJ37" s="96" t="s">
        <v>2219</v>
      </c>
      <c r="AK37" s="30"/>
      <c r="AL37" s="30"/>
    </row>
    <row r="38">
      <c r="A38" s="128" t="s">
        <v>2220</v>
      </c>
      <c r="B38" s="100" t="s">
        <v>2221</v>
      </c>
      <c r="C38" s="97" t="s">
        <v>2222</v>
      </c>
      <c r="D38" s="52" t="s">
        <v>2223</v>
      </c>
      <c r="E38" s="128" t="str">
        <f>IFERROR(__xludf.DUMMYFUNCTION("GOOGLETRANSLATE(A38,""zh-tw"",""ja"")"),"R34")</f>
        <v>R34</v>
      </c>
      <c r="F38" s="100" t="s">
        <v>2224</v>
      </c>
      <c r="G38" s="97" t="s">
        <v>2225</v>
      </c>
      <c r="H38" s="52" t="s">
        <v>2226</v>
      </c>
      <c r="I38" s="128" t="str">
        <f>IFERROR(__xludf.DUMMYFUNCTION("GOOGLETRANSLATE(A38,""zh-tw"",""en"")"),"R34")</f>
        <v>R34</v>
      </c>
      <c r="J38" s="100" t="s">
        <v>2227</v>
      </c>
      <c r="K38" s="97" t="s">
        <v>2228</v>
      </c>
      <c r="L38" s="52" t="s">
        <v>2229</v>
      </c>
      <c r="M38" s="136" t="str">
        <f>IFERROR(__xludf.DUMMYFUNCTION("GOOGLETRANSLATE(A38,""zh-tw"",""en"")"),"R34")</f>
        <v>R34</v>
      </c>
      <c r="N38" s="100" t="str">
        <f>IFERROR(__xludf.DUMMYFUNCTION("GOOGLETRANSLATE(B38,""zh-tw"",""zh"")"),"炎热天气4")</f>
        <v>炎热天气4</v>
      </c>
      <c r="O38" s="89" t="str">
        <f>IFERROR(__xludf.DUMMYFUNCTION("GOOGLETRANSLATE(C38,""zh-tw"",""zh"")"),"同上，在炎热天气与妹妹进行过色情话题后，下次炎热天气时，有机率触发第二段剧情，妹妹没来迎接回家
(当次数多了之后会触发第三段，未实装)")</f>
        <v>同上，在炎热天气与妹妹进行过色情话题后，下次炎热天气时，有机率触发第二段剧情，妹妹没来迎接回家
(当次数多了之后会触发第三段，未实装)</v>
      </c>
      <c r="P38" s="55" t="str">
        <f>IFERROR(__xludf.DUMMYFUNCTION("GOOGLETRANSLATE(D38,""zh-tw"",""zh"")"),"炎热天气分支剧情")</f>
        <v>炎热天气分支剧情</v>
      </c>
      <c r="Q38" s="136" t="str">
        <f>IFERROR(__xludf.DUMMYFUNCTION("GOOGLETRANSLATE(A38,""zh-tw"",""ja"")"),"R34")</f>
        <v>R34</v>
      </c>
      <c r="R38" s="100" t="s">
        <v>2230</v>
      </c>
      <c r="S38" s="97" t="s">
        <v>2231</v>
      </c>
      <c r="T38" s="55" t="str">
        <f>IFERROR(__xludf.DUMMYFUNCTION("GOOGLETRANSLATE(D38,""zh-tw"",""es-MX"")"),"Parcela de ramificación en climas cálidos")</f>
        <v>Parcela de ramificación en climas cálidos</v>
      </c>
      <c r="U38" s="163" t="str">
        <f>IFERROR(__xludf.DUMMYFUNCTION("GOOGLETRANSLATE(A38,""zh-tw"",""en"")"),"R34")</f>
        <v>R34</v>
      </c>
      <c r="V38" s="88" t="str">
        <f>IFERROR(__xludf.DUMMYFUNCTION("GOOGLETRANSLATE(B38,""zh-tw"",""KO"")"),"더운 날씨 4")</f>
        <v>더운 날씨 4</v>
      </c>
      <c r="W38" s="89" t="str">
        <f>IFERROR(__xludf.DUMMYFUNCTION("GOOGLETRANSLATE(C38,""zh-tw"",""KO"")"),"마찬가지로, 더운 날 여동생과 성적으로 암시적인 대화를 나눈 후, 날씨가 더워지면 여동생이 당신을 맞이하러 오지 않는 두 번째 장면이 트리거될 가능성이 있습니다.
(이런 일이 충분히 반복되면 세 번째 장면이 트리거되지만, 아직 구현되지 않았습니다.)")</f>
        <v>마찬가지로, 더운 날 여동생과 성적으로 암시적인 대화를 나눈 후, 날씨가 더워지면 여동생이 당신을 맞이하러 오지 않는 두 번째 장면이 트리거될 가능성이 있습니다.
(이런 일이 충분히 반복되면 세 번째 장면이 트리거되지만, 아직 구현되지 않았습니다.)</v>
      </c>
      <c r="X38" s="55" t="str">
        <f>IFERROR(__xludf.DUMMYFUNCTION("GOOGLETRANSLATE(D38,""zh-tw"",""KO"")"),"더운 날씨 분기 플롯")</f>
        <v>더운 날씨 분기 플롯</v>
      </c>
      <c r="Y38" s="163" t="str">
        <f>IFERROR(__xludf.DUMMYFUNCTION("GOOGLETRANSLATE(E38,""zh-tw"",""en"")"),"R34")</f>
        <v>R34</v>
      </c>
      <c r="Z38" s="100" t="str">
        <f>IFERROR(__xludf.DUMMYFUNCTION("GOOGLETRANSLATE(B38,""zh-tw"",""ru"")"),"Жаркая погода 4")</f>
        <v>Жаркая погода 4</v>
      </c>
      <c r="AA38" s="164" t="str">
        <f>IFERROR(__xludf.DUMMYFUNCTION("GOOGLETRANSLATE(C38,""zh-tw"",""RU"")"),"Аналогично, после разговора с сестрой на сексуальные темы в жаркий день есть вероятность, что вторая сцена сработает в следующий раз, когда погода будет жаркой, и ваша сестра не выйдет вас поприветствовать.
(Если это повторится достаточное количество раз,"&amp;" сработает третья сцена, но пока она не реализована.)")</f>
        <v>Аналогично, после разговора с сестрой на сексуальные темы в жаркий день есть вероятность, что вторая сцена сработает в следующий раз, когда погода будет жаркой, и ваша сестра не выйдет вас поприветствовать.
(Если это повторится достаточное количество раз, сработает третья сцена, но пока она не реализована.)</v>
      </c>
      <c r="AB38" s="44" t="str">
        <f>IFERROR(__xludf.DUMMYFUNCTION("GOOGLETRANSLATE(D38,""zh-tw"",""RU"")"),"Участок разветвления в жаркую погоду")</f>
        <v>Участок разветвления в жаркую погоду</v>
      </c>
      <c r="AC38" s="163" t="str">
        <f>IFERROR(__xludf.DUMMYFUNCTION("GOOGLETRANSLATE(I38,""zh-tw"",""en"")"),"R34")</f>
        <v>R34</v>
      </c>
      <c r="AD38" s="100" t="s">
        <v>2232</v>
      </c>
      <c r="AE38" s="166" t="s">
        <v>2233</v>
      </c>
      <c r="AF38" s="125" t="s">
        <v>2234</v>
      </c>
      <c r="AG38" s="93" t="s">
        <v>2220</v>
      </c>
      <c r="AH38" s="94" t="s">
        <v>2235</v>
      </c>
      <c r="AI38" s="167" t="s">
        <v>2236</v>
      </c>
      <c r="AJ38" s="96" t="s">
        <v>2237</v>
      </c>
      <c r="AK38" s="30"/>
      <c r="AL38" s="30"/>
    </row>
    <row r="39">
      <c r="A39" s="128" t="s">
        <v>2238</v>
      </c>
      <c r="B39" s="100" t="s">
        <v>2239</v>
      </c>
      <c r="C39" s="97" t="s">
        <v>2240</v>
      </c>
      <c r="D39" s="52" t="s">
        <v>2241</v>
      </c>
      <c r="E39" s="128" t="str">
        <f>IFERROR(__xludf.DUMMYFUNCTION("GOOGLETRANSLATE(A39,""zh-tw"",""ja"")"),"R35")</f>
        <v>R35</v>
      </c>
      <c r="F39" s="100" t="s">
        <v>2242</v>
      </c>
      <c r="G39" s="106" t="s">
        <v>2243</v>
      </c>
      <c r="H39" s="52" t="s">
        <v>2244</v>
      </c>
      <c r="I39" s="128" t="str">
        <f>IFERROR(__xludf.DUMMYFUNCTION("GOOGLETRANSLATE(A39,""zh-tw"",""en"")"),"R35")</f>
        <v>R35</v>
      </c>
      <c r="J39" s="100" t="s">
        <v>2245</v>
      </c>
      <c r="K39" s="97" t="s">
        <v>2246</v>
      </c>
      <c r="L39" s="52" t="s">
        <v>2247</v>
      </c>
      <c r="M39" s="136" t="str">
        <f>IFERROR(__xludf.DUMMYFUNCTION("GOOGLETRANSLATE(A39,""zh-tw"",""en"")"),"R35")</f>
        <v>R35</v>
      </c>
      <c r="N39" s="100" t="str">
        <f>IFERROR(__xludf.DUMMYFUNCTION("GOOGLETRANSLATE(B39,""zh-tw"",""zh"")"),"神秘商店")</f>
        <v>神秘商店</v>
      </c>
      <c r="O39" s="97" t="s">
        <v>2248</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2249</v>
      </c>
      <c r="S39" s="97" t="s">
        <v>2250</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2251</v>
      </c>
      <c r="AE39" s="166" t="s">
        <v>2252</v>
      </c>
      <c r="AF39" s="125" t="s">
        <v>2253</v>
      </c>
      <c r="AG39" s="93" t="s">
        <v>2238</v>
      </c>
      <c r="AH39" s="94" t="s">
        <v>2254</v>
      </c>
      <c r="AI39" s="167" t="s">
        <v>2255</v>
      </c>
      <c r="AJ39" s="96" t="s">
        <v>2256</v>
      </c>
      <c r="AK39" s="30"/>
      <c r="AL39" s="30"/>
    </row>
    <row r="40">
      <c r="A40" s="128" t="s">
        <v>2257</v>
      </c>
      <c r="B40" s="100" t="s">
        <v>2258</v>
      </c>
      <c r="C40" s="97" t="s">
        <v>2259</v>
      </c>
      <c r="D40" s="52" t="s">
        <v>2260</v>
      </c>
      <c r="E40" s="128" t="str">
        <f>IFERROR(__xludf.DUMMYFUNCTION("GOOGLETRANSLATE(A40,""zh-tw"",""ja"")"),"R36")</f>
        <v>R36</v>
      </c>
      <c r="F40" s="100" t="s">
        <v>2261</v>
      </c>
      <c r="G40" s="106" t="s">
        <v>2262</v>
      </c>
      <c r="H40" s="52" t="s">
        <v>2263</v>
      </c>
      <c r="I40" s="128" t="str">
        <f>IFERROR(__xludf.DUMMYFUNCTION("GOOGLETRANSLATE(A40,""zh-tw"",""en"")"),"R36")</f>
        <v>R36</v>
      </c>
      <c r="J40" s="100" t="s">
        <v>2264</v>
      </c>
      <c r="K40" s="97" t="s">
        <v>2265</v>
      </c>
      <c r="L40" s="52" t="s">
        <v>2266</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2267</v>
      </c>
      <c r="S40" s="97" t="s">
        <v>2268</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2269</v>
      </c>
      <c r="AE40" s="166" t="s">
        <v>2270</v>
      </c>
      <c r="AF40" s="125" t="s">
        <v>2271</v>
      </c>
      <c r="AG40" s="93" t="s">
        <v>2257</v>
      </c>
      <c r="AH40" s="94" t="s">
        <v>2272</v>
      </c>
      <c r="AI40" s="167" t="s">
        <v>2273</v>
      </c>
      <c r="AJ40" s="96" t="s">
        <v>2274</v>
      </c>
      <c r="AK40" s="30"/>
      <c r="AL40" s="30"/>
    </row>
    <row r="41">
      <c r="A41" s="128" t="s">
        <v>2275</v>
      </c>
      <c r="B41" s="100" t="s">
        <v>2276</v>
      </c>
      <c r="C41" s="97" t="s">
        <v>2277</v>
      </c>
      <c r="D41" s="52" t="s">
        <v>2278</v>
      </c>
      <c r="E41" s="128" t="str">
        <f>IFERROR(__xludf.DUMMYFUNCTION("GOOGLETRANSLATE(A41,""zh-tw"",""ja"")"),"R37")</f>
        <v>R37</v>
      </c>
      <c r="F41" s="100" t="s">
        <v>2279</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2280</v>
      </c>
      <c r="K41" s="97" t="s">
        <v>2281</v>
      </c>
      <c r="L41" s="52" t="s">
        <v>2282</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2283</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2284</v>
      </c>
      <c r="AE41" s="166" t="s">
        <v>2285</v>
      </c>
      <c r="AF41" s="125" t="s">
        <v>2286</v>
      </c>
      <c r="AG41" s="93" t="s">
        <v>2275</v>
      </c>
      <c r="AH41" s="94" t="s">
        <v>2287</v>
      </c>
      <c r="AI41" s="167" t="s">
        <v>2288</v>
      </c>
      <c r="AJ41" s="96" t="s">
        <v>2289</v>
      </c>
      <c r="AK41" s="30"/>
      <c r="AL41" s="30"/>
    </row>
    <row r="42">
      <c r="A42" s="128" t="s">
        <v>2290</v>
      </c>
      <c r="B42" s="100" t="s">
        <v>2291</v>
      </c>
      <c r="C42" s="97" t="s">
        <v>2292</v>
      </c>
      <c r="D42" s="52" t="s">
        <v>2293</v>
      </c>
      <c r="E42" s="128" t="str">
        <f>IFERROR(__xludf.DUMMYFUNCTION("GOOGLETRANSLATE(A42,""zh-tw"",""ja"")"),"R38")</f>
        <v>R38</v>
      </c>
      <c r="F42" s="100" t="s">
        <v>2294</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2295</v>
      </c>
      <c r="K42" s="97" t="s">
        <v>2296</v>
      </c>
      <c r="L42" s="52" t="s">
        <v>2297</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2298</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2299</v>
      </c>
      <c r="AE42" s="166" t="s">
        <v>2300</v>
      </c>
      <c r="AF42" s="125" t="s">
        <v>2301</v>
      </c>
      <c r="AG42" s="93" t="s">
        <v>2290</v>
      </c>
      <c r="AH42" s="94" t="s">
        <v>2302</v>
      </c>
      <c r="AI42" s="167" t="s">
        <v>2303</v>
      </c>
      <c r="AJ42" s="96" t="s">
        <v>2304</v>
      </c>
      <c r="AK42" s="30"/>
      <c r="AL42" s="30"/>
    </row>
    <row r="43">
      <c r="A43" s="128" t="s">
        <v>2305</v>
      </c>
      <c r="B43" s="100" t="s">
        <v>2306</v>
      </c>
      <c r="C43" s="97" t="s">
        <v>2307</v>
      </c>
      <c r="D43" s="52" t="s">
        <v>2308</v>
      </c>
      <c r="E43" s="128" t="str">
        <f>IFERROR(__xludf.DUMMYFUNCTION("GOOGLETRANSLATE(A43,""zh-tw"",""ja"")"),"R39")</f>
        <v>R39</v>
      </c>
      <c r="F43" s="100" t="s">
        <v>2309</v>
      </c>
      <c r="G43" s="106" t="s">
        <v>2310</v>
      </c>
      <c r="H43" s="52" t="s">
        <v>2311</v>
      </c>
      <c r="I43" s="128" t="str">
        <f>IFERROR(__xludf.DUMMYFUNCTION("GOOGLETRANSLATE(A43,""zh-tw"",""en"")"),"R39")</f>
        <v>R39</v>
      </c>
      <c r="J43" s="100" t="s">
        <v>2312</v>
      </c>
      <c r="K43" s="97" t="s">
        <v>2313</v>
      </c>
      <c r="L43" s="52" t="s">
        <v>2314</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2315</v>
      </c>
      <c r="Q43" s="136" t="str">
        <f>IFERROR(__xludf.DUMMYFUNCTION("GOOGLETRANSLATE(A43,""zh-tw"",""ja"")"),"R39")</f>
        <v>R39</v>
      </c>
      <c r="R43" s="100" t="s">
        <v>2316</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2317</v>
      </c>
      <c r="AE43" s="166" t="s">
        <v>2318</v>
      </c>
      <c r="AF43" s="125" t="s">
        <v>2319</v>
      </c>
      <c r="AG43" s="93" t="s">
        <v>2305</v>
      </c>
      <c r="AH43" s="94" t="s">
        <v>2320</v>
      </c>
      <c r="AI43" s="167" t="s">
        <v>2321</v>
      </c>
      <c r="AJ43" s="96" t="s">
        <v>2322</v>
      </c>
      <c r="AK43" s="30"/>
      <c r="AL43" s="30"/>
    </row>
    <row r="44">
      <c r="A44" s="128" t="s">
        <v>2323</v>
      </c>
      <c r="B44" s="100" t="s">
        <v>2324</v>
      </c>
      <c r="C44" s="97" t="s">
        <v>2325</v>
      </c>
      <c r="D44" s="52" t="s">
        <v>2326</v>
      </c>
      <c r="E44" s="128" t="str">
        <f>IFERROR(__xludf.DUMMYFUNCTION("GOOGLETRANSLATE(A44,""zh-tw"",""ja"")"),"R40")</f>
        <v>R40</v>
      </c>
      <c r="F44" s="100" t="s">
        <v>2327</v>
      </c>
      <c r="G44" s="106" t="s">
        <v>2328</v>
      </c>
      <c r="H44" s="52" t="s">
        <v>2329</v>
      </c>
      <c r="I44" s="128" t="str">
        <f>IFERROR(__xludf.DUMMYFUNCTION("GOOGLETRANSLATE(A44,""zh-tw"",""en"")"),"R40")</f>
        <v>R40</v>
      </c>
      <c r="J44" s="100" t="s">
        <v>2330</v>
      </c>
      <c r="K44" s="97" t="s">
        <v>2331</v>
      </c>
      <c r="L44" s="52" t="s">
        <v>2332</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2333</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2334</v>
      </c>
      <c r="AE44" s="166" t="s">
        <v>2335</v>
      </c>
      <c r="AF44" s="125" t="s">
        <v>2336</v>
      </c>
      <c r="AG44" s="93" t="s">
        <v>2323</v>
      </c>
      <c r="AH44" s="94" t="s">
        <v>2337</v>
      </c>
      <c r="AI44" s="167" t="s">
        <v>2338</v>
      </c>
      <c r="AJ44" s="96" t="s">
        <v>2339</v>
      </c>
      <c r="AK44" s="30"/>
      <c r="AL44" s="30"/>
    </row>
    <row r="45">
      <c r="A45" s="128" t="s">
        <v>2340</v>
      </c>
      <c r="B45" s="100" t="s">
        <v>2341</v>
      </c>
      <c r="C45" s="97" t="s">
        <v>2342</v>
      </c>
      <c r="D45" s="52" t="s">
        <v>2343</v>
      </c>
      <c r="E45" s="128" t="s">
        <v>2340</v>
      </c>
      <c r="F45" s="100" t="s">
        <v>2344</v>
      </c>
      <c r="G45" s="106" t="s">
        <v>2345</v>
      </c>
      <c r="H45" s="52" t="s">
        <v>2346</v>
      </c>
      <c r="I45" s="128" t="s">
        <v>2340</v>
      </c>
      <c r="J45" s="100" t="s">
        <v>2347</v>
      </c>
      <c r="K45" s="97" t="s">
        <v>2348</v>
      </c>
      <c r="L45" s="52" t="s">
        <v>2349</v>
      </c>
      <c r="M45" s="128" t="s">
        <v>2340</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2340</v>
      </c>
      <c r="R45" s="100"/>
      <c r="S45" s="89"/>
      <c r="T45" s="55"/>
      <c r="U45" s="169" t="s">
        <v>2340</v>
      </c>
      <c r="V45" s="88"/>
      <c r="W45" s="89"/>
      <c r="X45" s="55"/>
      <c r="Y45" s="169" t="s">
        <v>2340</v>
      </c>
      <c r="Z45" s="100"/>
      <c r="AA45" s="164"/>
      <c r="AB45" s="44"/>
      <c r="AC45" s="169" t="s">
        <v>2340</v>
      </c>
      <c r="AD45" s="100" t="s">
        <v>2350</v>
      </c>
      <c r="AE45" s="166" t="s">
        <v>2351</v>
      </c>
      <c r="AF45" s="125" t="s">
        <v>2352</v>
      </c>
      <c r="AG45" s="93" t="s">
        <v>2340</v>
      </c>
      <c r="AH45" s="94" t="s">
        <v>2353</v>
      </c>
      <c r="AI45" s="167" t="s">
        <v>2354</v>
      </c>
      <c r="AJ45" s="96" t="s">
        <v>2355</v>
      </c>
      <c r="AK45" s="30"/>
      <c r="AL45" s="30"/>
    </row>
    <row r="46" ht="113.25" customHeight="1">
      <c r="A46" s="128" t="s">
        <v>2356</v>
      </c>
      <c r="B46" s="100" t="s">
        <v>2357</v>
      </c>
      <c r="C46" s="97" t="s">
        <v>2358</v>
      </c>
      <c r="D46" s="52" t="s">
        <v>2359</v>
      </c>
      <c r="E46" s="128" t="str">
        <f>IFERROR(__xludf.DUMMYFUNCTION("GOOGLETRANSLATE(A46,""zh-tw"",""ja"")"),"R42")</f>
        <v>R42</v>
      </c>
      <c r="F46" s="100" t="s">
        <v>2360</v>
      </c>
      <c r="G46" s="97" t="s">
        <v>2361</v>
      </c>
      <c r="H46" s="52" t="s">
        <v>2362</v>
      </c>
      <c r="I46" s="128" t="str">
        <f>IFERROR(__xludf.DUMMYFUNCTION("GOOGLETRANSLATE(A46,""zh-tw"",""en"")"),"R42")</f>
        <v>R42</v>
      </c>
      <c r="J46" s="100" t="s">
        <v>2363</v>
      </c>
      <c r="K46" s="97" t="s">
        <v>2364</v>
      </c>
      <c r="L46" s="52" t="s">
        <v>2365</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2366</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2367</v>
      </c>
      <c r="AE46" s="166" t="s">
        <v>2368</v>
      </c>
      <c r="AF46" s="125" t="s">
        <v>2369</v>
      </c>
      <c r="AG46" s="93" t="s">
        <v>2356</v>
      </c>
      <c r="AH46" s="94" t="s">
        <v>2370</v>
      </c>
      <c r="AI46" s="167" t="s">
        <v>2371</v>
      </c>
      <c r="AJ46" s="96" t="s">
        <v>2372</v>
      </c>
      <c r="AK46" s="30"/>
      <c r="AL46" s="30"/>
    </row>
    <row r="47">
      <c r="A47" s="128" t="s">
        <v>2373</v>
      </c>
      <c r="B47" s="100" t="s">
        <v>2374</v>
      </c>
      <c r="C47" s="97" t="s">
        <v>2375</v>
      </c>
      <c r="D47" s="52" t="s">
        <v>2376</v>
      </c>
      <c r="E47" s="128" t="str">
        <f>IFERROR(__xludf.DUMMYFUNCTION("GOOGLETRANSLATE(A47,""zh-tw"",""ja"")"),"R43")</f>
        <v>R43</v>
      </c>
      <c r="F47" s="100" t="s">
        <v>2377</v>
      </c>
      <c r="G47" s="97" t="s">
        <v>2378</v>
      </c>
      <c r="H47" s="52" t="s">
        <v>2379</v>
      </c>
      <c r="I47" s="128" t="str">
        <f>IFERROR(__xludf.DUMMYFUNCTION("GOOGLETRANSLATE(A47,""zh-tw"",""en"")"),"R43")</f>
        <v>R43</v>
      </c>
      <c r="J47" s="100" t="s">
        <v>2380</v>
      </c>
      <c r="K47" s="97" t="s">
        <v>2381</v>
      </c>
      <c r="L47" s="52" t="s">
        <v>2382</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2383</v>
      </c>
      <c r="AE47" s="166" t="s">
        <v>2384</v>
      </c>
      <c r="AF47" s="125" t="s">
        <v>2385</v>
      </c>
      <c r="AG47" s="93" t="s">
        <v>2373</v>
      </c>
      <c r="AH47" s="94" t="s">
        <v>2386</v>
      </c>
      <c r="AI47" s="167" t="s">
        <v>2387</v>
      </c>
      <c r="AJ47" s="96" t="s">
        <v>2388</v>
      </c>
      <c r="AK47" s="30"/>
      <c r="AL47" s="30"/>
    </row>
    <row r="48">
      <c r="A48" s="128" t="s">
        <v>2389</v>
      </c>
      <c r="B48" s="100" t="s">
        <v>2390</v>
      </c>
      <c r="C48" s="97" t="s">
        <v>2391</v>
      </c>
      <c r="D48" s="52" t="s">
        <v>2392</v>
      </c>
      <c r="E48" s="128" t="str">
        <f>IFERROR(__xludf.DUMMYFUNCTION("GOOGLETRANSLATE(A48,""zh-tw"",""ja"")"),"R44")</f>
        <v>R44</v>
      </c>
      <c r="F48" s="100" t="s">
        <v>2393</v>
      </c>
      <c r="G48" s="97" t="s">
        <v>2394</v>
      </c>
      <c r="H48" s="52" t="s">
        <v>2395</v>
      </c>
      <c r="I48" s="128" t="str">
        <f>IFERROR(__xludf.DUMMYFUNCTION("GOOGLETRANSLATE(A48,""zh-tw"",""en"")"),"R44")</f>
        <v>R44</v>
      </c>
      <c r="J48" s="100" t="s">
        <v>2396</v>
      </c>
      <c r="K48" s="97" t="s">
        <v>2397</v>
      </c>
      <c r="L48" s="52" t="s">
        <v>2398</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2399</v>
      </c>
      <c r="AE48" s="166" t="s">
        <v>2400</v>
      </c>
      <c r="AF48" s="125" t="s">
        <v>2401</v>
      </c>
      <c r="AG48" s="93" t="s">
        <v>2389</v>
      </c>
      <c r="AH48" s="94" t="s">
        <v>2402</v>
      </c>
      <c r="AI48" s="167" t="s">
        <v>2403</v>
      </c>
      <c r="AJ48" s="96" t="s">
        <v>2404</v>
      </c>
      <c r="AK48" s="30"/>
      <c r="AL48" s="30"/>
    </row>
    <row r="49">
      <c r="A49" s="128" t="s">
        <v>2405</v>
      </c>
      <c r="B49" s="100" t="s">
        <v>2406</v>
      </c>
      <c r="C49" s="97" t="s">
        <v>2407</v>
      </c>
      <c r="D49" s="52" t="s">
        <v>2408</v>
      </c>
      <c r="E49" s="128" t="str">
        <f>IFERROR(__xludf.DUMMYFUNCTION("GOOGLETRANSLATE(A49,""zh-tw"",""ja"")"),"R45")</f>
        <v>R45</v>
      </c>
      <c r="F49" s="100" t="s">
        <v>2409</v>
      </c>
      <c r="G49" s="106" t="s">
        <v>2410</v>
      </c>
      <c r="H49" s="52" t="s">
        <v>2411</v>
      </c>
      <c r="I49" s="128" t="str">
        <f>IFERROR(__xludf.DUMMYFUNCTION("GOOGLETRANSLATE(A49,""zh-tw"",""en"")"),"R45")</f>
        <v>R45</v>
      </c>
      <c r="J49" s="100" t="s">
        <v>2412</v>
      </c>
      <c r="K49" s="97" t="s">
        <v>2413</v>
      </c>
      <c r="L49" s="52" t="s">
        <v>2414</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2415</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2416</v>
      </c>
      <c r="AE49" s="166" t="s">
        <v>2417</v>
      </c>
      <c r="AF49" s="125" t="s">
        <v>2418</v>
      </c>
      <c r="AG49" s="93" t="s">
        <v>2405</v>
      </c>
      <c r="AH49" s="94" t="s">
        <v>2419</v>
      </c>
      <c r="AI49" s="167" t="s">
        <v>2420</v>
      </c>
      <c r="AJ49" s="96" t="s">
        <v>2421</v>
      </c>
      <c r="AK49" s="30"/>
      <c r="AL49" s="30"/>
    </row>
    <row r="50">
      <c r="A50" s="128" t="s">
        <v>2422</v>
      </c>
      <c r="B50" s="100" t="s">
        <v>2423</v>
      </c>
      <c r="C50" s="97" t="s">
        <v>2424</v>
      </c>
      <c r="D50" s="52" t="s">
        <v>2425</v>
      </c>
      <c r="E50" s="128" t="str">
        <f>IFERROR(__xludf.DUMMYFUNCTION("GOOGLETRANSLATE(A50,""zh-tw"",""ja"")"),"R46")</f>
        <v>R46</v>
      </c>
      <c r="F50" s="100" t="s">
        <v>2426</v>
      </c>
      <c r="G50" s="106" t="s">
        <v>2427</v>
      </c>
      <c r="H50" s="52" t="s">
        <v>2428</v>
      </c>
      <c r="I50" s="128" t="str">
        <f>IFERROR(__xludf.DUMMYFUNCTION("GOOGLETRANSLATE(A50,""zh-tw"",""en"")"),"R46")</f>
        <v>R46</v>
      </c>
      <c r="J50" s="100" t="s">
        <v>2429</v>
      </c>
      <c r="K50" s="97" t="s">
        <v>2430</v>
      </c>
      <c r="L50" s="52" t="s">
        <v>2431</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2432</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2433</v>
      </c>
      <c r="AE50" s="166" t="s">
        <v>2434</v>
      </c>
      <c r="AF50" s="125" t="s">
        <v>2435</v>
      </c>
      <c r="AG50" s="93" t="s">
        <v>2422</v>
      </c>
      <c r="AH50" s="94" t="s">
        <v>2436</v>
      </c>
      <c r="AI50" s="167" t="s">
        <v>2437</v>
      </c>
      <c r="AJ50" s="96" t="s">
        <v>2438</v>
      </c>
      <c r="AK50" s="30"/>
      <c r="AL50" s="30"/>
    </row>
    <row r="51">
      <c r="A51" s="128" t="s">
        <v>2439</v>
      </c>
      <c r="B51" s="100" t="s">
        <v>2440</v>
      </c>
      <c r="C51" s="97" t="s">
        <v>2441</v>
      </c>
      <c r="D51" s="52" t="s">
        <v>2442</v>
      </c>
      <c r="E51" s="128" t="str">
        <f>IFERROR(__xludf.DUMMYFUNCTION("GOOGLETRANSLATE(A51,""zh-tw"",""ja"")"),"R47")</f>
        <v>R47</v>
      </c>
      <c r="F51" s="100" t="s">
        <v>2443</v>
      </c>
      <c r="G51" s="106" t="s">
        <v>2444</v>
      </c>
      <c r="H51" s="52" t="s">
        <v>2445</v>
      </c>
      <c r="I51" s="128" t="str">
        <f>IFERROR(__xludf.DUMMYFUNCTION("GOOGLETRANSLATE(A51,""zh-tw"",""en"")"),"R47")</f>
        <v>R47</v>
      </c>
      <c r="J51" s="100" t="s">
        <v>2446</v>
      </c>
      <c r="K51" s="97" t="s">
        <v>2447</v>
      </c>
      <c r="L51" s="52" t="s">
        <v>2448</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2449</v>
      </c>
      <c r="T51" s="55"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2450</v>
      </c>
      <c r="AE51" s="166" t="s">
        <v>2451</v>
      </c>
      <c r="AF51" s="125" t="s">
        <v>2452</v>
      </c>
      <c r="AG51" s="93" t="s">
        <v>2439</v>
      </c>
      <c r="AH51" s="94" t="s">
        <v>2453</v>
      </c>
      <c r="AI51" s="167" t="s">
        <v>2454</v>
      </c>
      <c r="AJ51" s="96" t="s">
        <v>2455</v>
      </c>
      <c r="AK51" s="30"/>
      <c r="AL51" s="30"/>
    </row>
    <row r="52">
      <c r="A52" s="128" t="s">
        <v>2456</v>
      </c>
      <c r="B52" s="100" t="s">
        <v>2457</v>
      </c>
      <c r="C52" s="97" t="s">
        <v>2458</v>
      </c>
      <c r="D52" s="52" t="s">
        <v>2459</v>
      </c>
      <c r="E52" s="128" t="str">
        <f>IFERROR(__xludf.DUMMYFUNCTION("GOOGLETRANSLATE(A52,""zh-tw"",""ja"")"),"R48")</f>
        <v>R48</v>
      </c>
      <c r="F52" s="100" t="s">
        <v>2460</v>
      </c>
      <c r="G52" s="106" t="s">
        <v>2461</v>
      </c>
      <c r="H52" s="52" t="s">
        <v>2462</v>
      </c>
      <c r="I52" s="128" t="str">
        <f>IFERROR(__xludf.DUMMYFUNCTION("GOOGLETRANSLATE(A52,""zh-tw"",""en"")"),"R48")</f>
        <v>R48</v>
      </c>
      <c r="J52" s="100" t="s">
        <v>2463</v>
      </c>
      <c r="K52" s="97" t="s">
        <v>2464</v>
      </c>
      <c r="L52" s="52" t="s">
        <v>2465</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2466</v>
      </c>
      <c r="AE52" s="166" t="s">
        <v>2467</v>
      </c>
      <c r="AF52" s="125" t="s">
        <v>2468</v>
      </c>
      <c r="AG52" s="93" t="s">
        <v>2456</v>
      </c>
      <c r="AH52" s="94" t="s">
        <v>2469</v>
      </c>
      <c r="AI52" s="167" t="s">
        <v>2470</v>
      </c>
      <c r="AJ52" s="96" t="s">
        <v>2471</v>
      </c>
      <c r="AK52" s="30"/>
      <c r="AL52" s="30"/>
    </row>
    <row r="53">
      <c r="A53" s="128" t="s">
        <v>2472</v>
      </c>
      <c r="B53" s="100" t="s">
        <v>2473</v>
      </c>
      <c r="C53" s="97" t="s">
        <v>2474</v>
      </c>
      <c r="D53" s="52" t="s">
        <v>2475</v>
      </c>
      <c r="E53" s="128" t="str">
        <f>IFERROR(__xludf.DUMMYFUNCTION("GOOGLETRANSLATE(A53,""zh-tw"",""ja"")"),"R49")</f>
        <v>R49</v>
      </c>
      <c r="F53" s="100" t="s">
        <v>2476</v>
      </c>
      <c r="G53" s="106" t="s">
        <v>2477</v>
      </c>
      <c r="H53" s="52" t="s">
        <v>2478</v>
      </c>
      <c r="I53" s="128" t="str">
        <f>IFERROR(__xludf.DUMMYFUNCTION("GOOGLETRANSLATE(A53,""zh-tw"",""en"")"),"R49")</f>
        <v>R49</v>
      </c>
      <c r="J53" s="100" t="s">
        <v>2479</v>
      </c>
      <c r="K53" s="97" t="s">
        <v>2480</v>
      </c>
      <c r="L53" s="52" t="s">
        <v>2481</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2482</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2483</v>
      </c>
      <c r="AE53" s="166" t="s">
        <v>2484</v>
      </c>
      <c r="AF53" s="125" t="s">
        <v>2485</v>
      </c>
      <c r="AG53" s="93" t="s">
        <v>2472</v>
      </c>
      <c r="AH53" s="94" t="s">
        <v>2486</v>
      </c>
      <c r="AI53" s="167" t="s">
        <v>2487</v>
      </c>
      <c r="AJ53" s="96" t="s">
        <v>2488</v>
      </c>
      <c r="AK53" s="30"/>
      <c r="AL53" s="30"/>
    </row>
    <row r="54">
      <c r="A54" s="128" t="s">
        <v>2489</v>
      </c>
      <c r="B54" s="100" t="s">
        <v>2490</v>
      </c>
      <c r="C54" s="97" t="s">
        <v>2474</v>
      </c>
      <c r="D54" s="52" t="s">
        <v>2491</v>
      </c>
      <c r="E54" s="128" t="str">
        <f>IFERROR(__xludf.DUMMYFUNCTION("GOOGLETRANSLATE(A54,""zh-tw"",""ja"")"),"R50")</f>
        <v>R50</v>
      </c>
      <c r="F54" s="100" t="s">
        <v>2492</v>
      </c>
      <c r="G54" s="106" t="s">
        <v>2493</v>
      </c>
      <c r="H54" s="52" t="s">
        <v>2494</v>
      </c>
      <c r="I54" s="128" t="str">
        <f>IFERROR(__xludf.DUMMYFUNCTION("GOOGLETRANSLATE(A54,""zh-tw"",""en"")"),"R50")</f>
        <v>R50</v>
      </c>
      <c r="J54" s="100" t="s">
        <v>2495</v>
      </c>
      <c r="K54" s="97" t="s">
        <v>2480</v>
      </c>
      <c r="L54" s="52" t="s">
        <v>2496</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2482</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2497</v>
      </c>
      <c r="AE54" s="166" t="s">
        <v>2484</v>
      </c>
      <c r="AF54" s="125" t="s">
        <v>2498</v>
      </c>
      <c r="AG54" s="93" t="s">
        <v>2489</v>
      </c>
      <c r="AH54" s="94" t="s">
        <v>2499</v>
      </c>
      <c r="AI54" s="167" t="s">
        <v>2487</v>
      </c>
      <c r="AJ54" s="96" t="s">
        <v>2500</v>
      </c>
      <c r="AK54" s="171"/>
      <c r="AL54" s="171"/>
    </row>
    <row r="55">
      <c r="A55" s="128" t="s">
        <v>2501</v>
      </c>
      <c r="B55" s="100" t="s">
        <v>2502</v>
      </c>
      <c r="C55" s="97" t="s">
        <v>2503</v>
      </c>
      <c r="D55" s="52" t="s">
        <v>2504</v>
      </c>
      <c r="E55" s="128" t="str">
        <f>IFERROR(__xludf.DUMMYFUNCTION("GOOGLETRANSLATE(A55,""zh-tw"",""ja"")"),"R51")</f>
        <v>R51</v>
      </c>
      <c r="F55" s="100" t="s">
        <v>2505</v>
      </c>
      <c r="G55" s="106" t="s">
        <v>2506</v>
      </c>
      <c r="H55" s="52" t="s">
        <v>593</v>
      </c>
      <c r="I55" s="128" t="str">
        <f>IFERROR(__xludf.DUMMYFUNCTION("GOOGLETRANSLATE(A55,""zh-tw"",""en"")"),"R51")</f>
        <v>R51</v>
      </c>
      <c r="J55" s="100" t="s">
        <v>2507</v>
      </c>
      <c r="K55" s="97" t="s">
        <v>2508</v>
      </c>
      <c r="L55" s="52" t="s">
        <v>2282</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2509</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2510</v>
      </c>
      <c r="AE55" s="166" t="s">
        <v>2511</v>
      </c>
      <c r="AF55" s="125" t="s">
        <v>2301</v>
      </c>
      <c r="AG55" s="93" t="s">
        <v>2501</v>
      </c>
      <c r="AH55" s="94" t="s">
        <v>2512</v>
      </c>
      <c r="AI55" s="167" t="s">
        <v>2513</v>
      </c>
      <c r="AJ55" s="96" t="s">
        <v>2289</v>
      </c>
      <c r="AK55" s="171"/>
      <c r="AL55" s="171"/>
    </row>
    <row r="56">
      <c r="A56" s="128" t="s">
        <v>2514</v>
      </c>
      <c r="B56" s="85" t="s">
        <v>2515</v>
      </c>
      <c r="C56" s="102" t="s">
        <v>2516</v>
      </c>
      <c r="D56" s="103" t="s">
        <v>2517</v>
      </c>
      <c r="E56" s="84" t="str">
        <f>IFERROR(__xludf.DUMMYFUNCTION("GOOGLETRANSLATE(A56,""zh-tw"",""ja"")"),"R52")</f>
        <v>R52</v>
      </c>
      <c r="F56" s="85" t="s">
        <v>2518</v>
      </c>
      <c r="G56" s="102" t="s">
        <v>2519</v>
      </c>
      <c r="H56" s="103" t="s">
        <v>2520</v>
      </c>
      <c r="I56" s="84" t="str">
        <f>IFERROR(__xludf.DUMMYFUNCTION("GOOGLETRANSLATE(A56,""zh-tw"",""en"")"),"R52")</f>
        <v>R52</v>
      </c>
      <c r="J56" s="85" t="s">
        <v>2521</v>
      </c>
      <c r="K56" s="102" t="s">
        <v>2522</v>
      </c>
      <c r="L56" s="103" t="s">
        <v>2523</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2524</v>
      </c>
      <c r="AE56" s="102" t="s">
        <v>2525</v>
      </c>
      <c r="AF56" s="103" t="s">
        <v>2526</v>
      </c>
      <c r="AG56" s="93" t="s">
        <v>2514</v>
      </c>
      <c r="AH56" s="94" t="s">
        <v>2527</v>
      </c>
      <c r="AI56" s="167" t="s">
        <v>2528</v>
      </c>
      <c r="AJ56" s="96" t="s">
        <v>2529</v>
      </c>
      <c r="AK56" s="171"/>
      <c r="AL56" s="171"/>
    </row>
    <row r="57">
      <c r="A57" s="128" t="s">
        <v>2530</v>
      </c>
      <c r="B57" s="100" t="s">
        <v>2531</v>
      </c>
      <c r="C57" s="97" t="s">
        <v>2532</v>
      </c>
      <c r="D57" s="52" t="s">
        <v>2533</v>
      </c>
      <c r="E57" s="128" t="str">
        <f>IFERROR(__xludf.DUMMYFUNCTION("GOOGLETRANSLATE(A57,""zh-tw"",""ja"")"),"R53")</f>
        <v>R53</v>
      </c>
      <c r="F57" s="100" t="s">
        <v>2531</v>
      </c>
      <c r="G57" s="97" t="s">
        <v>2534</v>
      </c>
      <c r="H57" s="52" t="s">
        <v>2535</v>
      </c>
      <c r="I57" s="128" t="str">
        <f>IFERROR(__xludf.DUMMYFUNCTION("GOOGLETRANSLATE(A57,""zh-tw"",""en"")"),"R53")</f>
        <v>R53</v>
      </c>
      <c r="J57" s="100" t="s">
        <v>2536</v>
      </c>
      <c r="K57" s="97" t="s">
        <v>2537</v>
      </c>
      <c r="L57" s="52" t="s">
        <v>2538</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2539</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2540</v>
      </c>
      <c r="AE57" s="166" t="s">
        <v>2541</v>
      </c>
      <c r="AF57" s="125" t="s">
        <v>2542</v>
      </c>
      <c r="AG57" s="93" t="s">
        <v>2530</v>
      </c>
      <c r="AH57" s="94" t="s">
        <v>2543</v>
      </c>
      <c r="AI57" s="167" t="s">
        <v>2544</v>
      </c>
      <c r="AJ57" s="96" t="s">
        <v>2545</v>
      </c>
      <c r="AK57" s="171"/>
      <c r="AL57" s="171"/>
    </row>
    <row r="58">
      <c r="A58" s="128" t="s">
        <v>2546</v>
      </c>
      <c r="B58" s="100" t="s">
        <v>2547</v>
      </c>
      <c r="C58" s="97" t="s">
        <v>2548</v>
      </c>
      <c r="D58" s="52" t="s">
        <v>2549</v>
      </c>
      <c r="E58" s="128" t="str">
        <f>IFERROR(__xludf.DUMMYFUNCTION("GOOGLETRANSLATE(A58,""zh-tw"",""ja"")"),"R54")</f>
        <v>R54</v>
      </c>
      <c r="F58" s="100" t="s">
        <v>2547</v>
      </c>
      <c r="G58" s="97" t="s">
        <v>2550</v>
      </c>
      <c r="H58" s="52" t="s">
        <v>2551</v>
      </c>
      <c r="I58" s="128" t="str">
        <f>IFERROR(__xludf.DUMMYFUNCTION("GOOGLETRANSLATE(A58,""zh-tw"",""en"")"),"R54")</f>
        <v>R54</v>
      </c>
      <c r="J58" s="100" t="s">
        <v>2552</v>
      </c>
      <c r="K58" s="97" t="s">
        <v>2553</v>
      </c>
      <c r="L58" s="52" t="s">
        <v>2554</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2555</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2556</v>
      </c>
      <c r="AE58" s="166" t="s">
        <v>2557</v>
      </c>
      <c r="AF58" s="125" t="s">
        <v>2558</v>
      </c>
      <c r="AG58" s="93" t="s">
        <v>2546</v>
      </c>
      <c r="AH58" s="94" t="s">
        <v>2559</v>
      </c>
      <c r="AI58" s="167" t="s">
        <v>2560</v>
      </c>
      <c r="AJ58" s="96" t="s">
        <v>2561</v>
      </c>
      <c r="AK58" s="171"/>
      <c r="AL58" s="171"/>
    </row>
    <row r="59">
      <c r="A59" s="128" t="s">
        <v>2562</v>
      </c>
      <c r="B59" s="100" t="s">
        <v>2563</v>
      </c>
      <c r="C59" s="97" t="s">
        <v>2564</v>
      </c>
      <c r="D59" s="52" t="s">
        <v>2565</v>
      </c>
      <c r="E59" s="128" t="str">
        <f>IFERROR(__xludf.DUMMYFUNCTION("GOOGLETRANSLATE(A59,""zh-tw"",""ja"")"),"R55")</f>
        <v>R55</v>
      </c>
      <c r="F59" s="100" t="s">
        <v>2566</v>
      </c>
      <c r="G59" s="97" t="s">
        <v>2567</v>
      </c>
      <c r="H59" s="52" t="s">
        <v>2568</v>
      </c>
      <c r="I59" s="128" t="str">
        <f>IFERROR(__xludf.DUMMYFUNCTION("GOOGLETRANSLATE(A59,""zh-tw"",""en"")"),"R55")</f>
        <v>R55</v>
      </c>
      <c r="J59" s="100" t="s">
        <v>2569</v>
      </c>
      <c r="K59" s="97" t="s">
        <v>2570</v>
      </c>
      <c r="L59" s="52" t="s">
        <v>2571</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2572</v>
      </c>
      <c r="S59" s="97" t="s">
        <v>2573</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2574</v>
      </c>
      <c r="AE59" s="166" t="s">
        <v>2575</v>
      </c>
      <c r="AF59" s="125" t="s">
        <v>2576</v>
      </c>
      <c r="AG59" s="93" t="s">
        <v>2562</v>
      </c>
      <c r="AH59" s="94" t="s">
        <v>2577</v>
      </c>
      <c r="AI59" s="167" t="s">
        <v>2578</v>
      </c>
      <c r="AJ59" s="96" t="s">
        <v>2579</v>
      </c>
      <c r="AK59" s="171"/>
      <c r="AL59" s="171"/>
    </row>
    <row r="60">
      <c r="A60" s="128" t="s">
        <v>2580</v>
      </c>
      <c r="B60" s="100" t="s">
        <v>2581</v>
      </c>
      <c r="C60" s="97" t="s">
        <v>2582</v>
      </c>
      <c r="D60" s="52" t="s">
        <v>2583</v>
      </c>
      <c r="E60" s="128" t="str">
        <f>IFERROR(__xludf.DUMMYFUNCTION("GOOGLETRANSLATE(A60,""zh-tw"",""ja"")"),"R56")</f>
        <v>R56</v>
      </c>
      <c r="F60" s="100" t="s">
        <v>2584</v>
      </c>
      <c r="G60" s="106" t="s">
        <v>2585</v>
      </c>
      <c r="H60" s="52" t="s">
        <v>2586</v>
      </c>
      <c r="I60" s="128" t="str">
        <f>IFERROR(__xludf.DUMMYFUNCTION("GOOGLETRANSLATE(A60,""zh-tw"",""en"")"),"R56")</f>
        <v>R56</v>
      </c>
      <c r="J60" s="100" t="s">
        <v>2587</v>
      </c>
      <c r="K60" s="106" t="s">
        <v>2588</v>
      </c>
      <c r="L60" s="52" t="s">
        <v>2589</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2590</v>
      </c>
      <c r="AE60" s="166" t="s">
        <v>2591</v>
      </c>
      <c r="AF60" s="125" t="s">
        <v>2592</v>
      </c>
      <c r="AG60" s="93" t="s">
        <v>2580</v>
      </c>
      <c r="AH60" s="94" t="s">
        <v>2593</v>
      </c>
      <c r="AI60" s="167" t="s">
        <v>2594</v>
      </c>
      <c r="AJ60" s="96" t="s">
        <v>2595</v>
      </c>
      <c r="AK60" s="171"/>
      <c r="AL60" s="171"/>
    </row>
    <row r="61">
      <c r="A61" s="128" t="s">
        <v>2596</v>
      </c>
      <c r="B61" s="100" t="s">
        <v>2597</v>
      </c>
      <c r="C61" s="97" t="s">
        <v>2474</v>
      </c>
      <c r="D61" s="52" t="s">
        <v>2598</v>
      </c>
      <c r="E61" s="128" t="str">
        <f>IFERROR(__xludf.DUMMYFUNCTION("GOOGLETRANSLATE(A61,""zh-tw"",""ja"")"),"R57")</f>
        <v>R57</v>
      </c>
      <c r="F61" s="100" t="s">
        <v>2599</v>
      </c>
      <c r="G61" s="97" t="s">
        <v>2600</v>
      </c>
      <c r="H61" s="52" t="s">
        <v>2601</v>
      </c>
      <c r="I61" s="128" t="str">
        <f>IFERROR(__xludf.DUMMYFUNCTION("GOOGLETRANSLATE(A61,""zh-tw"",""en"")"),"R57")</f>
        <v>R57</v>
      </c>
      <c r="J61" s="100" t="s">
        <v>2602</v>
      </c>
      <c r="K61" s="97" t="s">
        <v>2603</v>
      </c>
      <c r="L61" s="52" t="s">
        <v>2604</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2580</v>
      </c>
      <c r="AD61" s="126" t="s">
        <v>2605</v>
      </c>
      <c r="AE61" s="166" t="s">
        <v>2606</v>
      </c>
      <c r="AF61" s="125" t="s">
        <v>2607</v>
      </c>
      <c r="AG61" s="93" t="s">
        <v>2596</v>
      </c>
      <c r="AH61" s="94" t="s">
        <v>2608</v>
      </c>
      <c r="AI61" s="167" t="s">
        <v>2609</v>
      </c>
      <c r="AJ61" s="96" t="s">
        <v>2610</v>
      </c>
      <c r="AK61" s="171"/>
      <c r="AL61" s="171"/>
    </row>
    <row r="62">
      <c r="A62" s="128" t="s">
        <v>2611</v>
      </c>
      <c r="B62" s="100" t="s">
        <v>2612</v>
      </c>
      <c r="C62" s="97" t="s">
        <v>2474</v>
      </c>
      <c r="D62" s="52" t="s">
        <v>2613</v>
      </c>
      <c r="E62" s="128" t="str">
        <f>IFERROR(__xludf.DUMMYFUNCTION("GOOGLETRANSLATE(A62,""zh-tw"",""ja"")"),"R58")</f>
        <v>R58</v>
      </c>
      <c r="F62" s="100" t="s">
        <v>2614</v>
      </c>
      <c r="G62" s="173" t="s">
        <v>2600</v>
      </c>
      <c r="H62" s="174" t="s">
        <v>2615</v>
      </c>
      <c r="I62" s="128" t="str">
        <f>IFERROR(__xludf.DUMMYFUNCTION("GOOGLETRANSLATE(A62,""zh-tw"",""en"")"),"R58")</f>
        <v>R58</v>
      </c>
      <c r="J62" s="100" t="s">
        <v>2616</v>
      </c>
      <c r="K62" s="97" t="s">
        <v>2603</v>
      </c>
      <c r="L62" s="52" t="s">
        <v>2617</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2596</v>
      </c>
      <c r="AD62" s="126" t="s">
        <v>2618</v>
      </c>
      <c r="AE62" s="166" t="s">
        <v>2619</v>
      </c>
      <c r="AF62" s="125" t="s">
        <v>2620</v>
      </c>
      <c r="AG62" s="93" t="s">
        <v>2611</v>
      </c>
      <c r="AH62" s="94" t="s">
        <v>2621</v>
      </c>
      <c r="AI62" s="167" t="s">
        <v>2609</v>
      </c>
      <c r="AJ62" s="96" t="s">
        <v>2622</v>
      </c>
      <c r="AK62" s="171"/>
      <c r="AL62" s="171"/>
    </row>
    <row r="63">
      <c r="A63" s="84" t="s">
        <v>2623</v>
      </c>
      <c r="B63" s="88" t="s">
        <v>2624</v>
      </c>
      <c r="C63" s="130" t="s">
        <v>2625</v>
      </c>
      <c r="D63" s="127" t="s">
        <v>2626</v>
      </c>
      <c r="E63" s="84" t="s">
        <v>2623</v>
      </c>
      <c r="F63" s="88" t="s">
        <v>2627</v>
      </c>
      <c r="G63" s="108" t="s">
        <v>2628</v>
      </c>
      <c r="H63" s="121" t="s">
        <v>2629</v>
      </c>
      <c r="I63" s="84" t="s">
        <v>2623</v>
      </c>
      <c r="J63" s="88" t="s">
        <v>2630</v>
      </c>
      <c r="K63" s="108" t="s">
        <v>2631</v>
      </c>
      <c r="L63" s="121" t="s">
        <v>2632</v>
      </c>
      <c r="M63" s="84" t="s">
        <v>2623</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2623</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2623</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2623</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2623</v>
      </c>
      <c r="AD63" s="88" t="s">
        <v>2633</v>
      </c>
      <c r="AE63" s="130" t="s">
        <v>2634</v>
      </c>
      <c r="AF63" s="127" t="s">
        <v>2635</v>
      </c>
      <c r="AG63" s="93" t="s">
        <v>2623</v>
      </c>
      <c r="AH63" s="139" t="s">
        <v>2636</v>
      </c>
      <c r="AI63" s="175" t="s">
        <v>2637</v>
      </c>
      <c r="AJ63" s="176" t="s">
        <v>2638</v>
      </c>
      <c r="AK63" s="141"/>
      <c r="AL63" s="141"/>
    </row>
    <row r="64">
      <c r="A64" s="84" t="s">
        <v>2639</v>
      </c>
      <c r="B64" s="88" t="s">
        <v>2640</v>
      </c>
      <c r="C64" s="130" t="s">
        <v>2641</v>
      </c>
      <c r="D64" s="127" t="s">
        <v>2642</v>
      </c>
      <c r="E64" s="84" t="s">
        <v>2639</v>
      </c>
      <c r="F64" s="88" t="s">
        <v>2643</v>
      </c>
      <c r="G64" s="108" t="s">
        <v>2644</v>
      </c>
      <c r="H64" s="121" t="s">
        <v>2645</v>
      </c>
      <c r="I64" s="84" t="s">
        <v>2639</v>
      </c>
      <c r="J64" s="88" t="s">
        <v>2646</v>
      </c>
      <c r="K64" s="106" t="s">
        <v>2647</v>
      </c>
      <c r="L64" s="121" t="s">
        <v>2648</v>
      </c>
      <c r="M64" s="84" t="s">
        <v>2639</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2639</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2639</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2639</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2639</v>
      </c>
      <c r="AD64" s="88" t="s">
        <v>2649</v>
      </c>
      <c r="AE64" s="130" t="s">
        <v>2650</v>
      </c>
      <c r="AF64" s="127" t="s">
        <v>2651</v>
      </c>
      <c r="AG64" s="93" t="s">
        <v>2639</v>
      </c>
      <c r="AH64" s="139" t="s">
        <v>2652</v>
      </c>
      <c r="AI64" s="175" t="s">
        <v>2653</v>
      </c>
      <c r="AJ64" s="176" t="s">
        <v>2654</v>
      </c>
      <c r="AK64" s="141"/>
      <c r="AL64" s="141"/>
    </row>
    <row r="65">
      <c r="A65" s="84" t="s">
        <v>2655</v>
      </c>
      <c r="B65" s="88" t="s">
        <v>2656</v>
      </c>
      <c r="C65" s="130" t="s">
        <v>2657</v>
      </c>
      <c r="D65" s="127" t="s">
        <v>2658</v>
      </c>
      <c r="E65" s="84" t="s">
        <v>2655</v>
      </c>
      <c r="F65" s="88" t="s">
        <v>2659</v>
      </c>
      <c r="G65" s="108" t="s">
        <v>2660</v>
      </c>
      <c r="H65" s="121" t="s">
        <v>2661</v>
      </c>
      <c r="I65" s="84" t="s">
        <v>2655</v>
      </c>
      <c r="J65" s="88" t="s">
        <v>2662</v>
      </c>
      <c r="K65" s="108" t="s">
        <v>2663</v>
      </c>
      <c r="L65" s="121" t="s">
        <v>2664</v>
      </c>
      <c r="M65" s="84" t="s">
        <v>2655</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2655</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2655</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2655</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2655</v>
      </c>
      <c r="AD65" s="88" t="s">
        <v>2665</v>
      </c>
      <c r="AE65" s="130" t="s">
        <v>2666</v>
      </c>
      <c r="AF65" s="127" t="s">
        <v>2667</v>
      </c>
      <c r="AG65" s="93" t="s">
        <v>2655</v>
      </c>
      <c r="AH65" s="139" t="s">
        <v>2668</v>
      </c>
      <c r="AI65" s="175" t="s">
        <v>2669</v>
      </c>
      <c r="AJ65" s="176" t="s">
        <v>2670</v>
      </c>
      <c r="AK65" s="141"/>
      <c r="AL65" s="141"/>
    </row>
    <row r="66">
      <c r="A66" s="84" t="s">
        <v>2671</v>
      </c>
      <c r="B66" s="88" t="s">
        <v>2672</v>
      </c>
      <c r="C66" s="130" t="s">
        <v>2673</v>
      </c>
      <c r="D66" s="127" t="s">
        <v>2674</v>
      </c>
      <c r="E66" s="84" t="s">
        <v>2671</v>
      </c>
      <c r="F66" s="88" t="s">
        <v>2675</v>
      </c>
      <c r="G66" s="108" t="s">
        <v>2676</v>
      </c>
      <c r="H66" s="121" t="s">
        <v>2677</v>
      </c>
      <c r="I66" s="84" t="s">
        <v>2671</v>
      </c>
      <c r="J66" s="88" t="s">
        <v>2678</v>
      </c>
      <c r="K66" s="108" t="s">
        <v>2679</v>
      </c>
      <c r="L66" s="121" t="s">
        <v>2680</v>
      </c>
      <c r="M66" s="84" t="s">
        <v>2671</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2671</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2671</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2671</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2671</v>
      </c>
      <c r="AD66" s="88" t="s">
        <v>2681</v>
      </c>
      <c r="AE66" s="130" t="s">
        <v>2682</v>
      </c>
      <c r="AF66" s="127" t="s">
        <v>2683</v>
      </c>
      <c r="AG66" s="93" t="s">
        <v>2671</v>
      </c>
      <c r="AH66" s="139" t="s">
        <v>2636</v>
      </c>
      <c r="AI66" s="175" t="s">
        <v>2684</v>
      </c>
      <c r="AJ66" s="176" t="s">
        <v>2685</v>
      </c>
      <c r="AK66" s="141"/>
      <c r="AL66" s="141"/>
    </row>
    <row r="67">
      <c r="A67" s="84" t="s">
        <v>2686</v>
      </c>
      <c r="B67" s="88" t="s">
        <v>2640</v>
      </c>
      <c r="C67" s="130" t="s">
        <v>2687</v>
      </c>
      <c r="D67" s="127" t="s">
        <v>2688</v>
      </c>
      <c r="E67" s="84" t="s">
        <v>2686</v>
      </c>
      <c r="F67" s="88" t="s">
        <v>2643</v>
      </c>
      <c r="G67" s="108" t="s">
        <v>2689</v>
      </c>
      <c r="H67" s="121" t="s">
        <v>2690</v>
      </c>
      <c r="I67" s="84" t="s">
        <v>2686</v>
      </c>
      <c r="J67" s="88" t="s">
        <v>2691</v>
      </c>
      <c r="K67" s="108" t="s">
        <v>2692</v>
      </c>
      <c r="L67" s="117" t="s">
        <v>2693</v>
      </c>
      <c r="M67" s="84" t="s">
        <v>2686</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2686</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2686</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2686</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2686</v>
      </c>
      <c r="AD67" s="88" t="s">
        <v>2694</v>
      </c>
      <c r="AE67" s="130" t="s">
        <v>2695</v>
      </c>
      <c r="AF67" s="127" t="s">
        <v>2696</v>
      </c>
      <c r="AG67" s="93" t="s">
        <v>2686</v>
      </c>
      <c r="AH67" s="139" t="s">
        <v>2697</v>
      </c>
      <c r="AI67" s="175" t="s">
        <v>2698</v>
      </c>
      <c r="AJ67" s="176" t="s">
        <v>2699</v>
      </c>
      <c r="AK67" s="141"/>
      <c r="AL67" s="141"/>
    </row>
    <row r="68">
      <c r="A68" s="84" t="s">
        <v>2700</v>
      </c>
      <c r="B68" s="88" t="s">
        <v>2701</v>
      </c>
      <c r="C68" s="124" t="s">
        <v>2702</v>
      </c>
      <c r="D68" s="127" t="s">
        <v>2703</v>
      </c>
      <c r="E68" s="84" t="s">
        <v>2700</v>
      </c>
      <c r="F68" s="88" t="s">
        <v>2704</v>
      </c>
      <c r="G68" s="108" t="s">
        <v>2705</v>
      </c>
      <c r="H68" s="121" t="s">
        <v>2706</v>
      </c>
      <c r="I68" s="84" t="s">
        <v>2700</v>
      </c>
      <c r="J68" s="100" t="s">
        <v>2707</v>
      </c>
      <c r="K68" s="106" t="s">
        <v>2708</v>
      </c>
      <c r="L68" s="117" t="s">
        <v>2709</v>
      </c>
      <c r="M68" s="84" t="s">
        <v>2700</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2700</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2700</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2700</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2700</v>
      </c>
      <c r="AD68" s="100" t="s">
        <v>2710</v>
      </c>
      <c r="AE68" s="124" t="s">
        <v>2711</v>
      </c>
      <c r="AF68" s="107" t="s">
        <v>2712</v>
      </c>
      <c r="AG68" s="93" t="s">
        <v>2700</v>
      </c>
      <c r="AH68" s="139" t="s">
        <v>2713</v>
      </c>
      <c r="AI68" s="177" t="s">
        <v>2714</v>
      </c>
      <c r="AJ68" s="176" t="s">
        <v>2715</v>
      </c>
      <c r="AK68" s="141"/>
      <c r="AL68" s="141"/>
    </row>
    <row r="69">
      <c r="A69" s="84" t="s">
        <v>2716</v>
      </c>
      <c r="B69" s="88" t="s">
        <v>2717</v>
      </c>
      <c r="C69" s="130" t="s">
        <v>2718</v>
      </c>
      <c r="D69" s="127" t="s">
        <v>2719</v>
      </c>
      <c r="E69" s="84" t="s">
        <v>2716</v>
      </c>
      <c r="F69" s="88" t="s">
        <v>2720</v>
      </c>
      <c r="G69" s="108" t="s">
        <v>2721</v>
      </c>
      <c r="H69" s="121" t="s">
        <v>2722</v>
      </c>
      <c r="I69" s="84" t="s">
        <v>2716</v>
      </c>
      <c r="J69" s="88" t="s">
        <v>2723</v>
      </c>
      <c r="K69" s="108" t="s">
        <v>2724</v>
      </c>
      <c r="L69" s="121" t="s">
        <v>2725</v>
      </c>
      <c r="M69" s="84" t="s">
        <v>2716</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2716</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2716</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2716</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2716</v>
      </c>
      <c r="AD69" s="88" t="s">
        <v>2726</v>
      </c>
      <c r="AE69" s="130" t="s">
        <v>2727</v>
      </c>
      <c r="AF69" s="127" t="s">
        <v>2728</v>
      </c>
      <c r="AG69" s="93" t="s">
        <v>2716</v>
      </c>
      <c r="AH69" s="139" t="s">
        <v>2729</v>
      </c>
      <c r="AI69" s="175" t="s">
        <v>2730</v>
      </c>
      <c r="AJ69" s="176" t="s">
        <v>2731</v>
      </c>
      <c r="AK69" s="141"/>
      <c r="AL69" s="141"/>
    </row>
    <row r="70">
      <c r="A70" s="84" t="s">
        <v>2732</v>
      </c>
      <c r="B70" s="88" t="s">
        <v>2733</v>
      </c>
      <c r="C70" s="130" t="s">
        <v>2734</v>
      </c>
      <c r="D70" s="107" t="s">
        <v>2735</v>
      </c>
      <c r="E70" s="84" t="s">
        <v>2732</v>
      </c>
      <c r="F70" s="88" t="s">
        <v>2736</v>
      </c>
      <c r="G70" s="108" t="s">
        <v>2737</v>
      </c>
      <c r="H70" s="117" t="s">
        <v>2738</v>
      </c>
      <c r="I70" s="84" t="s">
        <v>2732</v>
      </c>
      <c r="J70" s="88" t="s">
        <v>2739</v>
      </c>
      <c r="K70" s="108" t="s">
        <v>2740</v>
      </c>
      <c r="L70" s="117" t="s">
        <v>2741</v>
      </c>
      <c r="M70" s="84" t="s">
        <v>2732</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2732</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2732</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2732</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2732</v>
      </c>
      <c r="AD70" s="88" t="s">
        <v>2742</v>
      </c>
      <c r="AE70" s="130" t="s">
        <v>2743</v>
      </c>
      <c r="AF70" s="127" t="s">
        <v>2744</v>
      </c>
      <c r="AG70" s="93" t="s">
        <v>2732</v>
      </c>
      <c r="AH70" s="139" t="s">
        <v>2745</v>
      </c>
      <c r="AI70" s="175" t="s">
        <v>2746</v>
      </c>
      <c r="AJ70" s="123" t="s">
        <v>2747</v>
      </c>
      <c r="AK70" s="141"/>
      <c r="AL70" s="141"/>
    </row>
    <row r="71">
      <c r="A71" s="84" t="s">
        <v>2748</v>
      </c>
      <c r="B71" s="88" t="s">
        <v>2749</v>
      </c>
      <c r="C71" s="124" t="s">
        <v>2750</v>
      </c>
      <c r="D71" s="127" t="s">
        <v>2751</v>
      </c>
      <c r="E71" s="84" t="s">
        <v>2748</v>
      </c>
      <c r="F71" s="88" t="s">
        <v>2752</v>
      </c>
      <c r="G71" s="108" t="s">
        <v>2753</v>
      </c>
      <c r="H71" s="121" t="s">
        <v>2754</v>
      </c>
      <c r="I71" s="84" t="s">
        <v>2748</v>
      </c>
      <c r="J71" s="88" t="s">
        <v>2755</v>
      </c>
      <c r="K71" s="106" t="s">
        <v>2756</v>
      </c>
      <c r="L71" s="117" t="s">
        <v>2757</v>
      </c>
      <c r="M71" s="84" t="s">
        <v>2748</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2748</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2748</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2748</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2748</v>
      </c>
      <c r="AD71" s="88" t="s">
        <v>2758</v>
      </c>
      <c r="AE71" s="130" t="s">
        <v>2759</v>
      </c>
      <c r="AF71" s="127" t="s">
        <v>2760</v>
      </c>
      <c r="AG71" s="93" t="s">
        <v>2748</v>
      </c>
      <c r="AH71" s="139" t="s">
        <v>2761</v>
      </c>
      <c r="AI71" s="177" t="s">
        <v>2762</v>
      </c>
      <c r="AJ71" s="176" t="s">
        <v>2763</v>
      </c>
      <c r="AK71" s="141"/>
      <c r="AL71" s="141"/>
    </row>
    <row r="72">
      <c r="A72" s="84" t="s">
        <v>2764</v>
      </c>
      <c r="B72" s="88" t="s">
        <v>2765</v>
      </c>
      <c r="C72" s="124" t="s">
        <v>2766</v>
      </c>
      <c r="D72" s="107" t="s">
        <v>2767</v>
      </c>
      <c r="E72" s="84" t="s">
        <v>2764</v>
      </c>
      <c r="F72" s="88" t="s">
        <v>2768</v>
      </c>
      <c r="G72" s="106" t="s">
        <v>2769</v>
      </c>
      <c r="H72" s="121" t="s">
        <v>2770</v>
      </c>
      <c r="I72" s="84" t="s">
        <v>2764</v>
      </c>
      <c r="J72" s="88" t="s">
        <v>2771</v>
      </c>
      <c r="K72" s="106" t="s">
        <v>2772</v>
      </c>
      <c r="L72" s="117" t="s">
        <v>2773</v>
      </c>
      <c r="M72" s="84" t="s">
        <v>2764</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2764</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2764</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2764</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2764</v>
      </c>
      <c r="AD72" s="88" t="s">
        <v>2774</v>
      </c>
      <c r="AE72" s="130" t="s">
        <v>2775</v>
      </c>
      <c r="AF72" s="127" t="s">
        <v>2776</v>
      </c>
      <c r="AG72" s="93" t="s">
        <v>2764</v>
      </c>
      <c r="AH72" s="139" t="s">
        <v>2777</v>
      </c>
      <c r="AI72" s="177" t="s">
        <v>2778</v>
      </c>
      <c r="AJ72" s="110" t="s">
        <v>2779</v>
      </c>
      <c r="AK72" s="141"/>
      <c r="AL72" s="141"/>
    </row>
    <row r="73">
      <c r="A73" s="84" t="s">
        <v>2780</v>
      </c>
      <c r="B73" s="100" t="s">
        <v>2781</v>
      </c>
      <c r="C73" s="97" t="s">
        <v>2782</v>
      </c>
      <c r="D73" s="52" t="s">
        <v>2783</v>
      </c>
      <c r="E73" s="84" t="s">
        <v>2780</v>
      </c>
      <c r="F73" s="100" t="s">
        <v>2784</v>
      </c>
      <c r="G73" s="106" t="s">
        <v>2785</v>
      </c>
      <c r="H73" s="52" t="s">
        <v>2786</v>
      </c>
      <c r="I73" s="84" t="s">
        <v>2780</v>
      </c>
      <c r="J73" s="100" t="s">
        <v>2787</v>
      </c>
      <c r="K73" s="106" t="s">
        <v>2788</v>
      </c>
      <c r="L73" s="117" t="s">
        <v>2789</v>
      </c>
      <c r="M73" s="84" t="s">
        <v>2780</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2780</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2780</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2780</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2780</v>
      </c>
      <c r="AD73" s="100" t="s">
        <v>2790</v>
      </c>
      <c r="AE73" s="106" t="s">
        <v>2791</v>
      </c>
      <c r="AF73" s="117" t="s">
        <v>2792</v>
      </c>
      <c r="AG73" s="93" t="s">
        <v>2780</v>
      </c>
      <c r="AH73" s="94" t="s">
        <v>2793</v>
      </c>
      <c r="AI73" s="177" t="s">
        <v>2794</v>
      </c>
      <c r="AJ73" s="123" t="s">
        <v>2795</v>
      </c>
      <c r="AK73" s="171"/>
      <c r="AL73" s="171"/>
    </row>
    <row r="74">
      <c r="A74" s="84" t="s">
        <v>2796</v>
      </c>
      <c r="B74" s="100" t="s">
        <v>2797</v>
      </c>
      <c r="C74" s="97" t="s">
        <v>2798</v>
      </c>
      <c r="D74" s="52" t="s">
        <v>2799</v>
      </c>
      <c r="E74" s="84" t="s">
        <v>2796</v>
      </c>
      <c r="F74" s="100" t="s">
        <v>2800</v>
      </c>
      <c r="G74" s="106" t="s">
        <v>2801</v>
      </c>
      <c r="H74" s="52" t="s">
        <v>2802</v>
      </c>
      <c r="I74" s="84" t="s">
        <v>2796</v>
      </c>
      <c r="J74" s="100" t="s">
        <v>2803</v>
      </c>
      <c r="K74" s="106" t="s">
        <v>2804</v>
      </c>
      <c r="L74" s="117" t="s">
        <v>2805</v>
      </c>
      <c r="M74" s="84" t="s">
        <v>2796</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2796</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2796</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2796</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2796</v>
      </c>
      <c r="AD74" s="100" t="s">
        <v>2806</v>
      </c>
      <c r="AE74" s="106" t="s">
        <v>2807</v>
      </c>
      <c r="AF74" s="117" t="s">
        <v>2808</v>
      </c>
      <c r="AG74" s="93" t="s">
        <v>2796</v>
      </c>
      <c r="AH74" s="94" t="s">
        <v>2809</v>
      </c>
      <c r="AI74" s="167" t="s">
        <v>2810</v>
      </c>
      <c r="AJ74" s="123" t="s">
        <v>2811</v>
      </c>
      <c r="AK74" s="171"/>
      <c r="AL74" s="171"/>
    </row>
    <row r="75">
      <c r="A75" s="84" t="s">
        <v>2812</v>
      </c>
      <c r="B75" s="100" t="s">
        <v>2813</v>
      </c>
      <c r="C75" s="97" t="s">
        <v>2814</v>
      </c>
      <c r="D75" s="52" t="s">
        <v>2815</v>
      </c>
      <c r="E75" s="84" t="s">
        <v>2812</v>
      </c>
      <c r="F75" s="100" t="s">
        <v>2816</v>
      </c>
      <c r="G75" s="106" t="s">
        <v>2817</v>
      </c>
      <c r="H75" s="52" t="s">
        <v>2818</v>
      </c>
      <c r="I75" s="84" t="s">
        <v>2812</v>
      </c>
      <c r="J75" s="100" t="s">
        <v>2819</v>
      </c>
      <c r="K75" s="106" t="s">
        <v>2820</v>
      </c>
      <c r="L75" s="117" t="s">
        <v>2821</v>
      </c>
      <c r="M75" s="84" t="s">
        <v>2812</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2812</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2812</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2812</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2812</v>
      </c>
      <c r="AD75" s="100" t="s">
        <v>2822</v>
      </c>
      <c r="AE75" s="106" t="str">
        <f>IFERROR(__xludf.DUMMYFUNCTION("GOOGLETRANSLATE(C75,""zh-tw"",""de"")"),"Im leuchtenden Bereich am Grund des Wassers in „Entwicklungsbereich (Mine)-2“")</f>
        <v>Im leuchtenden Bereich am Grund des Wassers in „Entwicklungsbereich (Mine)-2“</v>
      </c>
      <c r="AF75" s="117" t="s">
        <v>2823</v>
      </c>
      <c r="AG75" s="93" t="s">
        <v>2812</v>
      </c>
      <c r="AH75" s="94" t="s">
        <v>2824</v>
      </c>
      <c r="AI75" s="177" t="s">
        <v>2825</v>
      </c>
      <c r="AJ75" s="123" t="s">
        <v>2826</v>
      </c>
      <c r="AK75" s="171"/>
      <c r="AL75" s="171"/>
    </row>
    <row r="76">
      <c r="A76" s="84" t="s">
        <v>2827</v>
      </c>
      <c r="B76" s="100" t="s">
        <v>2813</v>
      </c>
      <c r="C76" s="97" t="s">
        <v>2828</v>
      </c>
      <c r="D76" s="52" t="s">
        <v>2829</v>
      </c>
      <c r="E76" s="84" t="s">
        <v>2827</v>
      </c>
      <c r="F76" s="100" t="s">
        <v>2816</v>
      </c>
      <c r="G76" s="106" t="str">
        <f>IFERROR(__xludf.DUMMYFUNCTION("GOOGLETRANSLATE(C76,""zh-tw"",""ja"")"),"「開発区（鉱山）-3」に入ってすぐ左側にある光る木箱の中")</f>
        <v>「開発区（鉱山）-3」に入ってすぐ左側にある光る木箱の中</v>
      </c>
      <c r="H76" s="52" t="s">
        <v>2830</v>
      </c>
      <c r="I76" s="84" t="s">
        <v>2827</v>
      </c>
      <c r="J76" s="100" t="s">
        <v>2819</v>
      </c>
      <c r="K76" s="106" t="s">
        <v>2831</v>
      </c>
      <c r="L76" s="117" t="s">
        <v>2832</v>
      </c>
      <c r="M76" s="84" t="s">
        <v>2827</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2827</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2827</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2827</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2827</v>
      </c>
      <c r="AD76" s="100" t="s">
        <v>2822</v>
      </c>
      <c r="AE76" s="106" t="str">
        <f>IFERROR(__xludf.DUMMYFUNCTION("GOOGLETRANSLATE(C76,""zh-tw"",""de"")"),"In der leuchtenden Holzkiste links nach dem Betreten von „Entwicklungsbereich (Mine)-3“")</f>
        <v>In der leuchtenden Holzkiste links nach dem Betreten von „Entwicklungsbereich (Mine)-3“</v>
      </c>
      <c r="AF76" s="117" t="s">
        <v>2833</v>
      </c>
      <c r="AG76" s="93" t="s">
        <v>2827</v>
      </c>
      <c r="AH76" s="94" t="s">
        <v>2824</v>
      </c>
      <c r="AI76" s="177" t="s">
        <v>2834</v>
      </c>
      <c r="AJ76" s="123" t="s">
        <v>2835</v>
      </c>
      <c r="AK76" s="171"/>
      <c r="AL76" s="171"/>
    </row>
    <row r="77">
      <c r="A77" s="84" t="s">
        <v>2836</v>
      </c>
      <c r="B77" s="100" t="s">
        <v>2813</v>
      </c>
      <c r="C77" s="97" t="s">
        <v>2837</v>
      </c>
      <c r="D77" s="52" t="s">
        <v>2838</v>
      </c>
      <c r="E77" s="84" t="s">
        <v>2836</v>
      </c>
      <c r="F77" s="100" t="s">
        <v>2816</v>
      </c>
      <c r="G77" s="106" t="s">
        <v>2839</v>
      </c>
      <c r="H77" s="52" t="s">
        <v>2840</v>
      </c>
      <c r="I77" s="84" t="s">
        <v>2836</v>
      </c>
      <c r="J77" s="100" t="s">
        <v>2819</v>
      </c>
      <c r="K77" s="106" t="s">
        <v>2841</v>
      </c>
      <c r="L77" s="117" t="s">
        <v>2842</v>
      </c>
      <c r="M77" s="84" t="s">
        <v>2836</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2836</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2836</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2836</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2836</v>
      </c>
      <c r="AD77" s="100" t="s">
        <v>2822</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2843</v>
      </c>
      <c r="AG77" s="93" t="s">
        <v>2836</v>
      </c>
      <c r="AH77" s="94" t="s">
        <v>2824</v>
      </c>
      <c r="AI77" s="177" t="s">
        <v>2844</v>
      </c>
      <c r="AJ77" s="123" t="s">
        <v>2845</v>
      </c>
      <c r="AK77" s="171"/>
      <c r="AL77" s="171"/>
    </row>
    <row r="78">
      <c r="A78" s="84" t="s">
        <v>2846</v>
      </c>
      <c r="B78" s="100" t="s">
        <v>2813</v>
      </c>
      <c r="C78" s="97" t="s">
        <v>2847</v>
      </c>
      <c r="D78" s="52" t="s">
        <v>2848</v>
      </c>
      <c r="E78" s="84" t="s">
        <v>2846</v>
      </c>
      <c r="F78" s="100" t="s">
        <v>2816</v>
      </c>
      <c r="G78" s="106" t="s">
        <v>2849</v>
      </c>
      <c r="H78" s="52" t="s">
        <v>2850</v>
      </c>
      <c r="I78" s="84" t="s">
        <v>2846</v>
      </c>
      <c r="J78" s="100" t="s">
        <v>2819</v>
      </c>
      <c r="K78" s="106" t="s">
        <v>2851</v>
      </c>
      <c r="L78" s="117" t="s">
        <v>2852</v>
      </c>
      <c r="M78" s="84" t="s">
        <v>2846</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2846</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2846</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2846</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2846</v>
      </c>
      <c r="AD78" s="100" t="s">
        <v>2822</v>
      </c>
      <c r="AE78" s="106" t="str">
        <f>IFERROR(__xludf.DUMMYFUNCTION("GOOGLETRANSLATE(C78,""zh-tw"",""de"")"),"Im Entwicklungsgebiet (Mine)-4 ist das Licht über der zentralen Treppe")</f>
        <v>Im Entwicklungsgebiet (Mine)-4 ist das Licht über der zentralen Treppe</v>
      </c>
      <c r="AF78" s="117" t="s">
        <v>2853</v>
      </c>
      <c r="AG78" s="93" t="s">
        <v>2846</v>
      </c>
      <c r="AH78" s="94" t="s">
        <v>2824</v>
      </c>
      <c r="AI78" s="177" t="s">
        <v>2854</v>
      </c>
      <c r="AJ78" s="123" t="s">
        <v>2855</v>
      </c>
      <c r="AK78" s="171"/>
      <c r="AL78" s="171"/>
    </row>
    <row r="79">
      <c r="A79" s="84" t="s">
        <v>2856</v>
      </c>
      <c r="B79" s="100" t="s">
        <v>2813</v>
      </c>
      <c r="C79" s="97" t="s">
        <v>2857</v>
      </c>
      <c r="D79" s="52" t="s">
        <v>2858</v>
      </c>
      <c r="E79" s="84" t="s">
        <v>2856</v>
      </c>
      <c r="F79" s="100" t="s">
        <v>2816</v>
      </c>
      <c r="G79" s="106" t="s">
        <v>2859</v>
      </c>
      <c r="H79" s="52" t="s">
        <v>2860</v>
      </c>
      <c r="I79" s="84" t="s">
        <v>2856</v>
      </c>
      <c r="J79" s="100" t="s">
        <v>2819</v>
      </c>
      <c r="K79" s="106" t="s">
        <v>2861</v>
      </c>
      <c r="L79" s="117" t="s">
        <v>2862</v>
      </c>
      <c r="M79" s="84" t="s">
        <v>2856</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2856</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2856</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2856</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2856</v>
      </c>
      <c r="AD79" s="100" t="s">
        <v>2822</v>
      </c>
      <c r="AE79" s="106" t="str">
        <f>IFERROR(__xludf.DUMMYFUNCTION("GOOGLETRANSLATE(C79,""zh-tw"",""de"")"),"Im Entwicklungsgebiet (Mine)-4, links nach dem Abstieg über die zentrale Treppe")</f>
        <v>Im Entwicklungsgebiet (Mine)-4, links nach dem Abstieg über die zentrale Treppe</v>
      </c>
      <c r="AF79" s="117" t="s">
        <v>2863</v>
      </c>
      <c r="AG79" s="93" t="s">
        <v>2856</v>
      </c>
      <c r="AH79" s="94" t="s">
        <v>2824</v>
      </c>
      <c r="AI79" s="177" t="s">
        <v>2864</v>
      </c>
      <c r="AJ79" s="123" t="s">
        <v>2865</v>
      </c>
      <c r="AK79" s="171"/>
      <c r="AL79" s="171"/>
    </row>
    <row r="80">
      <c r="A80" s="84" t="s">
        <v>2866</v>
      </c>
      <c r="B80" s="100" t="s">
        <v>2813</v>
      </c>
      <c r="C80" s="97" t="s">
        <v>2867</v>
      </c>
      <c r="D80" s="52" t="s">
        <v>2868</v>
      </c>
      <c r="E80" s="84" t="s">
        <v>2866</v>
      </c>
      <c r="F80" s="100" t="s">
        <v>2816</v>
      </c>
      <c r="G80" s="106" t="s">
        <v>2869</v>
      </c>
      <c r="H80" s="52" t="s">
        <v>2870</v>
      </c>
      <c r="I80" s="84" t="s">
        <v>2866</v>
      </c>
      <c r="J80" s="100" t="s">
        <v>2819</v>
      </c>
      <c r="K80" s="106" t="s">
        <v>2871</v>
      </c>
      <c r="L80" s="117" t="s">
        <v>2872</v>
      </c>
      <c r="M80" s="84" t="s">
        <v>2866</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2866</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2866</v>
      </c>
      <c r="V80" s="88" t="str">
        <f>IFERROR(__xludf.DUMMYFUNCTION("GOOGLETRANSLATE(B80,""zh-tw"",""KO"")"),"숨겨진 소품")</f>
        <v>숨겨진 소품</v>
      </c>
      <c r="W80" s="89" t="str">
        <f>IFERROR(__xludf.DUMMYFUNCTION("GOOGLETRANSLATE(C80,""zh-tw"",""KO"")"),"개발구역(광산)-4, 중앙계단을 내려간 후 오른쪽 빛나는 구역")</f>
        <v>개발구역(광산)-4, 중앙계단을 내려간 후 오른쪽 빛나는 구역</v>
      </c>
      <c r="X80" s="55" t="str">
        <f>IFERROR(__xludf.DUMMYFUNCTION("GOOGLETRANSLATE(D80,""zh-tw"",""KO"")"),"획득 아이템: 매직 젤 x10")</f>
        <v>획득 아이템: 매직 젤 x10</v>
      </c>
      <c r="Y80" s="84" t="s">
        <v>2866</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2866</v>
      </c>
      <c r="AD80" s="100" t="s">
        <v>2822</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2873</v>
      </c>
      <c r="AG80" s="93" t="s">
        <v>2866</v>
      </c>
      <c r="AH80" s="94" t="s">
        <v>2824</v>
      </c>
      <c r="AI80" s="177" t="s">
        <v>2874</v>
      </c>
      <c r="AJ80" s="123" t="s">
        <v>2875</v>
      </c>
      <c r="AK80" s="171"/>
      <c r="AL80" s="171"/>
    </row>
    <row r="81">
      <c r="A81" s="84" t="s">
        <v>2876</v>
      </c>
      <c r="B81" s="100" t="s">
        <v>2877</v>
      </c>
      <c r="C81" s="97" t="s">
        <v>2878</v>
      </c>
      <c r="D81" s="52" t="s">
        <v>2879</v>
      </c>
      <c r="E81" s="84" t="s">
        <v>2876</v>
      </c>
      <c r="F81" s="100" t="s">
        <v>2880</v>
      </c>
      <c r="G81" s="106" t="s">
        <v>2881</v>
      </c>
      <c r="H81" s="52" t="s">
        <v>2882</v>
      </c>
      <c r="I81" s="84" t="s">
        <v>2876</v>
      </c>
      <c r="J81" s="100" t="s">
        <v>2883</v>
      </c>
      <c r="K81" s="106" t="s">
        <v>2884</v>
      </c>
      <c r="L81" s="117" t="s">
        <v>2885</v>
      </c>
      <c r="M81" s="84" t="s">
        <v>2876</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2876</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2876</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2876</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2876</v>
      </c>
      <c r="AD81" s="100" t="str">
        <f>IFERROR(__xludf.DUMMYFUNCTION("GOOGLETRANSLATE(B81,""zh-tw"",""de"")"),"ASABA-1")</f>
        <v>ASABA-1</v>
      </c>
      <c r="AE81" s="106" t="str">
        <f>IFERROR(__xludf.DUMMYFUNCTION("GOOGLETRANSLATE(C81,""zh-tw"",""de"")"),"Füttern Sie ASABA – „normales Essen“")</f>
        <v>Füttern Sie ASABA – „normales Essen“</v>
      </c>
      <c r="AF81" s="117" t="s">
        <v>2886</v>
      </c>
      <c r="AG81" s="93" t="s">
        <v>2876</v>
      </c>
      <c r="AH81" s="94" t="s">
        <v>2883</v>
      </c>
      <c r="AI81" s="177" t="s">
        <v>2887</v>
      </c>
      <c r="AJ81" s="123" t="s">
        <v>2888</v>
      </c>
      <c r="AK81" s="171"/>
      <c r="AL81" s="171"/>
    </row>
    <row r="82">
      <c r="A82" s="84" t="s">
        <v>2889</v>
      </c>
      <c r="B82" s="100" t="s">
        <v>2890</v>
      </c>
      <c r="C82" s="97" t="s">
        <v>2891</v>
      </c>
      <c r="D82" s="52" t="s">
        <v>2892</v>
      </c>
      <c r="E82" s="84" t="s">
        <v>2889</v>
      </c>
      <c r="F82" s="100" t="s">
        <v>2893</v>
      </c>
      <c r="G82" s="106" t="s">
        <v>2894</v>
      </c>
      <c r="H82" s="52" t="s">
        <v>2895</v>
      </c>
      <c r="I82" s="84" t="s">
        <v>2889</v>
      </c>
      <c r="J82" s="100" t="s">
        <v>2896</v>
      </c>
      <c r="K82" s="106" t="s">
        <v>2897</v>
      </c>
      <c r="L82" s="117" t="s">
        <v>2898</v>
      </c>
      <c r="M82" s="84" t="s">
        <v>2889</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2889</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2889</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2889</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2889</v>
      </c>
      <c r="AD82" s="100" t="str">
        <f>IFERROR(__xludf.DUMMYFUNCTION("GOOGLETRANSLATE(B82,""zh-tw"",""de"")"),"ASABA-2")</f>
        <v>ASABA-2</v>
      </c>
      <c r="AE82" s="106" t="str">
        <f>IFERROR(__xludf.DUMMYFUNCTION("GOOGLETRANSLATE(C82,""zh-tw"",""de"")"),"Fütterung von ASABA-""Sister's Ahoge""")</f>
        <v>Fütterung von ASABA-"Sister's Ahoge"</v>
      </c>
      <c r="AF82" s="117" t="s">
        <v>2899</v>
      </c>
      <c r="AG82" s="93" t="s">
        <v>2889</v>
      </c>
      <c r="AH82" s="94" t="s">
        <v>2896</v>
      </c>
      <c r="AI82" s="177" t="s">
        <v>2900</v>
      </c>
      <c r="AJ82" s="123" t="s">
        <v>2901</v>
      </c>
      <c r="AK82" s="171"/>
      <c r="AL82" s="171"/>
    </row>
    <row r="83">
      <c r="A83" s="84" t="s">
        <v>2902</v>
      </c>
      <c r="B83" s="100" t="s">
        <v>2903</v>
      </c>
      <c r="C83" s="97" t="s">
        <v>2904</v>
      </c>
      <c r="D83" s="52" t="s">
        <v>2905</v>
      </c>
      <c r="E83" s="84" t="s">
        <v>2902</v>
      </c>
      <c r="F83" s="100" t="s">
        <v>2906</v>
      </c>
      <c r="G83" s="106" t="s">
        <v>2907</v>
      </c>
      <c r="H83" s="52" t="str">
        <f>IFERROR(__xludf.DUMMYFUNCTION("GOOGLETRANSLATE(D83,""zh-tw"",""ja"")"),"BUFFを取得")</f>
        <v>BUFFを取得</v>
      </c>
      <c r="I83" s="84" t="s">
        <v>2902</v>
      </c>
      <c r="J83" s="100" t="s">
        <v>2908</v>
      </c>
      <c r="K83" s="106" t="s">
        <v>2909</v>
      </c>
      <c r="L83" s="117" t="s">
        <v>2910</v>
      </c>
      <c r="M83" s="84" t="s">
        <v>2902</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2902</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2902</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2902</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2902</v>
      </c>
      <c r="AD83" s="100" t="str">
        <f>IFERROR(__xludf.DUMMYFUNCTION("GOOGLETRANSLATE(B83,""zh-tw"",""de"")"),"ASABA-3")</f>
        <v>ASABA-3</v>
      </c>
      <c r="AE83" s="106" t="str">
        <f>IFERROR(__xludf.DUMMYFUNCTION("GOOGLETRANSLATE(C83,""zh-tw"",""de"")"),"Füttere ASABA-""Erdbeere"", um BUFF zu erhalten")</f>
        <v>Füttere ASABA-"Erdbeere", um BUFF zu erhalten</v>
      </c>
      <c r="AF83" s="117" t="s">
        <v>2911</v>
      </c>
      <c r="AG83" s="93" t="s">
        <v>2902</v>
      </c>
      <c r="AH83" s="94" t="s">
        <v>2908</v>
      </c>
      <c r="AI83" s="177" t="s">
        <v>2912</v>
      </c>
      <c r="AJ83" s="123" t="s">
        <v>2913</v>
      </c>
      <c r="AK83" s="171"/>
      <c r="AL83" s="171"/>
    </row>
    <row r="84">
      <c r="A84" s="84" t="s">
        <v>2914</v>
      </c>
      <c r="B84" s="100" t="s">
        <v>2915</v>
      </c>
      <c r="C84" s="97" t="s">
        <v>2916</v>
      </c>
      <c r="D84" s="52" t="s">
        <v>2917</v>
      </c>
      <c r="E84" s="84" t="s">
        <v>2914</v>
      </c>
      <c r="F84" s="100" t="s">
        <v>2918</v>
      </c>
      <c r="G84" s="106" t="str">
        <f>IFERROR(__xludf.DUMMYFUNCTION("GOOGLETRANSLATE(C84,""zh-tw"",""ja"")"),"通常のアサバを倒すと「アサバのイチゴ」が手に入ります")</f>
        <v>通常のアサバを倒すと「アサバのイチゴ」が手に入ります</v>
      </c>
      <c r="H84" s="52" t="s">
        <v>2919</v>
      </c>
      <c r="I84" s="84" t="s">
        <v>2914</v>
      </c>
      <c r="J84" s="100" t="s">
        <v>2920</v>
      </c>
      <c r="K84" s="106" t="s">
        <v>2921</v>
      </c>
      <c r="L84" s="117" t="s">
        <v>2922</v>
      </c>
      <c r="M84" s="84" t="s">
        <v>2914</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2914</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2914</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2914</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2914</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2923</v>
      </c>
      <c r="AG84" s="93" t="s">
        <v>2914</v>
      </c>
      <c r="AH84" s="94" t="s">
        <v>2920</v>
      </c>
      <c r="AI84" s="177" t="s">
        <v>2924</v>
      </c>
      <c r="AJ84" s="123" t="s">
        <v>2925</v>
      </c>
      <c r="AK84" s="171"/>
      <c r="AL84" s="171"/>
    </row>
    <row r="85">
      <c r="A85" s="84" t="s">
        <v>2926</v>
      </c>
      <c r="B85" s="100" t="s">
        <v>2927</v>
      </c>
      <c r="C85" s="97" t="s">
        <v>2928</v>
      </c>
      <c r="D85" s="52" t="s">
        <v>2929</v>
      </c>
      <c r="E85" s="84" t="s">
        <v>2926</v>
      </c>
      <c r="F85" s="100" t="s">
        <v>2930</v>
      </c>
      <c r="G85" s="106" t="s">
        <v>2931</v>
      </c>
      <c r="H85" s="52" t="s">
        <v>2932</v>
      </c>
      <c r="I85" s="84" t="s">
        <v>2926</v>
      </c>
      <c r="J85" s="100" t="s">
        <v>2933</v>
      </c>
      <c r="K85" s="106" t="s">
        <v>2934</v>
      </c>
      <c r="L85" s="117" t="s">
        <v>2935</v>
      </c>
      <c r="M85" s="84" t="s">
        <v>2926</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2926</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2926</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2926</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2926</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2936</v>
      </c>
      <c r="AG85" s="93" t="s">
        <v>2926</v>
      </c>
      <c r="AH85" s="94" t="s">
        <v>2933</v>
      </c>
      <c r="AI85" s="177" t="s">
        <v>2937</v>
      </c>
      <c r="AJ85" s="123" t="s">
        <v>2938</v>
      </c>
      <c r="AK85" s="171"/>
      <c r="AL85" s="171"/>
    </row>
    <row r="86">
      <c r="A86" s="84" t="s">
        <v>2939</v>
      </c>
      <c r="B86" s="100" t="s">
        <v>2940</v>
      </c>
      <c r="C86" s="97" t="s">
        <v>2941</v>
      </c>
      <c r="D86" s="52" t="s">
        <v>2942</v>
      </c>
      <c r="E86" s="84" t="s">
        <v>2939</v>
      </c>
      <c r="F86" s="100" t="s">
        <v>2943</v>
      </c>
      <c r="G86" s="106" t="s">
        <v>2944</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2939</v>
      </c>
      <c r="J86" s="100" t="s">
        <v>2945</v>
      </c>
      <c r="K86" s="106" t="s">
        <v>2946</v>
      </c>
      <c r="L86" s="117" t="s">
        <v>2947</v>
      </c>
      <c r="M86" s="84" t="s">
        <v>2939</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2939</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2939</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2939</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2939</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2939</v>
      </c>
      <c r="AH86" s="94" t="s">
        <v>2945</v>
      </c>
      <c r="AI86" s="177" t="s">
        <v>2948</v>
      </c>
      <c r="AJ86" s="123" t="s">
        <v>2949</v>
      </c>
      <c r="AK86" s="171"/>
      <c r="AL86" s="171"/>
    </row>
    <row r="87">
      <c r="A87" s="84" t="s">
        <v>2950</v>
      </c>
      <c r="B87" s="100" t="s">
        <v>2951</v>
      </c>
      <c r="C87" s="97" t="s">
        <v>2952</v>
      </c>
      <c r="D87" s="52" t="s">
        <v>2953</v>
      </c>
      <c r="E87" s="84" t="s">
        <v>2950</v>
      </c>
      <c r="F87" s="100" t="s">
        <v>2951</v>
      </c>
      <c r="G87" s="173" t="s">
        <v>2954</v>
      </c>
      <c r="H87" s="174" t="s">
        <v>2955</v>
      </c>
      <c r="I87" s="84" t="s">
        <v>2950</v>
      </c>
      <c r="J87" s="100" t="s">
        <v>2951</v>
      </c>
      <c r="K87" s="97" t="s">
        <v>2956</v>
      </c>
      <c r="L87" s="52" t="s">
        <v>2957</v>
      </c>
      <c r="M87" s="84" t="s">
        <v>2950</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2950</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2950</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2950</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2950</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2950</v>
      </c>
      <c r="AH87" s="94" t="s">
        <v>2951</v>
      </c>
      <c r="AI87" s="167" t="s">
        <v>2958</v>
      </c>
      <c r="AJ87" s="123" t="s">
        <v>2959</v>
      </c>
      <c r="AK87" s="171"/>
      <c r="AL87" s="171"/>
    </row>
    <row r="88">
      <c r="A88" s="84" t="s">
        <v>2960</v>
      </c>
      <c r="B88" s="100" t="s">
        <v>2961</v>
      </c>
      <c r="C88" s="97" t="s">
        <v>2962</v>
      </c>
      <c r="D88" s="52" t="s">
        <v>2963</v>
      </c>
      <c r="E88" s="84" t="s">
        <v>2960</v>
      </c>
      <c r="F88" s="100" t="s">
        <v>2961</v>
      </c>
      <c r="G88" s="173" t="s">
        <v>2964</v>
      </c>
      <c r="H88" s="174" t="s">
        <v>2965</v>
      </c>
      <c r="I88" s="84" t="s">
        <v>2960</v>
      </c>
      <c r="J88" s="100" t="s">
        <v>2961</v>
      </c>
      <c r="K88" s="97" t="s">
        <v>2966</v>
      </c>
      <c r="L88" s="52" t="s">
        <v>2967</v>
      </c>
      <c r="M88" s="84" t="s">
        <v>2960</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2960</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2960</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2960</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2960</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2960</v>
      </c>
      <c r="AH88" s="94" t="s">
        <v>2961</v>
      </c>
      <c r="AI88" s="167" t="s">
        <v>2968</v>
      </c>
      <c r="AJ88" s="123" t="s">
        <v>2969</v>
      </c>
      <c r="AK88" s="171"/>
      <c r="AL88" s="171"/>
    </row>
    <row r="89">
      <c r="A89" s="84" t="s">
        <v>2970</v>
      </c>
      <c r="B89" s="100" t="s">
        <v>2971</v>
      </c>
      <c r="C89" s="97" t="s">
        <v>2972</v>
      </c>
      <c r="D89" s="52" t="s">
        <v>2973</v>
      </c>
      <c r="E89" s="84" t="s">
        <v>2970</v>
      </c>
      <c r="F89" s="100" t="s">
        <v>2971</v>
      </c>
      <c r="G89" s="173" t="s">
        <v>2974</v>
      </c>
      <c r="H89" s="174" t="s">
        <v>2975</v>
      </c>
      <c r="I89" s="84" t="s">
        <v>2970</v>
      </c>
      <c r="J89" s="100" t="s">
        <v>2971</v>
      </c>
      <c r="K89" s="97" t="s">
        <v>2976</v>
      </c>
      <c r="L89" s="52" t="s">
        <v>2977</v>
      </c>
      <c r="M89" s="84" t="s">
        <v>2970</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2970</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2970</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2970</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2970</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2970</v>
      </c>
      <c r="AH89" s="94" t="s">
        <v>2971</v>
      </c>
      <c r="AI89" s="167" t="s">
        <v>2978</v>
      </c>
      <c r="AJ89" s="178" t="s">
        <v>2979</v>
      </c>
      <c r="AK89" s="171"/>
      <c r="AL89" s="171"/>
    </row>
    <row r="90">
      <c r="A90" s="84" t="s">
        <v>2980</v>
      </c>
      <c r="B90" s="100" t="s">
        <v>2981</v>
      </c>
      <c r="C90" s="97" t="s">
        <v>2982</v>
      </c>
      <c r="D90" s="52" t="s">
        <v>2983</v>
      </c>
      <c r="E90" s="84" t="s">
        <v>2980</v>
      </c>
      <c r="F90" s="100" t="s">
        <v>2984</v>
      </c>
      <c r="G90" s="173" t="s">
        <v>2985</v>
      </c>
      <c r="H90" s="174" t="s">
        <v>2986</v>
      </c>
      <c r="I90" s="84" t="s">
        <v>2980</v>
      </c>
      <c r="J90" s="100" t="s">
        <v>2987</v>
      </c>
      <c r="K90" s="97" t="s">
        <v>2988</v>
      </c>
      <c r="L90" s="52" t="s">
        <v>2989</v>
      </c>
      <c r="M90" s="84" t="s">
        <v>2980</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2980</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2980</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2980</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2980</v>
      </c>
      <c r="AD90" s="100" t="s">
        <v>2990</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2991</v>
      </c>
      <c r="AG90" s="93" t="s">
        <v>2980</v>
      </c>
      <c r="AH90" s="94" t="s">
        <v>2992</v>
      </c>
      <c r="AI90" s="167" t="s">
        <v>2993</v>
      </c>
      <c r="AJ90" s="123" t="s">
        <v>2994</v>
      </c>
      <c r="AK90" s="171"/>
      <c r="AL90" s="171"/>
    </row>
    <row r="91">
      <c r="A91" s="84" t="s">
        <v>2995</v>
      </c>
      <c r="B91" s="100" t="s">
        <v>2996</v>
      </c>
      <c r="C91" s="97" t="s">
        <v>2997</v>
      </c>
      <c r="D91" s="52" t="s">
        <v>2998</v>
      </c>
      <c r="E91" s="84" t="s">
        <v>2995</v>
      </c>
      <c r="F91" s="100" t="s">
        <v>2999</v>
      </c>
      <c r="G91" s="173" t="s">
        <v>3000</v>
      </c>
      <c r="H91" s="174" t="s">
        <v>3001</v>
      </c>
      <c r="I91" s="84" t="s">
        <v>2995</v>
      </c>
      <c r="J91" s="100" t="s">
        <v>3002</v>
      </c>
      <c r="K91" s="97" t="s">
        <v>3003</v>
      </c>
      <c r="L91" s="52" t="s">
        <v>3004</v>
      </c>
      <c r="M91" s="84" t="s">
        <v>2995</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2995</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2995</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2995</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2995</v>
      </c>
      <c r="AD91" s="100" t="s">
        <v>3005</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3006</v>
      </c>
      <c r="AG91" s="93" t="s">
        <v>2995</v>
      </c>
      <c r="AH91" s="94" t="s">
        <v>3007</v>
      </c>
      <c r="AI91" s="167" t="s">
        <v>3008</v>
      </c>
      <c r="AJ91" s="120" t="s">
        <v>3009</v>
      </c>
      <c r="AK91" s="171"/>
      <c r="AL91" s="171"/>
    </row>
    <row r="92">
      <c r="A92" s="84" t="s">
        <v>3010</v>
      </c>
      <c r="B92" s="100" t="s">
        <v>3011</v>
      </c>
      <c r="C92" s="97" t="s">
        <v>3012</v>
      </c>
      <c r="D92" s="52" t="s">
        <v>590</v>
      </c>
      <c r="E92" s="84" t="s">
        <v>3010</v>
      </c>
      <c r="F92" s="100" t="s">
        <v>3013</v>
      </c>
      <c r="G92" s="173" t="s">
        <v>3014</v>
      </c>
      <c r="H92" s="174" t="s">
        <v>593</v>
      </c>
      <c r="I92" s="84" t="s">
        <v>3010</v>
      </c>
      <c r="J92" s="100" t="s">
        <v>3015</v>
      </c>
      <c r="K92" s="97" t="s">
        <v>3016</v>
      </c>
      <c r="L92" s="52" t="s">
        <v>2282</v>
      </c>
      <c r="M92" s="84" t="s">
        <v>3010</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3010</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3010</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3010</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3010</v>
      </c>
      <c r="AD92" s="100" t="s">
        <v>3017</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3010</v>
      </c>
      <c r="AH92" s="94" t="s">
        <v>3018</v>
      </c>
      <c r="AI92" s="167" t="s">
        <v>3019</v>
      </c>
      <c r="AJ92" s="123" t="s">
        <v>3020</v>
      </c>
      <c r="AK92" s="171"/>
      <c r="AL92" s="171"/>
    </row>
    <row r="93">
      <c r="A93" s="84" t="s">
        <v>3021</v>
      </c>
      <c r="B93" s="100" t="s">
        <v>3022</v>
      </c>
      <c r="C93" s="97" t="s">
        <v>3023</v>
      </c>
      <c r="D93" s="52" t="s">
        <v>590</v>
      </c>
      <c r="E93" s="84" t="s">
        <v>3021</v>
      </c>
      <c r="F93" s="100" t="s">
        <v>3024</v>
      </c>
      <c r="G93" s="173" t="s">
        <v>3025</v>
      </c>
      <c r="H93" s="174" t="s">
        <v>593</v>
      </c>
      <c r="I93" s="84" t="s">
        <v>3021</v>
      </c>
      <c r="J93" s="100" t="s">
        <v>3026</v>
      </c>
      <c r="K93" s="97" t="s">
        <v>3027</v>
      </c>
      <c r="L93" s="52" t="s">
        <v>2282</v>
      </c>
      <c r="M93" s="84" t="s">
        <v>3021</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3021</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3021</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3021</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3021</v>
      </c>
      <c r="AD93" s="100" t="s">
        <v>3028</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3021</v>
      </c>
      <c r="AH93" s="94" t="s">
        <v>3029</v>
      </c>
      <c r="AI93" s="167" t="s">
        <v>3030</v>
      </c>
      <c r="AJ93" s="123" t="s">
        <v>3020</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3031</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3032</v>
      </c>
      <c r="D3" s="203" t="s">
        <v>3033</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3034</v>
      </c>
      <c r="I3" s="141" t="s">
        <v>3035</v>
      </c>
      <c r="J3" s="46"/>
      <c r="K3" s="46"/>
      <c r="L3" s="46"/>
      <c r="M3" s="46"/>
      <c r="N3" s="46"/>
      <c r="O3" s="46"/>
      <c r="P3" s="46"/>
      <c r="Q3" s="46"/>
      <c r="R3" s="46"/>
      <c r="S3" s="46"/>
      <c r="T3" s="46"/>
      <c r="U3" s="46"/>
      <c r="V3" s="46"/>
      <c r="W3" s="46"/>
    </row>
    <row r="4">
      <c r="A4" s="52" t="s">
        <v>3036</v>
      </c>
      <c r="B4" s="203" t="str">
        <f>IFERROR(__xludf.DUMMYFUNCTION("GOOGLETRANSLATE(A4,""zh-tw"",""ja"")"),"ALTはアニメーションのパフォーマンスを高速化します")</f>
        <v>ALTはアニメーションのパフォーマンスを高速化します</v>
      </c>
      <c r="C4" s="52" t="s">
        <v>3037</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3038</v>
      </c>
      <c r="I4" s="141" t="s">
        <v>3039</v>
      </c>
      <c r="J4" s="46"/>
      <c r="K4" s="46"/>
      <c r="L4" s="46"/>
      <c r="M4" s="46"/>
      <c r="N4" s="46"/>
      <c r="O4" s="46"/>
      <c r="P4" s="46"/>
      <c r="Q4" s="46"/>
      <c r="R4" s="46"/>
      <c r="S4" s="46"/>
      <c r="T4" s="46"/>
      <c r="U4" s="46"/>
      <c r="V4" s="46"/>
      <c r="W4" s="46"/>
    </row>
    <row r="5">
      <c r="A5" s="52" t="s">
        <v>3040</v>
      </c>
      <c r="B5" s="203" t="str">
        <f>IFERROR(__xludf.DUMMYFUNCTION("GOOGLETRANSLATE(A5,""zh-tw"",""ja"")"),"CTRLキーで会話をスピードアップ")</f>
        <v>CTRLキーで会話をスピードアップ</v>
      </c>
      <c r="C5" s="52" t="s">
        <v>3041</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3042</v>
      </c>
      <c r="I5" s="141" t="s">
        <v>3043</v>
      </c>
      <c r="J5" s="46"/>
      <c r="K5" s="46"/>
      <c r="L5" s="46"/>
      <c r="M5" s="46"/>
      <c r="N5" s="46"/>
      <c r="O5" s="46"/>
      <c r="P5" s="46"/>
      <c r="Q5" s="46"/>
      <c r="R5" s="46"/>
      <c r="S5" s="46"/>
      <c r="T5" s="46"/>
      <c r="U5" s="46"/>
      <c r="V5" s="46"/>
      <c r="W5" s="46"/>
    </row>
    <row r="6">
      <c r="A6" s="52" t="s">
        <v>3044</v>
      </c>
      <c r="B6" s="203" t="str">
        <f>IFERROR(__xludf.DUMMYFUNCTION("GOOGLETRANSLATE(A6,""zh-tw"",""ja"")"),"Zキーで会話を進める")</f>
        <v>Zキーで会話を進める</v>
      </c>
      <c r="C6" s="52" t="s">
        <v>3045</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3046</v>
      </c>
      <c r="I6" s="141" t="s">
        <v>3047</v>
      </c>
      <c r="J6" s="46"/>
      <c r="K6" s="46"/>
      <c r="L6" s="46"/>
      <c r="M6" s="46"/>
      <c r="N6" s="46"/>
      <c r="O6" s="46"/>
      <c r="P6" s="46"/>
      <c r="Q6" s="46"/>
      <c r="R6" s="46"/>
      <c r="S6" s="46"/>
      <c r="T6" s="46"/>
      <c r="U6" s="46"/>
      <c r="V6" s="46"/>
      <c r="W6" s="46"/>
    </row>
    <row r="7">
      <c r="A7" s="52" t="s">
        <v>3048</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3049</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3050</v>
      </c>
      <c r="I7" s="141" t="s">
        <v>3051</v>
      </c>
      <c r="J7" s="46"/>
      <c r="K7" s="46"/>
      <c r="L7" s="46"/>
      <c r="M7" s="46"/>
      <c r="N7" s="46"/>
      <c r="O7" s="46"/>
      <c r="P7" s="46"/>
      <c r="Q7" s="46"/>
      <c r="R7" s="46"/>
      <c r="S7" s="46"/>
      <c r="T7" s="46"/>
      <c r="U7" s="46"/>
      <c r="V7" s="46"/>
      <c r="W7" s="46"/>
    </row>
    <row r="8">
      <c r="A8" s="52" t="s">
        <v>3052</v>
      </c>
      <c r="B8" s="203" t="str">
        <f>IFERROR(__xludf.DUMMYFUNCTION("GOOGLETRANSLATE(A8,""zh-tw"",""ja"")"),"F12 コンソールを表示する")</f>
        <v>F12 コンソールを表示する</v>
      </c>
      <c r="C8" s="52" t="s">
        <v>3053</v>
      </c>
      <c r="D8" s="203" t="str">
        <f>IFERROR(__xludf.DUMMYFUNCTION("GOOGLETRANSLATE(A8,""zh-tw"",""zh"")"),"F12可显示控制台")</f>
        <v>F12可显示控制台</v>
      </c>
      <c r="E8" s="55" t="str">
        <f>IFERROR(__xludf.DUMMYFUNCTION("GOOGLETRANSLATE(A8,""zh-tw"",""es-MX"")"),"F12 muestra la consola")</f>
        <v>F12 muestra la consola</v>
      </c>
      <c r="F8" s="204"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3" t="s">
        <v>3054</v>
      </c>
      <c r="I8" s="141" t="s">
        <v>3055</v>
      </c>
      <c r="J8" s="46"/>
      <c r="K8" s="46"/>
      <c r="L8" s="46"/>
      <c r="M8" s="46"/>
      <c r="N8" s="46"/>
      <c r="O8" s="46"/>
      <c r="P8" s="46"/>
      <c r="Q8" s="46"/>
      <c r="R8" s="46"/>
      <c r="S8" s="46"/>
      <c r="T8" s="46"/>
      <c r="U8" s="46"/>
      <c r="V8" s="46"/>
      <c r="W8" s="46"/>
    </row>
    <row r="9">
      <c r="A9" s="52" t="s">
        <v>3056</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3057</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3058</v>
      </c>
      <c r="I9" s="141" t="s">
        <v>3059</v>
      </c>
      <c r="J9" s="46"/>
      <c r="K9" s="46"/>
      <c r="L9" s="46"/>
      <c r="M9" s="46"/>
      <c r="N9" s="46"/>
      <c r="O9" s="46"/>
      <c r="P9" s="46"/>
      <c r="Q9" s="46"/>
      <c r="R9" s="46"/>
      <c r="S9" s="46"/>
      <c r="T9" s="46"/>
      <c r="U9" s="46"/>
      <c r="V9" s="46"/>
      <c r="W9" s="46"/>
    </row>
    <row r="10">
      <c r="A10" s="52" t="s">
        <v>3060</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3061</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3062</v>
      </c>
      <c r="I10" s="141" t="s">
        <v>3063</v>
      </c>
      <c r="J10" s="46"/>
      <c r="K10" s="46"/>
      <c r="L10" s="46"/>
      <c r="M10" s="46"/>
      <c r="N10" s="46"/>
      <c r="O10" s="46"/>
      <c r="P10" s="46"/>
      <c r="Q10" s="46"/>
      <c r="R10" s="46"/>
      <c r="S10" s="46"/>
      <c r="T10" s="46"/>
      <c r="U10" s="46"/>
      <c r="V10" s="46"/>
      <c r="W10" s="46"/>
    </row>
    <row r="11">
      <c r="A11" s="52" t="s">
        <v>3064</v>
      </c>
      <c r="B11" s="203" t="s">
        <v>3065</v>
      </c>
      <c r="C11" s="52" t="s">
        <v>3066</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3067</v>
      </c>
      <c r="I11" s="141" t="s">
        <v>3068</v>
      </c>
      <c r="J11" s="46"/>
      <c r="K11" s="46"/>
      <c r="L11" s="46"/>
      <c r="M11" s="46"/>
      <c r="N11" s="46"/>
      <c r="O11" s="46"/>
      <c r="P11" s="46"/>
      <c r="Q11" s="46"/>
      <c r="R11" s="46"/>
      <c r="S11" s="46"/>
      <c r="T11" s="46"/>
      <c r="U11" s="46"/>
      <c r="V11" s="46"/>
      <c r="W11" s="46"/>
    </row>
    <row r="12">
      <c r="A12" s="52" t="s">
        <v>3069</v>
      </c>
      <c r="B12" s="203" t="s">
        <v>3070</v>
      </c>
      <c r="C12" s="52" t="s">
        <v>3071</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3072</v>
      </c>
      <c r="I12" s="141" t="s">
        <v>3073</v>
      </c>
      <c r="J12" s="46"/>
      <c r="K12" s="46"/>
      <c r="L12" s="46"/>
      <c r="M12" s="46"/>
      <c r="N12" s="46"/>
      <c r="O12" s="46"/>
      <c r="P12" s="46"/>
      <c r="Q12" s="46"/>
      <c r="R12" s="46"/>
      <c r="S12" s="46"/>
      <c r="T12" s="46"/>
      <c r="U12" s="46"/>
      <c r="V12" s="46"/>
      <c r="W12" s="46"/>
    </row>
    <row r="13">
      <c r="A13" s="52" t="s">
        <v>3074</v>
      </c>
      <c r="B13" s="203" t="s">
        <v>3075</v>
      </c>
      <c r="C13" s="52" t="s">
        <v>3076</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3077</v>
      </c>
      <c r="I13" s="141" t="s">
        <v>3078</v>
      </c>
      <c r="J13" s="46"/>
      <c r="K13" s="46"/>
      <c r="L13" s="46"/>
      <c r="M13" s="46"/>
      <c r="N13" s="46"/>
      <c r="O13" s="46"/>
      <c r="P13" s="46"/>
      <c r="Q13" s="46"/>
      <c r="R13" s="46"/>
      <c r="S13" s="46"/>
      <c r="T13" s="46"/>
      <c r="U13" s="46"/>
      <c r="V13" s="46"/>
      <c r="W13" s="46"/>
    </row>
    <row r="14">
      <c r="A14" s="52" t="s">
        <v>3079</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3080</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3081</v>
      </c>
      <c r="I14" s="141" t="s">
        <v>3082</v>
      </c>
      <c r="J14" s="46"/>
      <c r="K14" s="46"/>
      <c r="L14" s="46"/>
      <c r="M14" s="46"/>
      <c r="N14" s="46"/>
      <c r="O14" s="46"/>
      <c r="P14" s="46"/>
      <c r="Q14" s="46"/>
      <c r="R14" s="46"/>
      <c r="S14" s="46"/>
      <c r="T14" s="46"/>
      <c r="U14" s="46"/>
      <c r="V14" s="46"/>
      <c r="W14" s="46"/>
    </row>
    <row r="15">
      <c r="A15" s="52" t="s">
        <v>3083</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3084</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3085</v>
      </c>
      <c r="I15" s="141" t="s">
        <v>3086</v>
      </c>
      <c r="J15" s="46"/>
      <c r="K15" s="46"/>
      <c r="L15" s="46"/>
      <c r="M15" s="46"/>
      <c r="N15" s="46"/>
      <c r="O15" s="46"/>
      <c r="P15" s="46"/>
      <c r="Q15" s="46"/>
      <c r="R15" s="46"/>
      <c r="S15" s="46"/>
      <c r="T15" s="46"/>
      <c r="U15" s="46"/>
      <c r="V15" s="46"/>
      <c r="W15" s="46"/>
    </row>
    <row r="16">
      <c r="A16" s="52" t="s">
        <v>3087</v>
      </c>
      <c r="B16" s="203" t="str">
        <f>IFERROR(__xludf.DUMMYFUNCTION("GOOGLETRANSLATE(A16,""zh-tw"",""ja"")"),"ガチャポンの後ろから近づくとジャンプします。")</f>
        <v>ガチャポンの後ろから近づくとジャンプします。</v>
      </c>
      <c r="C16" s="52" t="s">
        <v>3088</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3089</v>
      </c>
      <c r="I16" s="141" t="s">
        <v>3090</v>
      </c>
      <c r="J16" s="46"/>
      <c r="K16" s="46"/>
      <c r="L16" s="46"/>
      <c r="M16" s="46"/>
      <c r="N16" s="46"/>
      <c r="O16" s="46"/>
      <c r="P16" s="46"/>
      <c r="Q16" s="46"/>
      <c r="R16" s="46"/>
      <c r="S16" s="46"/>
      <c r="T16" s="46"/>
      <c r="U16" s="46"/>
      <c r="V16" s="46"/>
      <c r="W16" s="46"/>
    </row>
    <row r="17">
      <c r="A17" s="52" t="s">
        <v>3091</v>
      </c>
      <c r="B17" s="203" t="s">
        <v>3092</v>
      </c>
      <c r="C17" s="52" t="s">
        <v>3093</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3094</v>
      </c>
      <c r="I17" s="141" t="s">
        <v>3095</v>
      </c>
      <c r="J17" s="46"/>
      <c r="K17" s="46"/>
      <c r="L17" s="46"/>
      <c r="M17" s="46"/>
      <c r="N17" s="46"/>
      <c r="O17" s="46"/>
      <c r="P17" s="46"/>
      <c r="Q17" s="46"/>
      <c r="R17" s="46"/>
      <c r="S17" s="46"/>
      <c r="T17" s="46"/>
      <c r="U17" s="46"/>
      <c r="V17" s="46"/>
      <c r="W17" s="46"/>
    </row>
    <row r="18">
      <c r="A18" s="52" t="s">
        <v>3096</v>
      </c>
      <c r="B18" s="203" t="s">
        <v>3097</v>
      </c>
      <c r="C18" s="52" t="s">
        <v>3098</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3099</v>
      </c>
      <c r="I18" s="141" t="s">
        <v>3100</v>
      </c>
      <c r="J18" s="46"/>
      <c r="K18" s="46"/>
      <c r="L18" s="46"/>
      <c r="M18" s="46"/>
      <c r="N18" s="46"/>
      <c r="O18" s="46"/>
      <c r="P18" s="46"/>
      <c r="Q18" s="46"/>
      <c r="R18" s="46"/>
      <c r="S18" s="46"/>
      <c r="T18" s="46"/>
      <c r="U18" s="46"/>
      <c r="V18" s="46"/>
      <c r="W18" s="46"/>
    </row>
    <row r="19">
      <c r="A19" s="52" t="s">
        <v>3101</v>
      </c>
      <c r="B19" s="203" t="s">
        <v>3102</v>
      </c>
      <c r="C19" s="52" t="s">
        <v>3103</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3104</v>
      </c>
      <c r="I19" s="141" t="s">
        <v>3105</v>
      </c>
      <c r="J19" s="46"/>
      <c r="K19" s="46"/>
      <c r="L19" s="46"/>
      <c r="M19" s="46"/>
      <c r="N19" s="46"/>
      <c r="O19" s="46"/>
      <c r="P19" s="46"/>
      <c r="Q19" s="46"/>
      <c r="R19" s="46"/>
      <c r="S19" s="46"/>
      <c r="T19" s="46"/>
      <c r="U19" s="46"/>
      <c r="V19" s="46"/>
      <c r="W19" s="46"/>
    </row>
    <row r="20">
      <c r="A20" s="52" t="s">
        <v>3106</v>
      </c>
      <c r="B20" s="203" t="s">
        <v>3107</v>
      </c>
      <c r="C20" s="52" t="s">
        <v>3108</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3109</v>
      </c>
      <c r="I20" s="141" t="s">
        <v>3110</v>
      </c>
      <c r="J20" s="46"/>
      <c r="K20" s="46"/>
      <c r="L20" s="46"/>
      <c r="M20" s="46"/>
      <c r="N20" s="46"/>
      <c r="O20" s="46"/>
      <c r="P20" s="46"/>
      <c r="Q20" s="46"/>
      <c r="R20" s="46"/>
      <c r="S20" s="46"/>
      <c r="T20" s="46"/>
      <c r="U20" s="46"/>
      <c r="V20" s="46"/>
      <c r="W20" s="46"/>
    </row>
    <row r="21">
      <c r="A21" s="52" t="s">
        <v>3111</v>
      </c>
      <c r="B21" s="203" t="s">
        <v>3112</v>
      </c>
      <c r="C21" s="52" t="s">
        <v>3113</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3114</v>
      </c>
      <c r="I21" s="141" t="s">
        <v>3115</v>
      </c>
      <c r="J21" s="46"/>
      <c r="K21" s="46"/>
      <c r="L21" s="46"/>
      <c r="M21" s="46"/>
      <c r="N21" s="46"/>
      <c r="O21" s="46"/>
      <c r="P21" s="46"/>
      <c r="Q21" s="46"/>
      <c r="R21" s="46"/>
      <c r="S21" s="46"/>
      <c r="T21" s="46"/>
      <c r="U21" s="46"/>
      <c r="V21" s="46"/>
      <c r="W21" s="46"/>
    </row>
    <row r="22">
      <c r="A22" s="52" t="s">
        <v>3116</v>
      </c>
      <c r="B22" s="203" t="s">
        <v>3117</v>
      </c>
      <c r="C22" s="52" t="s">
        <v>3118</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3119</v>
      </c>
      <c r="I22" s="141" t="s">
        <v>3120</v>
      </c>
      <c r="J22" s="46"/>
      <c r="K22" s="46"/>
      <c r="L22" s="46"/>
      <c r="M22" s="46"/>
      <c r="N22" s="46"/>
      <c r="O22" s="46"/>
      <c r="P22" s="46"/>
      <c r="Q22" s="46"/>
      <c r="R22" s="46"/>
      <c r="S22" s="46"/>
      <c r="T22" s="46"/>
      <c r="U22" s="46"/>
      <c r="V22" s="46"/>
      <c r="W22" s="46"/>
    </row>
    <row r="23">
      <c r="A23" s="52" t="s">
        <v>3121</v>
      </c>
      <c r="B23" s="203" t="str">
        <f>IFERROR(__xludf.DUMMYFUNCTION("GOOGLETRANSLATE(A23,""zh-tw"",""ja"")"),"メカが消えるとマップ名が変わります")</f>
        <v>メカが消えるとマップ名が変わります</v>
      </c>
      <c r="C23" s="52" t="s">
        <v>3122</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3123</v>
      </c>
      <c r="I23" s="141" t="s">
        <v>3124</v>
      </c>
      <c r="J23" s="46"/>
      <c r="K23" s="46"/>
      <c r="L23" s="46"/>
      <c r="M23" s="46"/>
      <c r="N23" s="46"/>
      <c r="O23" s="46"/>
      <c r="P23" s="46"/>
      <c r="Q23" s="46"/>
      <c r="R23" s="46"/>
      <c r="S23" s="46"/>
      <c r="T23" s="46"/>
      <c r="U23" s="46"/>
      <c r="V23" s="46"/>
      <c r="W23" s="46"/>
    </row>
    <row r="24">
      <c r="A24" s="52" t="s">
        <v>3125</v>
      </c>
      <c r="B24" s="203" t="s">
        <v>3126</v>
      </c>
      <c r="C24" s="52" t="s">
        <v>3127</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3128</v>
      </c>
      <c r="I24" s="141" t="s">
        <v>3129</v>
      </c>
      <c r="J24" s="46"/>
      <c r="K24" s="46"/>
      <c r="L24" s="46"/>
      <c r="M24" s="46"/>
      <c r="N24" s="46"/>
      <c r="O24" s="46"/>
      <c r="P24" s="46"/>
      <c r="Q24" s="46"/>
      <c r="R24" s="46"/>
      <c r="S24" s="46"/>
      <c r="T24" s="46"/>
      <c r="U24" s="46"/>
      <c r="V24" s="46"/>
      <c r="W24" s="46"/>
    </row>
    <row r="25">
      <c r="A25" s="52" t="s">
        <v>3130</v>
      </c>
      <c r="B25" s="203" t="s">
        <v>3131</v>
      </c>
      <c r="C25" s="52" t="s">
        <v>3132</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3133</v>
      </c>
      <c r="I25" s="141" t="s">
        <v>3134</v>
      </c>
      <c r="J25" s="46"/>
      <c r="K25" s="46"/>
      <c r="L25" s="46"/>
      <c r="M25" s="46"/>
      <c r="N25" s="46"/>
      <c r="O25" s="46"/>
      <c r="P25" s="46"/>
      <c r="Q25" s="46"/>
      <c r="R25" s="46"/>
      <c r="S25" s="46"/>
      <c r="T25" s="46"/>
      <c r="U25" s="46"/>
      <c r="V25" s="46"/>
      <c r="W25" s="46"/>
    </row>
    <row r="26">
      <c r="A26" s="52" t="s">
        <v>3135</v>
      </c>
      <c r="B26" s="203" t="s">
        <v>3136</v>
      </c>
      <c r="C26" s="52" t="s">
        <v>3137</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3138</v>
      </c>
      <c r="I26" s="141" t="s">
        <v>3139</v>
      </c>
      <c r="J26" s="46"/>
      <c r="K26" s="46"/>
      <c r="L26" s="46"/>
      <c r="M26" s="46"/>
      <c r="N26" s="46"/>
      <c r="O26" s="46"/>
      <c r="P26" s="46"/>
      <c r="Q26" s="46"/>
      <c r="R26" s="46"/>
      <c r="S26" s="46"/>
      <c r="T26" s="46"/>
      <c r="U26" s="46"/>
      <c r="V26" s="46"/>
      <c r="W26" s="46"/>
    </row>
    <row r="27">
      <c r="A27" s="52" t="s">
        <v>3140</v>
      </c>
      <c r="B27" s="203" t="s">
        <v>3141</v>
      </c>
      <c r="C27" s="52" t="s">
        <v>3142</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3143</v>
      </c>
      <c r="I27" s="141" t="s">
        <v>3144</v>
      </c>
      <c r="J27" s="46"/>
      <c r="K27" s="46"/>
      <c r="L27" s="46"/>
      <c r="M27" s="46"/>
      <c r="N27" s="46"/>
      <c r="O27" s="46"/>
      <c r="P27" s="46"/>
      <c r="Q27" s="46"/>
      <c r="R27" s="46"/>
      <c r="S27" s="46"/>
      <c r="T27" s="46"/>
      <c r="U27" s="46"/>
      <c r="V27" s="46"/>
      <c r="W27" s="46"/>
    </row>
    <row r="28">
      <c r="A28" s="52" t="s">
        <v>3145</v>
      </c>
      <c r="B28" s="203" t="str">
        <f>IFERROR(__xludf.DUMMYFUNCTION("GOOGLETRANSLATE(A28,""zh-tw"",""ja"")"),"ナイトはとても良いらしいですね、今後に期待できそうです")</f>
        <v>ナイトはとても良いらしいですね、今後に期待できそうです</v>
      </c>
      <c r="C28" s="52" t="s">
        <v>3146</v>
      </c>
      <c r="D28" s="203" t="s">
        <v>3147</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3148</v>
      </c>
      <c r="I28" s="141" t="s">
        <v>3149</v>
      </c>
      <c r="J28" s="46"/>
      <c r="K28" s="46"/>
      <c r="L28" s="46"/>
      <c r="M28" s="46"/>
      <c r="N28" s="46"/>
      <c r="O28" s="46"/>
      <c r="P28" s="46"/>
      <c r="Q28" s="46"/>
      <c r="R28" s="46"/>
      <c r="S28" s="46"/>
      <c r="T28" s="46"/>
      <c r="U28" s="46"/>
      <c r="V28" s="46"/>
      <c r="W28" s="46"/>
    </row>
    <row r="29">
      <c r="A29" s="206" t="s">
        <v>3150</v>
      </c>
      <c r="B29" s="203" t="s">
        <v>3151</v>
      </c>
      <c r="C29" s="52" t="s">
        <v>3152</v>
      </c>
      <c r="D29" s="203" t="s">
        <v>3153</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3154</v>
      </c>
      <c r="I29" s="141" t="s">
        <v>3155</v>
      </c>
      <c r="J29" s="46"/>
      <c r="K29" s="46"/>
      <c r="L29" s="46"/>
      <c r="M29" s="46"/>
      <c r="N29" s="46"/>
      <c r="O29" s="46"/>
      <c r="P29" s="46"/>
      <c r="Q29" s="46"/>
      <c r="R29" s="46"/>
      <c r="S29" s="46"/>
      <c r="T29" s="46"/>
      <c r="U29" s="46"/>
      <c r="V29" s="46"/>
      <c r="W29" s="46"/>
    </row>
    <row r="30">
      <c r="A30" s="52" t="s">
        <v>3156</v>
      </c>
      <c r="B30" s="203" t="s">
        <v>3157</v>
      </c>
      <c r="C30" s="52" t="s">
        <v>3158</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грезил...")</f>
        <v>Пока старший брат, ставший мудрецом, грезил...</v>
      </c>
      <c r="H30" s="203" t="s">
        <v>3159</v>
      </c>
      <c r="I30" s="141" t="s">
        <v>3160</v>
      </c>
      <c r="J30" s="46"/>
      <c r="K30" s="46"/>
      <c r="L30" s="46"/>
      <c r="M30" s="46"/>
      <c r="N30" s="46"/>
      <c r="O30" s="46"/>
      <c r="P30" s="46"/>
      <c r="Q30" s="46"/>
      <c r="R30" s="46"/>
      <c r="S30" s="46"/>
      <c r="T30" s="46"/>
      <c r="U30" s="46"/>
      <c r="V30" s="46"/>
      <c r="W30" s="46"/>
    </row>
    <row r="31">
      <c r="A31" s="52" t="s">
        <v>3161</v>
      </c>
      <c r="B31" s="203" t="s">
        <v>3162</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3163</v>
      </c>
      <c r="I31" s="141" t="s">
        <v>3164</v>
      </c>
      <c r="J31" s="46"/>
      <c r="K31" s="46"/>
      <c r="L31" s="46"/>
      <c r="M31" s="46"/>
      <c r="N31" s="46"/>
      <c r="O31" s="46"/>
      <c r="P31" s="46"/>
      <c r="Q31" s="46"/>
      <c r="R31" s="46"/>
      <c r="S31" s="46"/>
      <c r="T31" s="46"/>
      <c r="U31" s="46"/>
      <c r="V31" s="46"/>
      <c r="W31" s="46"/>
    </row>
    <row r="32">
      <c r="A32" s="52" t="s">
        <v>3165</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3166</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3167</v>
      </c>
      <c r="I32" s="141" t="s">
        <v>3168</v>
      </c>
      <c r="J32" s="46"/>
      <c r="K32" s="46"/>
      <c r="L32" s="46"/>
      <c r="M32" s="46"/>
      <c r="N32" s="46"/>
      <c r="O32" s="46"/>
      <c r="P32" s="46"/>
      <c r="Q32" s="46"/>
      <c r="R32" s="46"/>
      <c r="S32" s="46"/>
      <c r="T32" s="46"/>
      <c r="U32" s="46"/>
      <c r="V32" s="46"/>
      <c r="W32" s="46"/>
    </row>
    <row r="33">
      <c r="A33" s="52" t="s">
        <v>3169</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3170</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3171</v>
      </c>
      <c r="I33" s="141" t="s">
        <v>3172</v>
      </c>
      <c r="J33" s="46"/>
      <c r="K33" s="46"/>
      <c r="L33" s="46"/>
      <c r="M33" s="46"/>
      <c r="N33" s="46"/>
      <c r="O33" s="46"/>
      <c r="P33" s="46"/>
      <c r="Q33" s="46"/>
      <c r="R33" s="46"/>
      <c r="S33" s="46"/>
      <c r="T33" s="46"/>
      <c r="U33" s="46"/>
      <c r="V33" s="46"/>
      <c r="W33" s="46"/>
    </row>
    <row r="34">
      <c r="A34" s="52" t="s">
        <v>3173</v>
      </c>
      <c r="B34" s="203" t="s">
        <v>3174</v>
      </c>
      <c r="C34" s="52" t="s">
        <v>3175</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3176</v>
      </c>
      <c r="I34" s="141" t="s">
        <v>3177</v>
      </c>
      <c r="J34" s="46"/>
      <c r="K34" s="46"/>
      <c r="L34" s="46"/>
      <c r="M34" s="46"/>
      <c r="N34" s="46"/>
      <c r="O34" s="46"/>
      <c r="P34" s="46"/>
      <c r="Q34" s="46"/>
      <c r="R34" s="46"/>
      <c r="S34" s="46"/>
      <c r="T34" s="46"/>
      <c r="U34" s="46"/>
      <c r="V34" s="46"/>
      <c r="W34" s="46"/>
    </row>
    <row r="35">
      <c r="A35" s="52" t="s">
        <v>3178</v>
      </c>
      <c r="B35" s="203" t="s">
        <v>3179</v>
      </c>
      <c r="C35" s="52" t="s">
        <v>3180</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3181</v>
      </c>
      <c r="I35" s="141" t="s">
        <v>3182</v>
      </c>
      <c r="J35" s="46"/>
      <c r="K35" s="46"/>
      <c r="L35" s="46"/>
      <c r="M35" s="46"/>
      <c r="N35" s="46"/>
      <c r="O35" s="46"/>
      <c r="P35" s="46"/>
      <c r="Q35" s="46"/>
      <c r="R35" s="46"/>
      <c r="S35" s="46"/>
      <c r="T35" s="46"/>
      <c r="U35" s="46"/>
      <c r="V35" s="46"/>
      <c r="W35" s="46"/>
    </row>
    <row r="36">
      <c r="A36" s="52" t="s">
        <v>3183</v>
      </c>
      <c r="B36" s="203" t="str">
        <f>IFERROR(__xludf.DUMMYFUNCTION("GOOGLETRANSLATE(A36,""zh-tw"",""ja"")"),"生き物が可愛いほど、攻撃力が高くなります。")</f>
        <v>生き物が可愛いほど、攻撃力が高くなります。</v>
      </c>
      <c r="C36" s="52" t="s">
        <v>3184</v>
      </c>
      <c r="D36" s="203" t="s">
        <v>3185</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3186</v>
      </c>
      <c r="I36" s="141" t="s">
        <v>3187</v>
      </c>
      <c r="J36" s="46"/>
      <c r="K36" s="46"/>
      <c r="L36" s="46"/>
      <c r="M36" s="46"/>
      <c r="N36" s="46"/>
      <c r="O36" s="46"/>
      <c r="P36" s="46"/>
      <c r="Q36" s="46"/>
      <c r="R36" s="46"/>
      <c r="S36" s="46"/>
      <c r="T36" s="46"/>
      <c r="U36" s="46"/>
      <c r="V36" s="46"/>
      <c r="W36" s="46"/>
    </row>
    <row r="37">
      <c r="A37" s="52" t="s">
        <v>3188</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3189</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3190</v>
      </c>
      <c r="I37" s="141" t="s">
        <v>3191</v>
      </c>
      <c r="J37" s="46"/>
      <c r="K37" s="46"/>
      <c r="L37" s="46"/>
      <c r="M37" s="46"/>
      <c r="N37" s="46"/>
      <c r="O37" s="46"/>
      <c r="P37" s="46"/>
      <c r="Q37" s="46"/>
      <c r="R37" s="46"/>
      <c r="S37" s="46"/>
      <c r="T37" s="46"/>
      <c r="U37" s="46"/>
      <c r="V37" s="46"/>
      <c r="W37" s="46"/>
    </row>
    <row r="38">
      <c r="A38" s="52" t="s">
        <v>3192</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3193</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3194</v>
      </c>
      <c r="I38" s="141" t="s">
        <v>3195</v>
      </c>
      <c r="J38" s="46"/>
      <c r="K38" s="46"/>
      <c r="L38" s="46"/>
      <c r="M38" s="46"/>
      <c r="N38" s="46"/>
      <c r="O38" s="46"/>
      <c r="P38" s="46"/>
      <c r="Q38" s="46"/>
      <c r="R38" s="46"/>
      <c r="S38" s="46"/>
      <c r="T38" s="46"/>
      <c r="U38" s="46"/>
      <c r="V38" s="46"/>
      <c r="W38" s="46"/>
    </row>
    <row r="39">
      <c r="A39" s="52" t="s">
        <v>3196</v>
      </c>
      <c r="B39" s="203" t="s">
        <v>3197</v>
      </c>
      <c r="C39" s="52" t="s">
        <v>3198</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3199</v>
      </c>
      <c r="I39" s="141" t="s">
        <v>3200</v>
      </c>
      <c r="J39" s="46"/>
      <c r="K39" s="46"/>
      <c r="L39" s="46"/>
      <c r="M39" s="46"/>
      <c r="N39" s="46"/>
      <c r="O39" s="46"/>
      <c r="P39" s="46"/>
      <c r="Q39" s="46"/>
      <c r="R39" s="46"/>
      <c r="S39" s="46"/>
      <c r="T39" s="46"/>
      <c r="U39" s="46"/>
      <c r="V39" s="46"/>
      <c r="W39" s="46"/>
    </row>
    <row r="40">
      <c r="A40" s="52" t="s">
        <v>3201</v>
      </c>
      <c r="B40" s="203" t="s">
        <v>3202</v>
      </c>
      <c r="C40" s="52" t="s">
        <v>3203</v>
      </c>
      <c r="D40" s="203" t="s">
        <v>3204</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3205</v>
      </c>
      <c r="I40" s="141" t="s">
        <v>3206</v>
      </c>
      <c r="J40" s="46"/>
      <c r="K40" s="46"/>
      <c r="L40" s="46"/>
      <c r="M40" s="46"/>
      <c r="N40" s="46"/>
      <c r="O40" s="46"/>
      <c r="P40" s="46"/>
      <c r="Q40" s="46"/>
      <c r="R40" s="46"/>
      <c r="S40" s="46"/>
      <c r="T40" s="46"/>
      <c r="U40" s="46"/>
      <c r="V40" s="46"/>
      <c r="W40" s="46"/>
    </row>
    <row r="41">
      <c r="A41" s="52" t="s">
        <v>3207</v>
      </c>
      <c r="B41" s="203" t="s">
        <v>3208</v>
      </c>
      <c r="C41" s="52" t="s">
        <v>3209</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3210</v>
      </c>
      <c r="J41" s="46"/>
      <c r="K41" s="46"/>
      <c r="L41" s="46"/>
      <c r="M41" s="46"/>
      <c r="N41" s="46"/>
      <c r="O41" s="46"/>
      <c r="P41" s="46"/>
      <c r="Q41" s="46"/>
      <c r="R41" s="46"/>
      <c r="S41" s="46"/>
      <c r="T41" s="46"/>
      <c r="U41" s="46"/>
      <c r="V41" s="46"/>
      <c r="W41" s="46"/>
    </row>
    <row r="42">
      <c r="A42" s="52" t="s">
        <v>3211</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3212</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3213</v>
      </c>
      <c r="J42" s="46"/>
      <c r="K42" s="46"/>
      <c r="L42" s="46"/>
      <c r="M42" s="46"/>
      <c r="N42" s="46"/>
      <c r="O42" s="46"/>
      <c r="P42" s="46"/>
      <c r="Q42" s="46"/>
      <c r="R42" s="46"/>
      <c r="S42" s="46"/>
      <c r="T42" s="46"/>
      <c r="U42" s="46"/>
      <c r="V42" s="46"/>
      <c r="W42" s="46"/>
    </row>
    <row r="43">
      <c r="A43" s="52" t="s">
        <v>3214</v>
      </c>
      <c r="B43" s="203" t="s">
        <v>3215</v>
      </c>
      <c r="C43" s="52" t="s">
        <v>3216</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3217</v>
      </c>
      <c r="J43" s="46"/>
      <c r="K43" s="46"/>
      <c r="L43" s="46"/>
      <c r="M43" s="46"/>
      <c r="N43" s="46"/>
      <c r="O43" s="46"/>
      <c r="P43" s="46"/>
      <c r="Q43" s="46"/>
      <c r="R43" s="46"/>
      <c r="S43" s="46"/>
      <c r="T43" s="46"/>
      <c r="U43" s="46"/>
      <c r="V43" s="46"/>
      <c r="W43" s="46"/>
    </row>
    <row r="44">
      <c r="A44" s="52" t="s">
        <v>3218</v>
      </c>
      <c r="B44" s="203" t="s">
        <v>3219</v>
      </c>
      <c r="C44" s="52" t="s">
        <v>3220</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3221</v>
      </c>
      <c r="J44" s="46"/>
      <c r="K44" s="46"/>
      <c r="L44" s="46"/>
      <c r="M44" s="46"/>
      <c r="N44" s="46"/>
      <c r="O44" s="46"/>
      <c r="P44" s="46"/>
      <c r="Q44" s="46"/>
      <c r="R44" s="46"/>
      <c r="S44" s="46"/>
      <c r="T44" s="46"/>
      <c r="U44" s="46"/>
      <c r="V44" s="46"/>
      <c r="W44" s="46"/>
    </row>
    <row r="45">
      <c r="A45" s="52" t="s">
        <v>3222</v>
      </c>
      <c r="B45" s="203" t="s">
        <v>3223</v>
      </c>
      <c r="C45" s="52" t="s">
        <v>3224</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3225</v>
      </c>
      <c r="J45" s="46"/>
      <c r="K45" s="46"/>
      <c r="L45" s="46"/>
      <c r="M45" s="46"/>
      <c r="N45" s="46"/>
      <c r="O45" s="46"/>
      <c r="P45" s="46"/>
      <c r="Q45" s="46"/>
      <c r="R45" s="46"/>
      <c r="S45" s="46"/>
      <c r="T45" s="46"/>
      <c r="U45" s="46"/>
      <c r="V45" s="46"/>
      <c r="W45" s="46"/>
    </row>
    <row r="46">
      <c r="A46" s="52" t="s">
        <v>3226</v>
      </c>
      <c r="B46" s="203" t="s">
        <v>3227</v>
      </c>
      <c r="C46" s="52" t="s">
        <v>3228</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3229</v>
      </c>
      <c r="J46" s="46"/>
      <c r="K46" s="46"/>
      <c r="L46" s="46"/>
      <c r="M46" s="46"/>
      <c r="N46" s="46"/>
      <c r="O46" s="46"/>
      <c r="P46" s="46"/>
      <c r="Q46" s="46"/>
      <c r="R46" s="46"/>
      <c r="S46" s="46"/>
      <c r="T46" s="46"/>
      <c r="U46" s="46"/>
      <c r="V46" s="46"/>
      <c r="W46" s="46"/>
    </row>
    <row r="47">
      <c r="A47" s="52" t="s">
        <v>3230</v>
      </c>
      <c r="B47" s="203" t="s">
        <v>3231</v>
      </c>
      <c r="C47" s="52" t="s">
        <v>3232</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3233</v>
      </c>
      <c r="J47" s="46"/>
      <c r="K47" s="46"/>
      <c r="L47" s="46"/>
      <c r="M47" s="46"/>
      <c r="N47" s="46"/>
      <c r="O47" s="46"/>
      <c r="P47" s="46"/>
      <c r="Q47" s="46"/>
      <c r="R47" s="46"/>
      <c r="S47" s="46"/>
      <c r="T47" s="46"/>
      <c r="U47" s="46"/>
      <c r="V47" s="46"/>
      <c r="W47" s="46"/>
    </row>
    <row r="48">
      <c r="A48" s="52" t="s">
        <v>3234</v>
      </c>
      <c r="B48" s="203" t="s">
        <v>3235</v>
      </c>
      <c r="C48" s="52" t="s">
        <v>3236</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3237</v>
      </c>
      <c r="J48" s="46"/>
      <c r="K48" s="46"/>
      <c r="L48" s="46"/>
      <c r="M48" s="46"/>
      <c r="N48" s="46"/>
      <c r="O48" s="46"/>
      <c r="P48" s="46"/>
      <c r="Q48" s="46"/>
      <c r="R48" s="46"/>
      <c r="S48" s="46"/>
      <c r="T48" s="46"/>
      <c r="U48" s="46"/>
      <c r="V48" s="46"/>
      <c r="W48" s="46"/>
    </row>
    <row r="49">
      <c r="A49" s="52" t="s">
        <v>3238</v>
      </c>
      <c r="B49" s="203" t="s">
        <v>3239</v>
      </c>
      <c r="C49" s="52" t="s">
        <v>3240</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3241</v>
      </c>
      <c r="J49" s="46"/>
      <c r="K49" s="46"/>
      <c r="L49" s="46"/>
      <c r="M49" s="46"/>
      <c r="N49" s="46"/>
      <c r="O49" s="46"/>
      <c r="P49" s="46"/>
      <c r="Q49" s="46"/>
      <c r="R49" s="46"/>
      <c r="S49" s="46"/>
      <c r="T49" s="46"/>
      <c r="U49" s="46"/>
      <c r="V49" s="46"/>
      <c r="W49" s="46"/>
    </row>
    <row r="50">
      <c r="A50" s="52" t="s">
        <v>3242</v>
      </c>
      <c r="B50" s="203" t="s">
        <v>3243</v>
      </c>
      <c r="C50" s="52" t="s">
        <v>3244</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3245</v>
      </c>
      <c r="J50" s="46"/>
      <c r="K50" s="46"/>
      <c r="L50" s="46"/>
      <c r="M50" s="46"/>
      <c r="N50" s="46"/>
      <c r="O50" s="46"/>
      <c r="P50" s="46"/>
      <c r="Q50" s="46"/>
      <c r="R50" s="46"/>
      <c r="S50" s="46"/>
      <c r="T50" s="46"/>
      <c r="U50" s="46"/>
      <c r="V50" s="46"/>
      <c r="W50" s="46"/>
    </row>
    <row r="51">
      <c r="A51" s="52" t="s">
        <v>3246</v>
      </c>
      <c r="B51" s="203" t="s">
        <v>3247</v>
      </c>
      <c r="C51" s="55" t="s">
        <v>3248</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3249</v>
      </c>
      <c r="J51" s="46"/>
      <c r="K51" s="46"/>
      <c r="L51" s="46"/>
      <c r="M51" s="46"/>
      <c r="N51" s="46"/>
      <c r="O51" s="46"/>
      <c r="P51" s="46"/>
      <c r="Q51" s="46"/>
      <c r="R51" s="46"/>
      <c r="S51" s="46"/>
      <c r="T51" s="46"/>
      <c r="U51" s="46"/>
      <c r="V51" s="46"/>
      <c r="W51" s="46"/>
    </row>
    <row r="52">
      <c r="A52" s="52" t="s">
        <v>3250</v>
      </c>
      <c r="B52" s="203" t="s">
        <v>3251</v>
      </c>
      <c r="C52" s="52" t="s">
        <v>3252</v>
      </c>
      <c r="D52" s="203" t="s">
        <v>3253</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3254</v>
      </c>
      <c r="J52" s="46"/>
      <c r="K52" s="46"/>
      <c r="L52" s="46"/>
      <c r="M52" s="46"/>
      <c r="N52" s="46"/>
      <c r="O52" s="46"/>
      <c r="P52" s="46"/>
      <c r="Q52" s="46"/>
      <c r="R52" s="46"/>
      <c r="S52" s="46"/>
      <c r="T52" s="46"/>
      <c r="U52" s="46"/>
      <c r="V52" s="46"/>
      <c r="W52" s="46"/>
    </row>
    <row r="53">
      <c r="A53" s="52" t="s">
        <v>3255</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3256</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3257</v>
      </c>
      <c r="J53" s="46"/>
      <c r="K53" s="46"/>
      <c r="L53" s="46"/>
      <c r="M53" s="46"/>
      <c r="N53" s="46"/>
      <c r="O53" s="46"/>
      <c r="P53" s="46"/>
      <c r="Q53" s="46"/>
      <c r="R53" s="46"/>
      <c r="S53" s="46"/>
      <c r="T53" s="46"/>
      <c r="U53" s="46"/>
      <c r="V53" s="46"/>
      <c r="W53" s="46"/>
    </row>
    <row r="54">
      <c r="A54" s="52" t="s">
        <v>3258</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3259</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3260</v>
      </c>
      <c r="J54" s="46"/>
      <c r="K54" s="46"/>
      <c r="L54" s="46"/>
      <c r="M54" s="46"/>
      <c r="N54" s="46"/>
      <c r="O54" s="46"/>
      <c r="P54" s="46"/>
      <c r="Q54" s="46"/>
      <c r="R54" s="46"/>
      <c r="S54" s="46"/>
      <c r="T54" s="46"/>
      <c r="U54" s="46"/>
      <c r="V54" s="46"/>
      <c r="W54" s="46"/>
    </row>
    <row r="55">
      <c r="A55" s="52" t="s">
        <v>3261</v>
      </c>
      <c r="B55" s="203" t="s">
        <v>3262</v>
      </c>
      <c r="C55" s="52" t="s">
        <v>3263</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3264</v>
      </c>
      <c r="J55" s="46"/>
      <c r="K55" s="46"/>
      <c r="L55" s="46"/>
      <c r="M55" s="46"/>
      <c r="N55" s="46"/>
      <c r="O55" s="46"/>
      <c r="P55" s="46"/>
      <c r="Q55" s="46"/>
      <c r="R55" s="46"/>
      <c r="S55" s="46"/>
      <c r="T55" s="46"/>
      <c r="U55" s="46"/>
      <c r="V55" s="46"/>
      <c r="W55" s="46"/>
    </row>
    <row r="56">
      <c r="A56" s="52" t="s">
        <v>3265</v>
      </c>
      <c r="B56" s="203" t="str">
        <f>IFERROR(__xludf.DUMMYFUNCTION("GOOGLETRANSLATE(A56,""zh-tw"",""ja"")"),"ガチャポンが騎士の足元に落ちたら、拾ってくれるよ")</f>
        <v>ガチャポンが騎士の足元に落ちたら、拾ってくれるよ</v>
      </c>
      <c r="C56" s="52" t="s">
        <v>3266</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3267</v>
      </c>
      <c r="J56" s="46"/>
      <c r="K56" s="46"/>
      <c r="L56" s="46"/>
      <c r="M56" s="46"/>
      <c r="N56" s="46"/>
      <c r="O56" s="46"/>
      <c r="P56" s="46"/>
      <c r="Q56" s="46"/>
      <c r="R56" s="46"/>
      <c r="S56" s="46"/>
      <c r="T56" s="46"/>
      <c r="U56" s="46"/>
      <c r="V56" s="46"/>
      <c r="W56" s="46"/>
    </row>
    <row r="57">
      <c r="A57" s="52" t="s">
        <v>3268</v>
      </c>
      <c r="B57" s="203" t="s">
        <v>3269</v>
      </c>
      <c r="C57" s="52" t="s">
        <v>3270</v>
      </c>
      <c r="D57" s="203" t="s">
        <v>3271</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3272</v>
      </c>
      <c r="J57" s="46"/>
      <c r="K57" s="46"/>
      <c r="L57" s="46"/>
      <c r="M57" s="46"/>
      <c r="N57" s="46"/>
      <c r="O57" s="46"/>
      <c r="P57" s="46"/>
      <c r="Q57" s="46"/>
      <c r="R57" s="46"/>
      <c r="S57" s="46"/>
      <c r="T57" s="46"/>
      <c r="U57" s="46"/>
      <c r="V57" s="46"/>
      <c r="W57" s="46"/>
    </row>
    <row r="58">
      <c r="A58" s="52" t="s">
        <v>3273</v>
      </c>
      <c r="B58" s="203" t="s">
        <v>3274</v>
      </c>
      <c r="C58" s="52" t="s">
        <v>3275</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3276</v>
      </c>
      <c r="J58" s="46"/>
      <c r="K58" s="46"/>
      <c r="L58" s="46"/>
      <c r="M58" s="46"/>
      <c r="N58" s="46"/>
      <c r="O58" s="46"/>
      <c r="P58" s="46"/>
      <c r="Q58" s="46"/>
      <c r="R58" s="46"/>
      <c r="S58" s="46"/>
      <c r="T58" s="46"/>
      <c r="U58" s="46"/>
      <c r="V58" s="46"/>
      <c r="W58" s="46"/>
    </row>
    <row r="59">
      <c r="A59" s="52" t="s">
        <v>3277</v>
      </c>
      <c r="B59" s="203" t="s">
        <v>3278</v>
      </c>
      <c r="C59" s="52" t="s">
        <v>3279</v>
      </c>
      <c r="D59" s="203" t="s">
        <v>3280</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3281</v>
      </c>
      <c r="J59" s="46"/>
      <c r="K59" s="46"/>
      <c r="L59" s="46"/>
      <c r="M59" s="46"/>
      <c r="N59" s="46"/>
      <c r="O59" s="46"/>
      <c r="P59" s="46"/>
      <c r="Q59" s="46"/>
      <c r="R59" s="46"/>
      <c r="S59" s="46"/>
      <c r="T59" s="46"/>
      <c r="U59" s="46"/>
      <c r="V59" s="46"/>
      <c r="W59" s="46"/>
    </row>
    <row r="60">
      <c r="A60" s="52" t="s">
        <v>3282</v>
      </c>
      <c r="B60" s="203" t="s">
        <v>3283</v>
      </c>
      <c r="C60" s="52" t="s">
        <v>3284</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auf dem AKI-Shop.)")</f>
        <v>Du kannst den Zeitstopper auf den Einkaufswagen des Katzenmädchens anwenden, was eine hervorragende Angriffsmethode ist.
(P.S.: Funktioniert nicht auf dem AKI-Shop.)</v>
      </c>
      <c r="I60" s="141" t="s">
        <v>3285</v>
      </c>
      <c r="J60" s="46"/>
      <c r="K60" s="46"/>
      <c r="L60" s="46"/>
      <c r="M60" s="46"/>
      <c r="N60" s="46"/>
      <c r="O60" s="46"/>
      <c r="P60" s="46"/>
      <c r="Q60" s="46"/>
      <c r="R60" s="46"/>
      <c r="S60" s="46"/>
      <c r="T60" s="46"/>
      <c r="U60" s="46"/>
      <c r="V60" s="46"/>
      <c r="W60" s="46"/>
    </row>
    <row r="61">
      <c r="A61" s="52" t="s">
        <v>3286</v>
      </c>
      <c r="B61" s="203" t="s">
        <v>3287</v>
      </c>
      <c r="C61" s="52" t="s">
        <v>3288</v>
      </c>
      <c r="D61" s="203" t="s">
        <v>3289</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3290</v>
      </c>
      <c r="J61" s="46"/>
      <c r="K61" s="46"/>
      <c r="L61" s="46"/>
      <c r="M61" s="46"/>
      <c r="N61" s="46"/>
      <c r="O61" s="46"/>
      <c r="P61" s="46"/>
      <c r="Q61" s="46"/>
      <c r="R61" s="46"/>
      <c r="S61" s="46"/>
      <c r="T61" s="46"/>
      <c r="U61" s="46"/>
      <c r="V61" s="46"/>
      <c r="W61" s="46"/>
    </row>
    <row r="62">
      <c r="A62" s="52" t="s">
        <v>3291</v>
      </c>
      <c r="B62" s="203" t="s">
        <v>3292</v>
      </c>
      <c r="C62" s="52" t="s">
        <v>3293</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3294</v>
      </c>
      <c r="J62" s="46"/>
      <c r="K62" s="46"/>
      <c r="L62" s="46"/>
      <c r="M62" s="46"/>
      <c r="N62" s="46"/>
      <c r="O62" s="46"/>
      <c r="P62" s="46"/>
      <c r="Q62" s="46"/>
      <c r="R62" s="46"/>
      <c r="S62" s="46"/>
      <c r="T62" s="46"/>
      <c r="U62" s="46"/>
      <c r="V62" s="46"/>
      <c r="W62" s="46"/>
    </row>
    <row r="63">
      <c r="A63" s="52" t="s">
        <v>3295</v>
      </c>
      <c r="B63" s="203" t="s">
        <v>3296</v>
      </c>
      <c r="C63" s="52" t="s">
        <v>3297</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3298</v>
      </c>
      <c r="J63" s="46"/>
      <c r="K63" s="46"/>
      <c r="L63" s="46"/>
      <c r="M63" s="46"/>
      <c r="N63" s="46"/>
      <c r="O63" s="46"/>
      <c r="P63" s="46"/>
      <c r="Q63" s="46"/>
      <c r="R63" s="46"/>
      <c r="S63" s="46"/>
      <c r="T63" s="46"/>
      <c r="U63" s="46"/>
      <c r="V63" s="46"/>
      <c r="W63" s="46"/>
    </row>
    <row r="64">
      <c r="A64" s="52" t="s">
        <v>3299</v>
      </c>
      <c r="B64" s="203" t="s">
        <v>3300</v>
      </c>
      <c r="C64" s="52" t="s">
        <v>3301</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3302</v>
      </c>
      <c r="J64" s="46"/>
      <c r="K64" s="46"/>
      <c r="L64" s="46"/>
      <c r="M64" s="46"/>
      <c r="N64" s="46"/>
      <c r="O64" s="46"/>
      <c r="P64" s="46"/>
      <c r="Q64" s="46"/>
      <c r="R64" s="46"/>
      <c r="S64" s="46"/>
      <c r="T64" s="46"/>
      <c r="U64" s="46"/>
      <c r="V64" s="46"/>
      <c r="W64" s="46"/>
    </row>
    <row r="65">
      <c r="A65" s="52" t="s">
        <v>3303</v>
      </c>
      <c r="B65" s="203" t="s">
        <v>3304</v>
      </c>
      <c r="C65" s="52" t="s">
        <v>3305</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3306</v>
      </c>
      <c r="J65" s="46"/>
      <c r="K65" s="46"/>
      <c r="L65" s="46"/>
      <c r="M65" s="46"/>
      <c r="N65" s="46"/>
      <c r="O65" s="46"/>
      <c r="P65" s="46"/>
      <c r="Q65" s="46"/>
      <c r="R65" s="46"/>
      <c r="S65" s="46"/>
      <c r="T65" s="46"/>
      <c r="U65" s="46"/>
      <c r="V65" s="46"/>
      <c r="W65" s="46"/>
    </row>
    <row r="66">
      <c r="A66" s="52" t="s">
        <v>3307</v>
      </c>
      <c r="B66" s="203" t="s">
        <v>3308</v>
      </c>
      <c r="C66" s="52" t="s">
        <v>3309</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3310</v>
      </c>
      <c r="J66" s="46"/>
      <c r="K66" s="46"/>
      <c r="L66" s="46"/>
      <c r="M66" s="46"/>
      <c r="N66" s="46"/>
      <c r="O66" s="46"/>
      <c r="P66" s="46"/>
      <c r="Q66" s="46"/>
      <c r="R66" s="46"/>
      <c r="S66" s="46"/>
      <c r="T66" s="46"/>
      <c r="U66" s="46"/>
      <c r="V66" s="46"/>
      <c r="W66" s="46"/>
    </row>
    <row r="67">
      <c r="A67" s="52" t="s">
        <v>3311</v>
      </c>
      <c r="B67" s="203" t="s">
        <v>3312</v>
      </c>
      <c r="C67" s="52" t="s">
        <v>3313</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3314</v>
      </c>
      <c r="J67" s="46"/>
      <c r="K67" s="46"/>
      <c r="L67" s="46"/>
      <c r="M67" s="46"/>
      <c r="N67" s="46"/>
      <c r="O67" s="46"/>
      <c r="P67" s="46"/>
      <c r="Q67" s="46"/>
      <c r="R67" s="46"/>
      <c r="S67" s="46"/>
      <c r="T67" s="46"/>
      <c r="U67" s="46"/>
      <c r="V67" s="46"/>
      <c r="W67" s="46"/>
    </row>
    <row r="68">
      <c r="A68" s="52" t="s">
        <v>3315</v>
      </c>
      <c r="B68" s="203" t="str">
        <f>IFERROR(__xludf.DUMMYFUNCTION("GOOGLETRANSLATE(A68,""zh-tw"",""ja"")"),"Shiftキーで歩行と走行の姿勢を切り替えることができます")</f>
        <v>Shiftキーで歩行と走行の姿勢を切り替えることができます</v>
      </c>
      <c r="C68" s="52" t="s">
        <v>3316</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3317</v>
      </c>
      <c r="J68" s="46"/>
      <c r="K68" s="46"/>
      <c r="L68" s="46"/>
      <c r="M68" s="46"/>
      <c r="N68" s="46"/>
      <c r="O68" s="46"/>
      <c r="P68" s="46"/>
      <c r="Q68" s="46"/>
      <c r="R68" s="46"/>
      <c r="S68" s="46"/>
      <c r="T68" s="46"/>
      <c r="U68" s="46"/>
      <c r="V68" s="46"/>
      <c r="W68" s="46"/>
    </row>
    <row r="69">
      <c r="A69" s="52" t="s">
        <v>3318</v>
      </c>
      <c r="B69" s="203" t="s">
        <v>3319</v>
      </c>
      <c r="C69" s="52" t="s">
        <v>3320</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3321</v>
      </c>
      <c r="J69" s="46"/>
      <c r="K69" s="46"/>
      <c r="L69" s="46"/>
      <c r="M69" s="46"/>
      <c r="N69" s="46"/>
      <c r="O69" s="46"/>
      <c r="P69" s="46"/>
      <c r="Q69" s="46"/>
      <c r="R69" s="46"/>
      <c r="S69" s="46"/>
      <c r="T69" s="46"/>
      <c r="U69" s="46"/>
      <c r="V69" s="46"/>
      <c r="W69" s="46"/>
    </row>
    <row r="70">
      <c r="A70" s="52" t="s">
        <v>3322</v>
      </c>
      <c r="B70" s="203" t="s">
        <v>3323</v>
      </c>
      <c r="C70" s="52" t="s">
        <v>3324</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3325</v>
      </c>
      <c r="J70" s="46"/>
      <c r="K70" s="46"/>
      <c r="L70" s="46"/>
      <c r="M70" s="46"/>
      <c r="N70" s="46"/>
      <c r="O70" s="46"/>
      <c r="P70" s="46"/>
      <c r="Q70" s="46"/>
      <c r="R70" s="46"/>
      <c r="S70" s="46"/>
      <c r="T70" s="46"/>
      <c r="U70" s="46"/>
      <c r="V70" s="46"/>
      <c r="W70" s="46"/>
    </row>
    <row r="71">
      <c r="A71" s="52" t="s">
        <v>3326</v>
      </c>
      <c r="B71" s="203" t="s">
        <v>3327</v>
      </c>
      <c r="C71" s="52" t="s">
        <v>3328</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3329</v>
      </c>
      <c r="J71" s="46"/>
      <c r="K71" s="46"/>
      <c r="L71" s="46"/>
      <c r="M71" s="46"/>
      <c r="N71" s="46"/>
      <c r="O71" s="46"/>
      <c r="P71" s="46"/>
      <c r="Q71" s="46"/>
      <c r="R71" s="46"/>
      <c r="S71" s="46"/>
      <c r="T71" s="46"/>
      <c r="U71" s="46"/>
      <c r="V71" s="46"/>
      <c r="W71" s="46"/>
    </row>
    <row r="72">
      <c r="A72" s="52" t="s">
        <v>3330</v>
      </c>
      <c r="B72" s="203" t="s">
        <v>3331</v>
      </c>
      <c r="C72" s="52" t="s">
        <v>3332</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3333</v>
      </c>
      <c r="J72" s="46"/>
      <c r="K72" s="46"/>
      <c r="L72" s="46"/>
      <c r="M72" s="46"/>
      <c r="N72" s="46"/>
      <c r="O72" s="46"/>
      <c r="P72" s="46"/>
      <c r="Q72" s="46"/>
      <c r="R72" s="46"/>
      <c r="S72" s="46"/>
      <c r="T72" s="46"/>
      <c r="U72" s="46"/>
      <c r="V72" s="46"/>
      <c r="W72" s="46"/>
    </row>
    <row r="73">
      <c r="A73" s="52" t="s">
        <v>3334</v>
      </c>
      <c r="B73" s="203" t="s">
        <v>3335</v>
      </c>
      <c r="C73" s="52" t="s">
        <v>3336</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3337</v>
      </c>
      <c r="I73" s="141" t="s">
        <v>3338</v>
      </c>
      <c r="J73" s="46"/>
      <c r="K73" s="46"/>
      <c r="L73" s="46"/>
      <c r="M73" s="46"/>
      <c r="N73" s="46"/>
      <c r="O73" s="46"/>
      <c r="P73" s="46"/>
      <c r="Q73" s="46"/>
      <c r="R73" s="46"/>
      <c r="S73" s="46"/>
      <c r="T73" s="46"/>
      <c r="U73" s="46"/>
      <c r="V73" s="46"/>
      <c r="W73" s="46"/>
    </row>
    <row r="74">
      <c r="A74" s="52" t="s">
        <v>3339</v>
      </c>
      <c r="B74" s="203" t="s">
        <v>3340</v>
      </c>
      <c r="C74" s="52" t="s">
        <v>3341</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3342</v>
      </c>
      <c r="I74" s="141" t="s">
        <v>3343</v>
      </c>
      <c r="J74" s="46"/>
      <c r="K74" s="46"/>
      <c r="L74" s="46"/>
      <c r="M74" s="46"/>
      <c r="N74" s="46"/>
      <c r="O74" s="46"/>
      <c r="P74" s="46"/>
      <c r="Q74" s="46"/>
      <c r="R74" s="46"/>
      <c r="S74" s="46"/>
      <c r="T74" s="46"/>
      <c r="U74" s="46"/>
      <c r="V74" s="46"/>
      <c r="W74" s="46"/>
    </row>
    <row r="75">
      <c r="A75" s="52" t="s">
        <v>3344</v>
      </c>
      <c r="B75" s="203" t="s">
        <v>3345</v>
      </c>
      <c r="C75" s="52" t="s">
        <v>3346</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3347</v>
      </c>
      <c r="I75" s="141" t="s">
        <v>3348</v>
      </c>
      <c r="J75" s="46"/>
      <c r="K75" s="46"/>
      <c r="L75" s="46"/>
      <c r="M75" s="46"/>
      <c r="N75" s="46"/>
      <c r="O75" s="46"/>
      <c r="P75" s="46"/>
      <c r="Q75" s="46"/>
      <c r="R75" s="46"/>
      <c r="S75" s="46"/>
      <c r="T75" s="46"/>
      <c r="U75" s="46"/>
      <c r="V75" s="46"/>
      <c r="W75" s="46"/>
    </row>
    <row r="76">
      <c r="A76" s="52" t="s">
        <v>3349</v>
      </c>
      <c r="B76" s="203" t="s">
        <v>3350</v>
      </c>
      <c r="C76" s="52" t="s">
        <v>3351</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3352</v>
      </c>
      <c r="I76" s="141" t="s">
        <v>3353</v>
      </c>
      <c r="J76" s="46"/>
      <c r="K76" s="46"/>
      <c r="L76" s="46"/>
      <c r="M76" s="46"/>
      <c r="N76" s="46"/>
      <c r="O76" s="46"/>
      <c r="P76" s="46"/>
      <c r="Q76" s="46"/>
      <c r="R76" s="46"/>
      <c r="S76" s="46"/>
      <c r="T76" s="46"/>
      <c r="U76" s="46"/>
      <c r="V76" s="46"/>
      <c r="W76" s="46"/>
    </row>
    <row r="77">
      <c r="A77" s="52" t="s">
        <v>3354</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3355</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3356</v>
      </c>
      <c r="I77" s="141" t="s">
        <v>3357</v>
      </c>
      <c r="J77" s="46"/>
      <c r="K77" s="46"/>
      <c r="L77" s="46"/>
      <c r="M77" s="46"/>
      <c r="N77" s="46"/>
      <c r="O77" s="46"/>
      <c r="P77" s="46"/>
      <c r="Q77" s="46"/>
      <c r="R77" s="46"/>
      <c r="S77" s="46"/>
      <c r="T77" s="46"/>
      <c r="U77" s="46"/>
      <c r="V77" s="46"/>
      <c r="W77" s="46"/>
    </row>
    <row r="78">
      <c r="A78" s="52" t="s">
        <v>3358</v>
      </c>
      <c r="B78" s="203"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3359</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3" t="s">
        <v>3360</v>
      </c>
      <c r="I78" s="141" t="s">
        <v>3361</v>
      </c>
      <c r="J78" s="46"/>
      <c r="K78" s="46"/>
      <c r="L78" s="46"/>
      <c r="M78" s="46"/>
      <c r="N78" s="46"/>
      <c r="O78" s="46"/>
      <c r="P78" s="46"/>
      <c r="Q78" s="46"/>
      <c r="R78" s="46"/>
      <c r="S78" s="46"/>
      <c r="T78" s="46"/>
      <c r="U78" s="46"/>
      <c r="V78" s="46"/>
      <c r="W78" s="46"/>
    </row>
    <row r="79">
      <c r="A79" s="52" t="s">
        <v>3362</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3363</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3364</v>
      </c>
      <c r="J79" s="46"/>
      <c r="K79" s="46"/>
      <c r="L79" s="46"/>
      <c r="M79" s="46"/>
      <c r="N79" s="46"/>
      <c r="O79" s="46"/>
      <c r="P79" s="46"/>
      <c r="Q79" s="46"/>
      <c r="R79" s="46"/>
      <c r="S79" s="46"/>
      <c r="T79" s="46"/>
      <c r="U79" s="46"/>
      <c r="V79" s="46"/>
      <c r="W79" s="46"/>
    </row>
    <row r="80">
      <c r="A80" s="55" t="s">
        <v>3365</v>
      </c>
      <c r="B80" s="204" t="s">
        <v>3366</v>
      </c>
      <c r="C80" s="55" t="s">
        <v>3367</v>
      </c>
      <c r="D80" s="203" t="str">
        <f>IFERROR(__xludf.DUMMYFUNCTION("GOOGLETRANSLATE(A80,""zh-tw"",""zh"")"),"牛奶是最好的解辣饮品，能大幅缩短解除辣哭了的持续时间")</f>
        <v>牛奶是最好的解辣饮品，能大幅缩短解除辣哭了的持续时间</v>
      </c>
      <c r="E80" s="207" t="s">
        <v>3368</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3369</v>
      </c>
      <c r="I80" s="141" t="s">
        <v>3370</v>
      </c>
      <c r="J80" s="46"/>
      <c r="K80" s="46"/>
      <c r="L80" s="46"/>
      <c r="M80" s="46"/>
      <c r="N80" s="46"/>
      <c r="O80" s="46"/>
      <c r="P80" s="46"/>
      <c r="Q80" s="46"/>
      <c r="R80" s="46"/>
      <c r="S80" s="46"/>
      <c r="T80" s="46"/>
      <c r="U80" s="46"/>
      <c r="V80" s="46"/>
      <c r="W80" s="46"/>
    </row>
    <row r="81">
      <c r="A81" s="55" t="s">
        <v>3371</v>
      </c>
      <c r="B81" s="204" t="s">
        <v>3372</v>
      </c>
      <c r="C81" s="55" t="s">
        <v>3373</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3374</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3375</v>
      </c>
      <c r="I81" s="208" t="s">
        <v>3376</v>
      </c>
      <c r="J81" s="46"/>
      <c r="K81" s="46"/>
      <c r="L81" s="46"/>
      <c r="M81" s="46"/>
      <c r="N81" s="46"/>
      <c r="O81" s="46"/>
      <c r="P81" s="46"/>
      <c r="Q81" s="46"/>
      <c r="R81" s="46"/>
      <c r="S81" s="46"/>
      <c r="T81" s="46"/>
      <c r="U81" s="46"/>
      <c r="V81" s="46"/>
      <c r="W81" s="46"/>
    </row>
    <row r="82">
      <c r="A82" s="55" t="s">
        <v>3377</v>
      </c>
      <c r="B82" s="204" t="s">
        <v>3378</v>
      </c>
      <c r="C82" s="55" t="s">
        <v>3379</v>
      </c>
      <c r="D82" s="203" t="str">
        <f>IFERROR(__xludf.DUMMYFUNCTION("GOOGLETRANSLATE(A82,""zh-tw"",""zh"")"),"ASABA通常会出现在路边的草莓丛中")</f>
        <v>ASABA通常会出现在路边的草莓丛中</v>
      </c>
      <c r="E82" s="207" t="s">
        <v>3380</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3381</v>
      </c>
      <c r="I82" s="141" t="s">
        <v>3382</v>
      </c>
      <c r="J82" s="46"/>
      <c r="K82" s="46"/>
      <c r="L82" s="46"/>
      <c r="M82" s="46"/>
      <c r="N82" s="46"/>
      <c r="O82" s="46"/>
      <c r="P82" s="46"/>
      <c r="Q82" s="46"/>
      <c r="R82" s="46"/>
      <c r="S82" s="46"/>
      <c r="T82" s="46"/>
      <c r="U82" s="46"/>
      <c r="V82" s="46"/>
      <c r="W82" s="46"/>
    </row>
    <row r="83">
      <c r="A83" s="55" t="s">
        <v>3383</v>
      </c>
      <c r="B83" s="204" t="s">
        <v>3384</v>
      </c>
      <c r="C83" s="55" t="s">
        <v>3385</v>
      </c>
      <c r="D83" s="203" t="str">
        <f>IFERROR(__xludf.DUMMYFUNCTION("GOOGLETRANSLATE(A83,""zh-tw"",""zh"")"),"""草莓""食材，目前无实际用途，等待未来更新")</f>
        <v>"草莓"食材，目前无实际用途，等待未来更新</v>
      </c>
      <c r="E83" s="207" t="s">
        <v>3386</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3387</v>
      </c>
      <c r="I83" s="208" t="s">
        <v>3388</v>
      </c>
      <c r="J83" s="46"/>
      <c r="K83" s="46"/>
      <c r="L83" s="46"/>
      <c r="M83" s="46"/>
      <c r="N83" s="46"/>
      <c r="O83" s="46"/>
      <c r="P83" s="46"/>
      <c r="Q83" s="46"/>
      <c r="R83" s="46"/>
      <c r="S83" s="46"/>
      <c r="T83" s="46"/>
      <c r="U83" s="46"/>
      <c r="V83" s="46"/>
      <c r="W83" s="46"/>
    </row>
    <row r="84">
      <c r="A84" s="55" t="s">
        <v>3389</v>
      </c>
      <c r="B84" s="204" t="s">
        <v>3390</v>
      </c>
      <c r="C84" s="55" t="s">
        <v>3391</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3392</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3393</v>
      </c>
      <c r="I84" s="110" t="s">
        <v>3394</v>
      </c>
      <c r="J84" s="46"/>
      <c r="K84" s="46"/>
      <c r="L84" s="46"/>
      <c r="M84" s="46"/>
      <c r="N84" s="46"/>
      <c r="O84" s="46"/>
      <c r="P84" s="46"/>
      <c r="Q84" s="46"/>
      <c r="R84" s="46"/>
      <c r="S84" s="46"/>
      <c r="T84" s="46"/>
      <c r="U84" s="46"/>
      <c r="V84" s="46"/>
      <c r="W84" s="46"/>
    </row>
    <row r="85">
      <c r="A85" s="52" t="s">
        <v>3395</v>
      </c>
      <c r="B85" s="203" t="s">
        <v>3396</v>
      </c>
      <c r="C85" s="52" t="s">
        <v>3397</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3398</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3399</v>
      </c>
      <c r="I85" s="110" t="s">
        <v>3400</v>
      </c>
      <c r="J85" s="46"/>
      <c r="K85" s="46"/>
      <c r="L85" s="46"/>
      <c r="M85" s="46"/>
      <c r="N85" s="46"/>
      <c r="O85" s="46"/>
      <c r="P85" s="46"/>
      <c r="Q85" s="46"/>
      <c r="R85" s="46"/>
      <c r="S85" s="46"/>
      <c r="T85" s="46"/>
      <c r="U85" s="46"/>
      <c r="V85" s="46"/>
      <c r="W85" s="46"/>
    </row>
    <row r="86" ht="53.25" customHeight="1">
      <c r="A86" s="55" t="s">
        <v>3401</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3402</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3403</v>
      </c>
      <c r="I86" s="141" t="s">
        <v>3404</v>
      </c>
      <c r="J86" s="46"/>
      <c r="K86" s="46"/>
      <c r="L86" s="46"/>
      <c r="M86" s="46"/>
      <c r="N86" s="46"/>
      <c r="O86" s="46"/>
      <c r="P86" s="46"/>
      <c r="Q86" s="46"/>
      <c r="R86" s="46"/>
      <c r="S86" s="46"/>
      <c r="T86" s="46"/>
      <c r="U86" s="46"/>
      <c r="V86" s="46"/>
      <c r="W86" s="46"/>
    </row>
    <row r="87">
      <c r="A87" s="52" t="s">
        <v>3405</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3406</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3407</v>
      </c>
      <c r="I87" s="141" t="s">
        <v>3408</v>
      </c>
      <c r="J87" s="46"/>
      <c r="K87" s="46"/>
      <c r="L87" s="46"/>
      <c r="M87" s="46"/>
      <c r="N87" s="46"/>
      <c r="O87" s="46"/>
      <c r="P87" s="46"/>
      <c r="Q87" s="46"/>
      <c r="R87" s="46"/>
      <c r="S87" s="46"/>
      <c r="T87" s="46"/>
      <c r="U87" s="46"/>
      <c r="V87" s="46"/>
      <c r="W87" s="46"/>
    </row>
    <row r="88">
      <c r="A88" s="55" t="s">
        <v>3409</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3410</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3411</v>
      </c>
      <c r="I88" s="141" t="s">
        <v>3412</v>
      </c>
      <c r="J88" s="46"/>
      <c r="K88" s="46"/>
      <c r="L88" s="46"/>
      <c r="M88" s="46"/>
      <c r="N88" s="46"/>
      <c r="O88" s="46"/>
      <c r="P88" s="46"/>
      <c r="Q88" s="46"/>
      <c r="R88" s="46"/>
      <c r="S88" s="46"/>
      <c r="T88" s="46"/>
      <c r="U88" s="46"/>
      <c r="V88" s="46"/>
      <c r="W88" s="46"/>
    </row>
    <row r="89">
      <c r="A89" s="55" t="s">
        <v>3413</v>
      </c>
      <c r="B89" s="204" t="s">
        <v>3414</v>
      </c>
      <c r="C89" s="55" t="s">
        <v>3415</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3416</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3417</v>
      </c>
      <c r="I89" s="141" t="s">
        <v>3418</v>
      </c>
      <c r="J89" s="46"/>
      <c r="K89" s="46"/>
      <c r="L89" s="46"/>
      <c r="M89" s="46"/>
      <c r="N89" s="46"/>
      <c r="O89" s="46"/>
      <c r="P89" s="46"/>
      <c r="Q89" s="46"/>
      <c r="R89" s="46"/>
      <c r="S89" s="46"/>
      <c r="T89" s="46"/>
      <c r="U89" s="46"/>
      <c r="V89" s="46"/>
      <c r="W89" s="46"/>
    </row>
    <row r="90">
      <c r="A90" s="52" t="s">
        <v>3419</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3420</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3421</v>
      </c>
      <c r="I90" s="208" t="s">
        <v>3422</v>
      </c>
      <c r="J90" s="46"/>
      <c r="K90" s="46"/>
      <c r="L90" s="46"/>
      <c r="M90" s="46"/>
      <c r="N90" s="46"/>
      <c r="O90" s="46"/>
      <c r="P90" s="46"/>
      <c r="Q90" s="46"/>
      <c r="R90" s="46"/>
      <c r="S90" s="46"/>
      <c r="T90" s="46"/>
      <c r="U90" s="46"/>
      <c r="V90" s="46"/>
      <c r="W90" s="46"/>
    </row>
    <row r="91">
      <c r="A91" s="52" t="s">
        <v>3423</v>
      </c>
      <c r="B91" s="203" t="str">
        <f>IFERROR(__xludf.DUMMYFUNCTION("GOOGLETRANSLATE(A91,""zh-tw"",""ja"")"),"「冒険者の道：石碑」マップでは、石板で討伐回数を確認できます。")</f>
        <v>「冒険者の道：石碑」マップでは、石板で討伐回数を確認できます。</v>
      </c>
      <c r="C91" s="52" t="s">
        <v>3424</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3425</v>
      </c>
      <c r="I91" s="141" t="s">
        <v>3426</v>
      </c>
      <c r="J91" s="46"/>
      <c r="K91" s="46"/>
      <c r="L91" s="46"/>
      <c r="M91" s="46"/>
      <c r="N91" s="46"/>
      <c r="O91" s="46"/>
      <c r="P91" s="46"/>
      <c r="Q91" s="46"/>
      <c r="R91" s="46"/>
      <c r="S91" s="46"/>
      <c r="T91" s="46"/>
      <c r="U91" s="46"/>
      <c r="V91" s="46"/>
      <c r="W91" s="46"/>
    </row>
    <row r="92">
      <c r="A92" s="55" t="s">
        <v>3427</v>
      </c>
      <c r="B92" s="204" t="s">
        <v>3428</v>
      </c>
      <c r="C92" s="55" t="s">
        <v>3429</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3430</v>
      </c>
      <c r="I92" s="141" t="s">
        <v>3431</v>
      </c>
      <c r="J92" s="46"/>
      <c r="K92" s="46"/>
      <c r="L92" s="46"/>
      <c r="M92" s="46"/>
      <c r="N92" s="46"/>
      <c r="O92" s="46"/>
      <c r="P92" s="46"/>
      <c r="Q92" s="46"/>
      <c r="R92" s="46"/>
      <c r="S92" s="46"/>
      <c r="T92" s="46"/>
      <c r="U92" s="46"/>
      <c r="V92" s="46"/>
      <c r="W92" s="46"/>
    </row>
    <row r="93">
      <c r="A93" s="55" t="s">
        <v>3432</v>
      </c>
      <c r="B93" s="204" t="s">
        <v>3433</v>
      </c>
      <c r="C93" s="55" t="s">
        <v>3434</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3435</v>
      </c>
      <c r="I93" s="141" t="s">
        <v>3436</v>
      </c>
      <c r="J93" s="46"/>
      <c r="K93" s="46"/>
      <c r="L93" s="46"/>
      <c r="M93" s="46"/>
      <c r="N93" s="46"/>
      <c r="O93" s="46"/>
      <c r="P93" s="46"/>
      <c r="Q93" s="46"/>
      <c r="R93" s="46"/>
      <c r="S93" s="46"/>
      <c r="T93" s="46"/>
      <c r="U93" s="46"/>
      <c r="V93" s="46"/>
      <c r="W93" s="46"/>
    </row>
    <row r="94">
      <c r="A94" s="52" t="s">
        <v>3437</v>
      </c>
      <c r="B94" s="203" t="s">
        <v>3438</v>
      </c>
      <c r="C94" s="52" t="s">
        <v>3439</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3440</v>
      </c>
      <c r="J94" s="46"/>
      <c r="K94" s="46"/>
      <c r="L94" s="46"/>
      <c r="M94" s="46"/>
      <c r="N94" s="46"/>
      <c r="O94" s="46"/>
      <c r="P94" s="46"/>
      <c r="Q94" s="46"/>
      <c r="R94" s="46"/>
      <c r="S94" s="46"/>
      <c r="T94" s="46"/>
      <c r="U94" s="46"/>
      <c r="V94" s="46"/>
      <c r="W94" s="46"/>
    </row>
    <row r="95">
      <c r="A95" s="55" t="s">
        <v>3441</v>
      </c>
      <c r="B95" s="204" t="s">
        <v>3442</v>
      </c>
      <c r="C95" s="55" t="s">
        <v>3443</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3444</v>
      </c>
      <c r="I95" s="141" t="s">
        <v>3445</v>
      </c>
      <c r="J95" s="46"/>
      <c r="K95" s="46"/>
      <c r="L95" s="46"/>
      <c r="M95" s="46"/>
      <c r="N95" s="46"/>
      <c r="O95" s="46"/>
      <c r="P95" s="46"/>
      <c r="Q95" s="46"/>
      <c r="R95" s="46"/>
      <c r="S95" s="46"/>
      <c r="T95" s="46"/>
      <c r="U95" s="46"/>
      <c r="V95" s="46"/>
      <c r="W95" s="46"/>
    </row>
    <row r="96">
      <c r="A96" s="52" t="s">
        <v>3446</v>
      </c>
      <c r="B96" s="203" t="s">
        <v>3447</v>
      </c>
      <c r="C96" s="52" t="s">
        <v>3448</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3449</v>
      </c>
      <c r="I96" s="141" t="s">
        <v>3450</v>
      </c>
      <c r="J96" s="46"/>
      <c r="K96" s="46"/>
      <c r="L96" s="46"/>
      <c r="M96" s="46"/>
      <c r="N96" s="46"/>
      <c r="O96" s="46"/>
      <c r="P96" s="46"/>
      <c r="Q96" s="46"/>
      <c r="R96" s="46"/>
      <c r="S96" s="46"/>
      <c r="T96" s="46"/>
      <c r="U96" s="46"/>
      <c r="V96" s="46"/>
      <c r="W96" s="46"/>
    </row>
    <row r="97">
      <c r="A97" s="55" t="s">
        <v>3451</v>
      </c>
      <c r="B97" s="203" t="s">
        <v>3452</v>
      </c>
      <c r="C97" s="55" t="s">
        <v>3453</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3454</v>
      </c>
      <c r="I97" s="141" t="s">
        <v>3455</v>
      </c>
      <c r="J97" s="46"/>
      <c r="K97" s="46"/>
      <c r="L97" s="46"/>
      <c r="M97" s="46"/>
      <c r="N97" s="46"/>
      <c r="O97" s="46"/>
      <c r="P97" s="46"/>
      <c r="Q97" s="46"/>
      <c r="R97" s="46"/>
      <c r="S97" s="46"/>
      <c r="T97" s="46"/>
      <c r="U97" s="46"/>
      <c r="V97" s="46"/>
      <c r="W97" s="46"/>
    </row>
    <row r="98">
      <c r="A98" s="55" t="s">
        <v>3456</v>
      </c>
      <c r="B98" s="204" t="s">
        <v>3457</v>
      </c>
      <c r="C98" s="55" t="s">
        <v>3458</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3459</v>
      </c>
      <c r="I98" s="141" t="s">
        <v>3460</v>
      </c>
      <c r="J98" s="46"/>
      <c r="K98" s="46"/>
      <c r="L98" s="46"/>
      <c r="M98" s="46"/>
      <c r="N98" s="46"/>
      <c r="O98" s="46"/>
      <c r="P98" s="46"/>
      <c r="Q98" s="46"/>
      <c r="R98" s="46"/>
      <c r="S98" s="46"/>
      <c r="T98" s="46"/>
      <c r="U98" s="46"/>
      <c r="V98" s="46"/>
      <c r="W98" s="46"/>
    </row>
    <row r="99">
      <c r="A99" s="55" t="s">
        <v>3461</v>
      </c>
      <c r="B99" s="204" t="s">
        <v>3462</v>
      </c>
      <c r="C99" s="55" t="s">
        <v>3463</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3464</v>
      </c>
      <c r="I99" s="141" t="s">
        <v>3465</v>
      </c>
      <c r="J99" s="46"/>
      <c r="K99" s="46"/>
      <c r="L99" s="46"/>
      <c r="M99" s="46"/>
      <c r="N99" s="46"/>
      <c r="O99" s="46"/>
      <c r="P99" s="46"/>
      <c r="Q99" s="46"/>
      <c r="R99" s="46"/>
      <c r="S99" s="46"/>
      <c r="T99" s="46"/>
      <c r="U99" s="46"/>
      <c r="V99" s="46"/>
      <c r="W99" s="46"/>
    </row>
    <row r="100">
      <c r="A100" s="52" t="s">
        <v>3466</v>
      </c>
      <c r="B100" s="204" t="s">
        <v>3467</v>
      </c>
      <c r="C100" s="55" t="s">
        <v>3468</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3469</v>
      </c>
      <c r="I100" s="141" t="s">
        <v>3470</v>
      </c>
      <c r="J100" s="46"/>
      <c r="K100" s="46"/>
      <c r="L100" s="46"/>
      <c r="M100" s="46"/>
      <c r="N100" s="46"/>
      <c r="O100" s="46"/>
      <c r="P100" s="46"/>
      <c r="Q100" s="46"/>
      <c r="R100" s="46"/>
      <c r="S100" s="46"/>
      <c r="T100" s="46"/>
      <c r="U100" s="46"/>
      <c r="V100" s="46"/>
      <c r="W100" s="46"/>
    </row>
    <row r="101">
      <c r="A101" s="52" t="s">
        <v>3471</v>
      </c>
      <c r="B101" s="204" t="s">
        <v>3472</v>
      </c>
      <c r="C101" s="55" t="s">
        <v>3473</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3474</v>
      </c>
      <c r="I101" s="141" t="s">
        <v>3475</v>
      </c>
      <c r="J101" s="46"/>
      <c r="K101" s="46"/>
      <c r="L101" s="46"/>
      <c r="M101" s="46"/>
      <c r="N101" s="46"/>
      <c r="O101" s="46"/>
      <c r="P101" s="46"/>
      <c r="Q101" s="46"/>
      <c r="R101" s="46"/>
      <c r="S101" s="46"/>
      <c r="T101" s="46"/>
      <c r="U101" s="46"/>
      <c r="V101" s="46"/>
      <c r="W101" s="46"/>
    </row>
    <row r="102">
      <c r="A102" s="52" t="s">
        <v>3476</v>
      </c>
      <c r="B102" s="204" t="s">
        <v>3477</v>
      </c>
      <c r="C102" s="55" t="s">
        <v>3478</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3479</v>
      </c>
      <c r="I102" s="141" t="s">
        <v>3480</v>
      </c>
      <c r="J102" s="46"/>
      <c r="K102" s="46"/>
      <c r="L102" s="46"/>
      <c r="M102" s="46"/>
      <c r="N102" s="46"/>
      <c r="O102" s="46"/>
      <c r="P102" s="46"/>
      <c r="Q102" s="46"/>
      <c r="R102" s="46"/>
      <c r="S102" s="46"/>
      <c r="T102" s="46"/>
      <c r="U102" s="46"/>
      <c r="V102" s="46"/>
      <c r="W102" s="46"/>
    </row>
    <row r="103">
      <c r="A103" s="52" t="s">
        <v>3481</v>
      </c>
      <c r="B103" s="203" t="s">
        <v>3482</v>
      </c>
      <c r="C103" s="52" t="s">
        <v>3483</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Correrá y causará una muerte repentina, matando al jugador al instante.
Al ser mordido por ASABA, consumirá tus reservas de comi"&amp;"da y restaurará tu salud. Si ingiere comida venenosa, se envenenará.")</f>
        <v>Acerca de "ASABA Furioso"
Saltar lateralmente esquivará todos los ataques.
Girar desviará la mayoría de los proyectiles.
Correrá y causará una muerte repentina, matando al jugador al instante.
Al ser mordido por ASABA, consumirá tus reservas de comida y restaurará tu salud. Si ingiere comida venenosa, se envenenará.</v>
      </c>
      <c r="F103" s="204" t="str">
        <f>IFERROR(__xludf.DUMMYFUNCTION("GOOGLETRANSLATE(A103,""zh-tw"",""KO"")"),"""격노한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f>
        <v>"격노한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от"&amp;"равится.")</f>
        <v>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отравится.</v>
      </c>
      <c r="H103" s="203" t="s">
        <v>3484</v>
      </c>
      <c r="I103" s="141" t="s">
        <v>3485</v>
      </c>
      <c r="J103" s="46"/>
      <c r="K103" s="46"/>
      <c r="L103" s="46"/>
      <c r="M103" s="46"/>
      <c r="N103" s="46"/>
      <c r="O103" s="46"/>
      <c r="P103" s="46"/>
      <c r="Q103" s="46"/>
      <c r="R103" s="46"/>
      <c r="S103" s="46"/>
      <c r="T103" s="46"/>
      <c r="U103" s="46"/>
      <c r="V103" s="46"/>
      <c r="W103" s="46"/>
    </row>
    <row r="104">
      <c r="A104" s="52" t="s">
        <v>3486</v>
      </c>
      <c r="B104" s="203" t="s">
        <v>3487</v>
      </c>
      <c r="C104" s="52" t="s">
        <v>3488</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3489</v>
      </c>
      <c r="J104" s="46"/>
      <c r="K104" s="46"/>
      <c r="L104" s="46"/>
      <c r="M104" s="46"/>
      <c r="N104" s="46"/>
      <c r="O104" s="46"/>
      <c r="P104" s="46"/>
      <c r="Q104" s="46"/>
      <c r="R104" s="46"/>
      <c r="S104" s="46"/>
      <c r="T104" s="46"/>
      <c r="U104" s="46"/>
      <c r="V104" s="46"/>
      <c r="W104" s="46"/>
    </row>
    <row r="105">
      <c r="A105" s="52" t="s">
        <v>3490</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3491</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3492</v>
      </c>
      <c r="J105" s="46"/>
      <c r="K105" s="46"/>
      <c r="L105" s="46"/>
      <c r="M105" s="46"/>
      <c r="N105" s="46"/>
      <c r="O105" s="46"/>
      <c r="P105" s="46"/>
      <c r="Q105" s="46"/>
      <c r="R105" s="46"/>
      <c r="S105" s="46"/>
      <c r="T105" s="46"/>
      <c r="U105" s="46"/>
      <c r="V105" s="46"/>
      <c r="W105" s="46"/>
    </row>
    <row r="106">
      <c r="A106" s="52" t="s">
        <v>3493</v>
      </c>
      <c r="B106" s="203" t="s">
        <v>3494</v>
      </c>
      <c r="C106" s="52" t="s">
        <v>3495</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3496</v>
      </c>
      <c r="I106" s="141" t="s">
        <v>3497</v>
      </c>
      <c r="J106" s="46"/>
      <c r="K106" s="46"/>
      <c r="L106" s="46"/>
      <c r="M106" s="46"/>
      <c r="N106" s="46"/>
      <c r="O106" s="46"/>
      <c r="P106" s="46"/>
      <c r="Q106" s="46"/>
      <c r="R106" s="46"/>
      <c r="S106" s="46"/>
      <c r="T106" s="46"/>
      <c r="U106" s="46"/>
      <c r="V106" s="46"/>
      <c r="W106" s="46"/>
    </row>
    <row r="107">
      <c r="A107" s="52" t="s">
        <v>3498</v>
      </c>
      <c r="B107" s="203" t="s">
        <v>3499</v>
      </c>
      <c r="C107" s="52" t="s">
        <v>3500</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3501</v>
      </c>
      <c r="I107" s="141" t="s">
        <v>3502</v>
      </c>
      <c r="J107" s="46"/>
      <c r="K107" s="46"/>
      <c r="L107" s="46"/>
      <c r="M107" s="46"/>
      <c r="N107" s="46"/>
      <c r="O107" s="46"/>
      <c r="P107" s="46"/>
      <c r="Q107" s="46"/>
      <c r="R107" s="46"/>
      <c r="S107" s="46"/>
      <c r="T107" s="46"/>
      <c r="U107" s="46"/>
      <c r="V107" s="46"/>
      <c r="W107" s="46"/>
    </row>
    <row r="108">
      <c r="A108" s="52" t="s">
        <v>3503</v>
      </c>
      <c r="B108" s="203" t="s">
        <v>3504</v>
      </c>
      <c r="C108" s="52" t="s">
        <v>3505</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3506</v>
      </c>
      <c r="I108" s="141" t="s">
        <v>3507</v>
      </c>
      <c r="J108" s="46"/>
      <c r="K108" s="46"/>
      <c r="L108" s="46"/>
      <c r="M108" s="46"/>
      <c r="N108" s="46"/>
      <c r="O108" s="46"/>
      <c r="P108" s="46"/>
      <c r="Q108" s="46"/>
      <c r="R108" s="46"/>
      <c r="S108" s="46"/>
      <c r="T108" s="46"/>
      <c r="U108" s="46"/>
      <c r="V108" s="46"/>
      <c r="W108" s="46"/>
    </row>
    <row r="109">
      <c r="A109" s="52" t="s">
        <v>3508</v>
      </c>
      <c r="B109" s="203" t="s">
        <v>3509</v>
      </c>
      <c r="C109" s="52" t="s">
        <v>3510</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3511</v>
      </c>
      <c r="I109" s="110" t="s">
        <v>3512</v>
      </c>
      <c r="J109" s="46"/>
      <c r="K109" s="46"/>
      <c r="L109" s="46"/>
      <c r="M109" s="46"/>
      <c r="N109" s="46"/>
      <c r="O109" s="46"/>
      <c r="P109" s="46"/>
      <c r="Q109" s="46"/>
      <c r="R109" s="46"/>
      <c r="S109" s="46"/>
      <c r="T109" s="46"/>
      <c r="U109" s="46"/>
      <c r="V109" s="46"/>
      <c r="W109" s="46"/>
    </row>
    <row r="110">
      <c r="A110" s="52" t="s">
        <v>3513</v>
      </c>
      <c r="B110" s="203" t="s">
        <v>3514</v>
      </c>
      <c r="C110" s="52" t="s">
        <v>3515</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3516</v>
      </c>
      <c r="I110" s="141" t="s">
        <v>3517</v>
      </c>
      <c r="J110" s="46"/>
      <c r="K110" s="46"/>
      <c r="L110" s="46"/>
      <c r="M110" s="46"/>
      <c r="N110" s="46"/>
      <c r="O110" s="46"/>
      <c r="P110" s="46"/>
      <c r="Q110" s="46"/>
      <c r="R110" s="46"/>
      <c r="S110" s="46"/>
      <c r="T110" s="46"/>
      <c r="U110" s="46"/>
      <c r="V110" s="46"/>
      <c r="W110" s="46"/>
    </row>
    <row r="111">
      <c r="A111" s="52" t="s">
        <v>3518</v>
      </c>
      <c r="B111" s="203" t="s">
        <v>3519</v>
      </c>
      <c r="C111" s="52" t="s">
        <v>3520</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3521</v>
      </c>
      <c r="I111" s="141" t="s">
        <v>3522</v>
      </c>
      <c r="J111" s="46"/>
      <c r="K111" s="46"/>
      <c r="L111" s="46"/>
      <c r="M111" s="46"/>
      <c r="N111" s="46"/>
      <c r="O111" s="46"/>
      <c r="P111" s="46"/>
      <c r="Q111" s="46"/>
      <c r="R111" s="46"/>
      <c r="S111" s="46"/>
      <c r="T111" s="46"/>
      <c r="U111" s="46"/>
      <c r="V111" s="46"/>
      <c r="W111" s="46"/>
    </row>
    <row r="112">
      <c r="A112" s="52" t="s">
        <v>3523</v>
      </c>
      <c r="B112" s="203" t="s">
        <v>3524</v>
      </c>
      <c r="C112" s="52" t="s">
        <v>3525</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3526</v>
      </c>
      <c r="I112" s="141" t="s">
        <v>3527</v>
      </c>
      <c r="J112" s="46"/>
      <c r="K112" s="46"/>
      <c r="L112" s="46"/>
      <c r="M112" s="46"/>
      <c r="N112" s="46"/>
      <c r="O112" s="46"/>
      <c r="P112" s="46"/>
      <c r="Q112" s="46"/>
      <c r="R112" s="46"/>
      <c r="S112" s="46"/>
      <c r="T112" s="46"/>
      <c r="U112" s="46"/>
      <c r="V112" s="46"/>
      <c r="W112" s="46"/>
    </row>
    <row r="113">
      <c r="A113" s="52" t="s">
        <v>3528</v>
      </c>
      <c r="B113" s="203" t="s">
        <v>3529</v>
      </c>
      <c r="C113" s="52" t="s">
        <v>3530</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3531</v>
      </c>
      <c r="I113" s="141" t="s">
        <v>3532</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3533</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3534</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3535</v>
      </c>
      <c r="I3" s="221"/>
      <c r="J3" s="220" t="s">
        <v>3536</v>
      </c>
      <c r="M3" s="221"/>
      <c r="N3" s="220" t="s">
        <v>3537</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3538</v>
      </c>
      <c r="B5" s="224"/>
      <c r="C5" s="224"/>
      <c r="D5" s="224"/>
      <c r="E5" s="225"/>
      <c r="F5" s="223" t="str">
        <f>IFERROR(__xludf.DUMMYFUNCTION("GOOGLETRANSLATE(A5,""zh-tw"",""ja"")"),"野生地域")</f>
        <v>野生地域</v>
      </c>
      <c r="G5" s="224"/>
      <c r="H5" s="224"/>
      <c r="I5" s="225"/>
      <c r="J5" s="223" t="s">
        <v>3539</v>
      </c>
      <c r="K5" s="224"/>
      <c r="L5" s="224"/>
      <c r="M5" s="225"/>
      <c r="N5" s="226" t="s">
        <v>3540</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3541</v>
      </c>
      <c r="F6" s="231" t="s">
        <v>723</v>
      </c>
      <c r="G6" s="232" t="s">
        <v>723</v>
      </c>
      <c r="H6" s="233" t="s">
        <v>3542</v>
      </c>
      <c r="I6" s="231" t="s">
        <v>723</v>
      </c>
      <c r="J6" s="234" t="s">
        <v>723</v>
      </c>
      <c r="K6" s="235" t="s">
        <v>723</v>
      </c>
      <c r="L6" s="234" t="s">
        <v>723</v>
      </c>
      <c r="M6" s="236" t="s">
        <v>3543</v>
      </c>
      <c r="N6" s="237" t="s">
        <v>723</v>
      </c>
      <c r="O6" s="237" t="s">
        <v>723</v>
      </c>
      <c r="P6" s="238" t="s">
        <v>723</v>
      </c>
      <c r="Q6" s="238" t="s">
        <v>723</v>
      </c>
      <c r="R6" s="239" t="s">
        <v>3544</v>
      </c>
      <c r="S6" s="240"/>
      <c r="T6" s="241"/>
      <c r="U6" s="241"/>
      <c r="V6" s="242"/>
      <c r="W6" s="243"/>
      <c r="X6" s="243"/>
      <c r="Y6" s="243"/>
      <c r="Z6" s="243"/>
      <c r="AA6" s="243"/>
    </row>
    <row r="7" ht="75.0" customHeight="1">
      <c r="A7" s="229" t="s">
        <v>723</v>
      </c>
      <c r="B7" s="229" t="s">
        <v>723</v>
      </c>
      <c r="C7" s="229" t="s">
        <v>3545</v>
      </c>
      <c r="D7" s="244" t="s">
        <v>3546</v>
      </c>
      <c r="E7" s="245" t="s">
        <v>3547</v>
      </c>
      <c r="F7" s="231" t="str">
        <f>IFERROR(__xludf.DUMMYFUNCTION("GOOGLETRANSLATE(B7,""zh-tw"",""ja"")"),"-")</f>
        <v>-</v>
      </c>
      <c r="G7" s="232" t="s">
        <v>3548</v>
      </c>
      <c r="H7" s="246" t="s">
        <v>3549</v>
      </c>
      <c r="I7" s="231" t="str">
        <f>IFERROR(__xludf.DUMMYFUNCTION("GOOGLETRANSLATE(#REF!,""zh-tw"",""ja"")"),"#REF!")</f>
        <v>#REF!</v>
      </c>
      <c r="J7" s="234" t="str">
        <f>IFERROR(__xludf.DUMMYFUNCTION("GOOGLETRANSLATE(B7,""zh-tw"",""en"")"),"-")</f>
        <v>-</v>
      </c>
      <c r="K7" s="235" t="s">
        <v>3550</v>
      </c>
      <c r="L7" s="234" t="str">
        <f>IFERROR(__xludf.DUMMYFUNCTION("GOOGLETRANSLATE(D7,""zh-tw"",""en"")"),"Development Area (Mine)-2")</f>
        <v>Development Area (Mine)-2</v>
      </c>
      <c r="M7" s="247" t="s">
        <v>3551</v>
      </c>
      <c r="N7" s="237" t="s">
        <v>723</v>
      </c>
      <c r="O7" s="237" t="str">
        <f>IFERROR(__xludf.DUMMYFUNCTION("GOOGLETRANSLATE(B7,""zh-tw"",""zh"")"),"-")</f>
        <v>-</v>
      </c>
      <c r="P7" s="238" t="s">
        <v>3552</v>
      </c>
      <c r="Q7" s="248" t="s">
        <v>723</v>
      </c>
      <c r="R7" s="249" t="s">
        <v>3553</v>
      </c>
      <c r="S7" s="240"/>
      <c r="T7" s="241"/>
      <c r="U7" s="241"/>
      <c r="V7" s="250"/>
      <c r="W7" s="243"/>
      <c r="X7" s="243"/>
      <c r="Y7" s="243"/>
      <c r="Z7" s="243"/>
      <c r="AA7" s="243"/>
    </row>
    <row r="8">
      <c r="A8" s="229" t="s">
        <v>723</v>
      </c>
      <c r="B8" s="230" t="s">
        <v>3554</v>
      </c>
      <c r="C8" s="230" t="s">
        <v>3555</v>
      </c>
      <c r="D8" s="230" t="s">
        <v>3556</v>
      </c>
      <c r="E8" s="229" t="s">
        <v>3557</v>
      </c>
      <c r="F8" s="233" t="s">
        <v>3558</v>
      </c>
      <c r="G8" s="233" t="s">
        <v>3559</v>
      </c>
      <c r="H8" s="231" t="s">
        <v>3560</v>
      </c>
      <c r="I8" s="231" t="str">
        <f>IFERROR(__xludf.DUMMYFUNCTION("GOOGLETRANSLATE(#REF!,""zh-tw"",""ja"")"),"#REF!")</f>
        <v>#REF!</v>
      </c>
      <c r="J8" s="236" t="s">
        <v>3561</v>
      </c>
      <c r="K8" s="236" t="s">
        <v>3562</v>
      </c>
      <c r="L8" s="234" t="s">
        <v>3563</v>
      </c>
      <c r="M8" s="234" t="s">
        <v>3563</v>
      </c>
      <c r="N8" s="237" t="s">
        <v>723</v>
      </c>
      <c r="O8" s="239" t="s">
        <v>3564</v>
      </c>
      <c r="P8" s="239" t="s">
        <v>3565</v>
      </c>
      <c r="Q8" s="239" t="s">
        <v>3566</v>
      </c>
      <c r="R8" s="237" t="s">
        <v>3567</v>
      </c>
      <c r="S8" s="251"/>
      <c r="T8" s="241"/>
      <c r="U8" s="241"/>
      <c r="V8" s="241"/>
      <c r="W8" s="243"/>
      <c r="X8" s="243"/>
      <c r="Y8" s="243"/>
      <c r="Z8" s="243"/>
      <c r="AA8" s="243"/>
    </row>
    <row r="9">
      <c r="A9" s="229" t="s">
        <v>723</v>
      </c>
      <c r="B9" s="230" t="s">
        <v>3568</v>
      </c>
      <c r="C9" s="230" t="s">
        <v>3569</v>
      </c>
      <c r="D9" s="244" t="s">
        <v>723</v>
      </c>
      <c r="E9" s="252" t="s">
        <v>3570</v>
      </c>
      <c r="F9" s="233" t="s">
        <v>3571</v>
      </c>
      <c r="G9" s="233" t="s">
        <v>3572</v>
      </c>
      <c r="H9" s="233" t="s">
        <v>3573</v>
      </c>
      <c r="I9" s="231" t="s">
        <v>723</v>
      </c>
      <c r="J9" s="236" t="s">
        <v>3574</v>
      </c>
      <c r="K9" s="236" t="s">
        <v>3575</v>
      </c>
      <c r="L9" s="235" t="s">
        <v>723</v>
      </c>
      <c r="M9" s="236" t="s">
        <v>3576</v>
      </c>
      <c r="N9" s="237" t="s">
        <v>723</v>
      </c>
      <c r="O9" s="239" t="s">
        <v>3577</v>
      </c>
      <c r="P9" s="239" t="s">
        <v>3578</v>
      </c>
      <c r="Q9" s="238" t="s">
        <v>723</v>
      </c>
      <c r="R9" s="239" t="s">
        <v>3579</v>
      </c>
      <c r="S9" s="240"/>
      <c r="T9" s="241"/>
      <c r="U9" s="241"/>
      <c r="V9" s="241"/>
      <c r="W9" s="243"/>
      <c r="X9" s="243"/>
      <c r="Y9" s="243"/>
      <c r="Z9" s="243"/>
      <c r="AA9" s="243"/>
    </row>
    <row r="10" ht="60.0" customHeight="1">
      <c r="A10" s="229" t="s">
        <v>723</v>
      </c>
      <c r="B10" s="230" t="s">
        <v>3580</v>
      </c>
      <c r="C10" s="253" t="s">
        <v>3581</v>
      </c>
      <c r="D10" s="230" t="s">
        <v>3582</v>
      </c>
      <c r="E10" s="230" t="s">
        <v>3583</v>
      </c>
      <c r="F10" s="233" t="s">
        <v>3584</v>
      </c>
      <c r="G10" s="254" t="s">
        <v>3585</v>
      </c>
      <c r="H10" s="233" t="s">
        <v>3586</v>
      </c>
      <c r="I10" s="232" t="s">
        <v>723</v>
      </c>
      <c r="J10" s="236" t="s">
        <v>3587</v>
      </c>
      <c r="K10" s="255" t="s">
        <v>3588</v>
      </c>
      <c r="L10" s="236" t="s">
        <v>3589</v>
      </c>
      <c r="M10" s="236" t="s">
        <v>3590</v>
      </c>
      <c r="N10" s="237" t="s">
        <v>723</v>
      </c>
      <c r="O10" s="256" t="s">
        <v>3591</v>
      </c>
      <c r="P10" s="257" t="s">
        <v>3592</v>
      </c>
      <c r="Q10" s="239" t="s">
        <v>3593</v>
      </c>
      <c r="R10" s="258" t="s">
        <v>3594</v>
      </c>
      <c r="S10" s="240"/>
      <c r="T10" s="259"/>
      <c r="U10" s="241"/>
      <c r="V10" s="241"/>
      <c r="W10" s="260"/>
      <c r="X10" s="260"/>
      <c r="Y10" s="260"/>
      <c r="Z10" s="260"/>
      <c r="AA10" s="260"/>
    </row>
    <row r="11" ht="65.25" customHeight="1">
      <c r="A11" s="229" t="s">
        <v>723</v>
      </c>
      <c r="B11" s="230" t="s">
        <v>3595</v>
      </c>
      <c r="C11" s="261"/>
      <c r="D11" s="245" t="s">
        <v>3596</v>
      </c>
      <c r="E11" s="245" t="s">
        <v>3597</v>
      </c>
      <c r="F11" s="233" t="s">
        <v>3598</v>
      </c>
      <c r="G11" s="261"/>
      <c r="H11" s="233" t="s">
        <v>3599</v>
      </c>
      <c r="I11" s="233" t="s">
        <v>3600</v>
      </c>
      <c r="J11" s="236" t="s">
        <v>3601</v>
      </c>
      <c r="K11" s="261"/>
      <c r="L11" s="236" t="s">
        <v>3602</v>
      </c>
      <c r="M11" s="236" t="s">
        <v>3603</v>
      </c>
      <c r="N11" s="237" t="s">
        <v>723</v>
      </c>
      <c r="O11" s="239" t="s">
        <v>3604</v>
      </c>
      <c r="P11" s="261"/>
      <c r="Q11" s="239" t="s">
        <v>3605</v>
      </c>
      <c r="R11" s="239" t="s">
        <v>3606</v>
      </c>
      <c r="S11" s="240"/>
      <c r="T11" s="219"/>
      <c r="U11" s="241"/>
      <c r="V11" s="241"/>
      <c r="W11" s="262"/>
      <c r="X11" s="262"/>
      <c r="Y11" s="262"/>
      <c r="Z11" s="262"/>
      <c r="AA11" s="262"/>
    </row>
    <row r="12">
      <c r="A12" s="229" t="s">
        <v>723</v>
      </c>
      <c r="B12" s="230" t="s">
        <v>3607</v>
      </c>
      <c r="C12" s="229" t="s">
        <v>3608</v>
      </c>
      <c r="D12" s="230" t="s">
        <v>3609</v>
      </c>
      <c r="E12" s="245" t="s">
        <v>3610</v>
      </c>
      <c r="F12" s="233" t="s">
        <v>3611</v>
      </c>
      <c r="G12" s="231" t="s">
        <v>3612</v>
      </c>
      <c r="H12" s="231" t="str">
        <f>IFERROR(__xludf.DUMMYFUNCTION("GOOGLETRANSLATE(D12,""zh-tw"",""ja"")"),"▲
ハンターズロッジ
R69
▼")</f>
        <v>▲
ハンターズロッジ
R69
▼</v>
      </c>
      <c r="I12" s="231" t="str">
        <f>IFERROR(__xludf.DUMMYFUNCTION("GOOGLETRANSLATE(#REF!,""zh-tw"",""ja"")"),"#REF!")</f>
        <v>#REF!</v>
      </c>
      <c r="J12" s="236" t="s">
        <v>3613</v>
      </c>
      <c r="K12" s="234" t="s">
        <v>3614</v>
      </c>
      <c r="L12" s="234" t="s">
        <v>3615</v>
      </c>
      <c r="M12" s="236" t="s">
        <v>3616</v>
      </c>
      <c r="N12" s="237" t="s">
        <v>723</v>
      </c>
      <c r="O12" s="239" t="s">
        <v>3617</v>
      </c>
      <c r="P12" s="237" t="str">
        <f>IFERROR(__xludf.DUMMYFUNCTION("GOOGLETRANSLATE(C12,""zh-tw"",""zh"")"),"提前回家
R1")</f>
        <v>提前回家
R1</v>
      </c>
      <c r="Q12" s="239" t="s">
        <v>3618</v>
      </c>
      <c r="R12" s="239" t="s">
        <v>3619</v>
      </c>
      <c r="S12" s="240"/>
      <c r="T12" s="241"/>
      <c r="U12" s="241"/>
      <c r="V12" s="241"/>
      <c r="W12" s="243"/>
      <c r="X12" s="243"/>
      <c r="Y12" s="243"/>
      <c r="Z12" s="243"/>
      <c r="AA12" s="243"/>
    </row>
    <row r="13">
      <c r="A13" s="229" t="s">
        <v>723</v>
      </c>
      <c r="B13" s="230" t="s">
        <v>3620</v>
      </c>
      <c r="C13" s="229" t="s">
        <v>3621</v>
      </c>
      <c r="D13" s="230" t="s">
        <v>3622</v>
      </c>
      <c r="E13" s="229" t="s">
        <v>723</v>
      </c>
      <c r="F13" s="232"/>
      <c r="G13" s="231"/>
      <c r="H13" s="231"/>
      <c r="I13" s="231"/>
      <c r="J13" s="236" t="s">
        <v>3623</v>
      </c>
      <c r="K13" s="234" t="s">
        <v>3624</v>
      </c>
      <c r="L13" s="234" t="s">
        <v>3625</v>
      </c>
      <c r="M13" s="234"/>
      <c r="N13" s="237" t="s">
        <v>723</v>
      </c>
      <c r="O13" s="239" t="s">
        <v>3626</v>
      </c>
      <c r="P13" s="237" t="s">
        <v>3627</v>
      </c>
      <c r="Q13" s="239" t="s">
        <v>3628</v>
      </c>
      <c r="R13" s="237" t="s">
        <v>723</v>
      </c>
      <c r="S13" s="240"/>
      <c r="T13" s="241"/>
      <c r="U13" s="241"/>
      <c r="V13" s="263"/>
      <c r="W13" s="243"/>
      <c r="X13" s="243"/>
      <c r="Y13" s="243"/>
      <c r="Z13" s="243"/>
      <c r="AA13" s="243"/>
    </row>
    <row r="14">
      <c r="A14" s="229" t="s">
        <v>723</v>
      </c>
      <c r="B14" s="230" t="s">
        <v>3629</v>
      </c>
      <c r="C14" s="229" t="s">
        <v>2563</v>
      </c>
      <c r="D14" s="229" t="s">
        <v>723</v>
      </c>
      <c r="E14" s="229" t="s">
        <v>723</v>
      </c>
      <c r="F14" s="232"/>
      <c r="G14" s="231"/>
      <c r="H14" s="231"/>
      <c r="I14" s="231"/>
      <c r="J14" s="236" t="s">
        <v>3630</v>
      </c>
      <c r="K14" s="234" t="s">
        <v>2569</v>
      </c>
      <c r="L14" s="234"/>
      <c r="M14" s="234"/>
      <c r="N14" s="237" t="s">
        <v>723</v>
      </c>
      <c r="O14" s="239" t="s">
        <v>3631</v>
      </c>
      <c r="P14" s="237" t="s">
        <v>3632</v>
      </c>
      <c r="Q14" s="237" t="s">
        <v>723</v>
      </c>
      <c r="R14" s="237" t="s">
        <v>723</v>
      </c>
      <c r="S14" s="264"/>
      <c r="T14" s="241"/>
      <c r="U14" s="263"/>
      <c r="V14" s="263"/>
      <c r="W14" s="243"/>
      <c r="X14" s="243"/>
      <c r="Y14" s="243"/>
      <c r="Z14" s="243"/>
      <c r="AA14" s="243"/>
    </row>
    <row r="15">
      <c r="A15" s="229" t="s">
        <v>3633</v>
      </c>
      <c r="B15" s="230" t="s">
        <v>3634</v>
      </c>
      <c r="C15" s="229" t="s">
        <v>3635</v>
      </c>
      <c r="D15" s="229" t="s">
        <v>723</v>
      </c>
      <c r="E15" s="229" t="s">
        <v>723</v>
      </c>
      <c r="F15" s="232"/>
      <c r="G15" s="231"/>
      <c r="H15" s="231"/>
      <c r="I15" s="231"/>
      <c r="J15" s="236" t="s">
        <v>3636</v>
      </c>
      <c r="K15" s="234" t="s">
        <v>3637</v>
      </c>
      <c r="L15" s="234"/>
      <c r="M15" s="234"/>
      <c r="N15" s="237" t="s">
        <v>3638</v>
      </c>
      <c r="O15" s="239" t="s">
        <v>3639</v>
      </c>
      <c r="P15" s="237" t="s">
        <v>3638</v>
      </c>
      <c r="Q15" s="237" t="s">
        <v>723</v>
      </c>
      <c r="R15" s="237" t="s">
        <v>723</v>
      </c>
      <c r="S15" s="240"/>
      <c r="T15" s="241"/>
      <c r="U15" s="263"/>
      <c r="V15" s="263"/>
      <c r="W15" s="243"/>
      <c r="X15" s="243"/>
      <c r="Y15" s="243"/>
      <c r="Z15" s="243"/>
      <c r="AA15" s="243"/>
    </row>
    <row r="16">
      <c r="A16" s="223" t="s">
        <v>3545</v>
      </c>
      <c r="B16" s="224"/>
      <c r="C16" s="224"/>
      <c r="D16" s="224"/>
      <c r="E16" s="225"/>
      <c r="F16" s="223" t="str">
        <f>IFERROR(__xludf.DUMMYFUNCTION("GOOGLETRANSLATE(A16,""zh-tw"",""ja"")"),"遺跡エリア")</f>
        <v>遺跡エリア</v>
      </c>
      <c r="G16" s="224"/>
      <c r="H16" s="224"/>
      <c r="I16" s="225"/>
      <c r="J16" s="223" t="s">
        <v>3640</v>
      </c>
      <c r="K16" s="224"/>
      <c r="L16" s="224"/>
      <c r="M16" s="225"/>
      <c r="N16" s="223" t="s">
        <v>3552</v>
      </c>
      <c r="O16" s="224"/>
      <c r="P16" s="224"/>
      <c r="Q16" s="224"/>
      <c r="R16" s="225"/>
      <c r="S16" s="265"/>
      <c r="T16" s="218"/>
      <c r="U16" s="218"/>
      <c r="V16" s="219"/>
      <c r="W16" s="266"/>
      <c r="X16" s="266"/>
      <c r="Y16" s="266"/>
      <c r="Z16" s="266"/>
      <c r="AA16" s="266"/>
      <c r="AB16" s="266"/>
    </row>
    <row r="17">
      <c r="A17" s="229" t="s">
        <v>723</v>
      </c>
      <c r="B17" s="229" t="s">
        <v>723</v>
      </c>
      <c r="C17" s="230" t="s">
        <v>3641</v>
      </c>
      <c r="D17" s="229" t="s">
        <v>723</v>
      </c>
      <c r="E17" s="229" t="s">
        <v>723</v>
      </c>
      <c r="F17" s="231"/>
      <c r="G17" s="267" t="s">
        <v>3642</v>
      </c>
      <c r="H17" s="268"/>
      <c r="I17" s="268"/>
      <c r="J17" s="269"/>
      <c r="K17" s="270" t="s">
        <v>3643</v>
      </c>
      <c r="L17" s="269"/>
      <c r="M17" s="269"/>
      <c r="N17" s="271" t="s">
        <v>723</v>
      </c>
      <c r="O17" s="271" t="s">
        <v>723</v>
      </c>
      <c r="P17" s="272" t="s">
        <v>3644</v>
      </c>
      <c r="Q17" s="271" t="s">
        <v>723</v>
      </c>
      <c r="R17" s="271" t="s">
        <v>723</v>
      </c>
      <c r="S17" s="273"/>
      <c r="T17" s="274"/>
      <c r="U17" s="263"/>
      <c r="V17" s="263"/>
      <c r="W17" s="275"/>
      <c r="X17" s="275"/>
      <c r="Y17" s="275"/>
      <c r="Z17" s="275"/>
      <c r="AA17" s="275"/>
      <c r="AB17" s="275"/>
    </row>
    <row r="18">
      <c r="A18" s="229" t="s">
        <v>723</v>
      </c>
      <c r="B18" s="230" t="s">
        <v>3645</v>
      </c>
      <c r="C18" s="230" t="s">
        <v>3646</v>
      </c>
      <c r="D18" s="229" t="s">
        <v>723</v>
      </c>
      <c r="E18" s="229" t="s">
        <v>723</v>
      </c>
      <c r="F18" s="233" t="s">
        <v>3647</v>
      </c>
      <c r="G18" s="233" t="s">
        <v>3648</v>
      </c>
      <c r="H18" s="268"/>
      <c r="I18" s="268"/>
      <c r="J18" s="276" t="s">
        <v>3649</v>
      </c>
      <c r="K18" s="277" t="s">
        <v>3650</v>
      </c>
      <c r="L18" s="269"/>
      <c r="M18" s="269"/>
      <c r="N18" s="271" t="s">
        <v>723</v>
      </c>
      <c r="O18" s="278" t="s">
        <v>3651</v>
      </c>
      <c r="P18" s="278" t="s">
        <v>3652</v>
      </c>
      <c r="Q18" s="271" t="s">
        <v>723</v>
      </c>
      <c r="R18" s="271" t="s">
        <v>723</v>
      </c>
      <c r="S18" s="251"/>
      <c r="T18" s="241"/>
      <c r="U18" s="263"/>
      <c r="V18" s="263"/>
      <c r="W18" s="275"/>
      <c r="X18" s="275"/>
      <c r="Y18" s="275"/>
      <c r="Z18" s="275"/>
      <c r="AA18" s="275"/>
      <c r="AB18" s="275"/>
    </row>
    <row r="19">
      <c r="A19" s="229" t="s">
        <v>723</v>
      </c>
      <c r="B19" s="229" t="s">
        <v>723</v>
      </c>
      <c r="C19" s="279" t="s">
        <v>3653</v>
      </c>
      <c r="D19" s="229" t="s">
        <v>3654</v>
      </c>
      <c r="E19" s="229" t="s">
        <v>723</v>
      </c>
      <c r="F19" s="231"/>
      <c r="G19" s="280" t="s">
        <v>3655</v>
      </c>
      <c r="H19" s="268"/>
      <c r="I19" s="268"/>
      <c r="J19" s="269"/>
      <c r="K19" s="281" t="s">
        <v>3656</v>
      </c>
      <c r="L19" s="269"/>
      <c r="M19" s="269"/>
      <c r="N19" s="271" t="s">
        <v>723</v>
      </c>
      <c r="O19" s="271" t="s">
        <v>723</v>
      </c>
      <c r="P19" s="282" t="s">
        <v>3657</v>
      </c>
      <c r="Q19" s="271" t="s">
        <v>3658</v>
      </c>
      <c r="R19" s="271" t="s">
        <v>723</v>
      </c>
      <c r="S19" s="273"/>
      <c r="T19" s="250"/>
      <c r="U19" s="263"/>
      <c r="V19" s="263"/>
      <c r="W19" s="275"/>
      <c r="X19" s="275"/>
      <c r="Y19" s="275"/>
      <c r="Z19" s="275"/>
      <c r="AA19" s="275"/>
      <c r="AB19" s="275"/>
    </row>
    <row r="20">
      <c r="A20" s="229" t="s">
        <v>723</v>
      </c>
      <c r="B20" s="229" t="s">
        <v>723</v>
      </c>
      <c r="C20" s="279" t="s">
        <v>3659</v>
      </c>
      <c r="D20" s="230" t="s">
        <v>3660</v>
      </c>
      <c r="E20" s="229" t="s">
        <v>723</v>
      </c>
      <c r="F20" s="231"/>
      <c r="G20" s="280" t="s">
        <v>3661</v>
      </c>
      <c r="H20" s="233" t="s">
        <v>3662</v>
      </c>
      <c r="I20" s="268"/>
      <c r="J20" s="269"/>
      <c r="K20" s="283" t="s">
        <v>3663</v>
      </c>
      <c r="L20" s="236" t="s">
        <v>3664</v>
      </c>
      <c r="M20" s="269"/>
      <c r="N20" s="271" t="s">
        <v>723</v>
      </c>
      <c r="O20" s="271" t="s">
        <v>723</v>
      </c>
      <c r="P20" s="284" t="s">
        <v>3665</v>
      </c>
      <c r="Q20" s="278" t="s">
        <v>3666</v>
      </c>
      <c r="R20" s="271" t="s">
        <v>723</v>
      </c>
      <c r="S20" s="273"/>
      <c r="T20" s="241"/>
      <c r="U20" s="242"/>
      <c r="V20" s="263"/>
      <c r="W20" s="275"/>
      <c r="X20" s="275"/>
      <c r="Y20" s="275"/>
      <c r="Z20" s="275"/>
      <c r="AA20" s="275"/>
      <c r="AB20" s="275"/>
    </row>
    <row r="21">
      <c r="A21" s="285" t="s">
        <v>723</v>
      </c>
      <c r="B21" s="285" t="s">
        <v>723</v>
      </c>
      <c r="C21" s="230" t="s">
        <v>3667</v>
      </c>
      <c r="D21" s="229" t="s">
        <v>723</v>
      </c>
      <c r="E21" s="229" t="s">
        <v>723</v>
      </c>
      <c r="F21" s="231"/>
      <c r="G21" s="233" t="s">
        <v>3668</v>
      </c>
      <c r="H21" s="268"/>
      <c r="I21" s="268"/>
      <c r="J21" s="269"/>
      <c r="K21" s="277" t="s">
        <v>3669</v>
      </c>
      <c r="L21" s="269"/>
      <c r="M21" s="269"/>
      <c r="N21" s="271" t="s">
        <v>723</v>
      </c>
      <c r="O21" s="271" t="s">
        <v>723</v>
      </c>
      <c r="P21" s="278" t="s">
        <v>3670</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1" t="s">
        <v>3671</v>
      </c>
      <c r="AB1" s="292"/>
      <c r="AC1" s="292"/>
      <c r="AD1" s="292"/>
      <c r="AE1" s="292"/>
    </row>
    <row r="2" ht="41.25" customHeight="1">
      <c r="AB2" s="292"/>
      <c r="AC2" s="292"/>
      <c r="AD2" s="292"/>
      <c r="AE2" s="292"/>
    </row>
    <row r="3" ht="88.5" customHeight="1">
      <c r="A3" s="70" t="s">
        <v>3672</v>
      </c>
      <c r="B3" s="293" t="s">
        <v>3673</v>
      </c>
      <c r="C3" s="294" t="s">
        <v>3674</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3675</v>
      </c>
      <c r="H3" s="293" t="s">
        <v>3676</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3677</v>
      </c>
      <c r="W3" s="14" t="s">
        <v>3678</v>
      </c>
      <c r="X3" s="301" t="s">
        <v>3679</v>
      </c>
      <c r="Y3" s="160" t="s">
        <v>3680</v>
      </c>
      <c r="Z3" s="302" t="s">
        <v>3681</v>
      </c>
      <c r="AA3" s="303" t="s">
        <v>3682</v>
      </c>
      <c r="AB3" s="304"/>
      <c r="AC3" s="304"/>
      <c r="AD3" s="304"/>
      <c r="AE3" s="304"/>
    </row>
    <row r="4">
      <c r="A4" s="100" t="s">
        <v>3683</v>
      </c>
      <c r="B4" s="117" t="s">
        <v>3684</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3685</v>
      </c>
      <c r="H4" s="309" t="s">
        <v>3686</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3687</v>
      </c>
      <c r="W4" s="309" t="s">
        <v>3688</v>
      </c>
      <c r="X4" s="311" t="s">
        <v>3689</v>
      </c>
      <c r="Y4" s="94" t="s">
        <v>3690</v>
      </c>
      <c r="Z4" s="123" t="s">
        <v>3691</v>
      </c>
      <c r="AA4" s="312" t="s">
        <v>723</v>
      </c>
      <c r="AB4" s="17"/>
      <c r="AC4" s="17"/>
      <c r="AD4" s="17"/>
      <c r="AE4" s="17"/>
    </row>
    <row r="5">
      <c r="A5" s="100" t="s">
        <v>3692</v>
      </c>
      <c r="B5" s="117" t="s">
        <v>3693</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3694</v>
      </c>
      <c r="H5" s="309" t="s">
        <v>3695</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3696</v>
      </c>
      <c r="Q5" s="117" t="s">
        <v>3697</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3698</v>
      </c>
      <c r="W5" s="309" t="s">
        <v>3699</v>
      </c>
      <c r="X5" s="311" t="s">
        <v>3689</v>
      </c>
      <c r="Y5" s="94" t="s">
        <v>3700</v>
      </c>
      <c r="Z5" s="123" t="s">
        <v>3701</v>
      </c>
      <c r="AA5" s="312" t="s">
        <v>723</v>
      </c>
      <c r="AB5" s="17"/>
      <c r="AC5" s="17"/>
      <c r="AD5" s="17"/>
      <c r="AE5" s="17"/>
    </row>
    <row r="6">
      <c r="A6" s="100" t="s">
        <v>3702</v>
      </c>
      <c r="B6" s="117" t="s">
        <v>3703</v>
      </c>
      <c r="C6" s="305" t="s">
        <v>723</v>
      </c>
      <c r="D6" s="306" t="str">
        <f>IFERROR(__xludf.DUMMYFUNCTION("GOOGLETRANSLATE(A6,""zh-tw"",""ja"")"),"猫スライム")</f>
        <v>猫スライム</v>
      </c>
      <c r="E6" s="309" t="s">
        <v>3704</v>
      </c>
      <c r="F6" s="308" t="str">
        <f>IFERROR(__xludf.DUMMYFUNCTION("GOOGLETRANSLATE(C6,""zh-tw"",""ja"")"),"-")</f>
        <v>-</v>
      </c>
      <c r="G6" s="126" t="s">
        <v>3705</v>
      </c>
      <c r="H6" s="309" t="s">
        <v>3706</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3707</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3708</v>
      </c>
      <c r="W6" s="309" t="s">
        <v>3709</v>
      </c>
      <c r="X6" s="311" t="s">
        <v>3689</v>
      </c>
      <c r="Y6" s="94" t="s">
        <v>3710</v>
      </c>
      <c r="Z6" s="123" t="s">
        <v>3711</v>
      </c>
      <c r="AA6" s="312" t="s">
        <v>723</v>
      </c>
      <c r="AB6" s="17"/>
      <c r="AC6" s="17"/>
      <c r="AD6" s="17"/>
      <c r="AE6" s="17"/>
    </row>
    <row r="7">
      <c r="A7" s="100" t="s">
        <v>3712</v>
      </c>
      <c r="B7" s="117" t="s">
        <v>3713</v>
      </c>
      <c r="C7" s="305" t="s">
        <v>723</v>
      </c>
      <c r="D7" s="306" t="str">
        <f>IFERROR(__xludf.DUMMYFUNCTION("GOOGLETRANSLATE(A7,""zh-tw"",""ja"")"),"草食スライム")</f>
        <v>草食スライム</v>
      </c>
      <c r="E7" s="309" t="s">
        <v>3714</v>
      </c>
      <c r="F7" s="308" t="str">
        <f>IFERROR(__xludf.DUMMYFUNCTION("GOOGLETRANSLATE(C7,""zh-tw"",""ja"")"),"-")</f>
        <v>-</v>
      </c>
      <c r="G7" s="126" t="s">
        <v>3715</v>
      </c>
      <c r="H7" s="309" t="s">
        <v>3716</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3717</v>
      </c>
      <c r="Q7" s="117" t="s">
        <v>3718</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3719</v>
      </c>
      <c r="W7" s="309" t="s">
        <v>3720</v>
      </c>
      <c r="X7" s="311" t="s">
        <v>3689</v>
      </c>
      <c r="Y7" s="94" t="s">
        <v>3721</v>
      </c>
      <c r="Z7" s="123" t="s">
        <v>3722</v>
      </c>
      <c r="AA7" s="312" t="s">
        <v>723</v>
      </c>
      <c r="AB7" s="17"/>
      <c r="AC7" s="17"/>
      <c r="AD7" s="17"/>
      <c r="AE7" s="17"/>
    </row>
    <row r="8">
      <c r="A8" s="100" t="s">
        <v>3723</v>
      </c>
      <c r="B8" s="117" t="s">
        <v>3724</v>
      </c>
      <c r="C8" s="305" t="s">
        <v>723</v>
      </c>
      <c r="D8" s="126" t="s">
        <v>3725</v>
      </c>
      <c r="E8" s="309" t="s">
        <v>3726</v>
      </c>
      <c r="F8" s="308" t="str">
        <f>IFERROR(__xludf.DUMMYFUNCTION("GOOGLETRANSLATE(C8,""zh-tw"",""ja"")"),"-")</f>
        <v>-</v>
      </c>
      <c r="G8" s="126" t="s">
        <v>3727</v>
      </c>
      <c r="H8" s="309" t="s">
        <v>3728</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mágicos/Limo/Cartas del tarot")</f>
        <v>Xuejian/Bastón de hielo/Cúmulo de cristales mágicos/Limo/Cartas del tarot</v>
      </c>
      <c r="O8" s="310" t="str">
        <f>IFERROR(__xludf.DUMMYFUNCTION("GOOGLETRANSLATE(C8,""zh-tw"",""es-MX"")"),"-")</f>
        <v>-</v>
      </c>
      <c r="P8" s="100" t="s">
        <v>3729</v>
      </c>
      <c r="Q8" s="117" t="s">
        <v>3730</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3731</v>
      </c>
      <c r="W8" s="309" t="s">
        <v>3732</v>
      </c>
      <c r="X8" s="311" t="s">
        <v>3689</v>
      </c>
      <c r="Y8" s="94" t="s">
        <v>3733</v>
      </c>
      <c r="Z8" s="123" t="s">
        <v>3734</v>
      </c>
      <c r="AA8" s="312" t="s">
        <v>723</v>
      </c>
      <c r="AB8" s="17"/>
      <c r="AC8" s="17"/>
      <c r="AD8" s="17"/>
      <c r="AE8" s="17"/>
    </row>
    <row r="9">
      <c r="A9" s="100" t="s">
        <v>3735</v>
      </c>
      <c r="B9" s="117" t="s">
        <v>3736</v>
      </c>
      <c r="C9" s="305" t="s">
        <v>723</v>
      </c>
      <c r="D9" s="306" t="str">
        <f>IFERROR(__xludf.DUMMYFUNCTION("GOOGLETRANSLATE(A9,""zh-tw"",""ja"")"),"ジャックスライム")</f>
        <v>ジャックスライム</v>
      </c>
      <c r="E9" s="309" t="s">
        <v>3737</v>
      </c>
      <c r="F9" s="308" t="str">
        <f>IFERROR(__xludf.DUMMYFUNCTION("GOOGLETRANSLATE(C9,""zh-tw"",""ja"")"),"-")</f>
        <v>-</v>
      </c>
      <c r="G9" s="126" t="s">
        <v>3738</v>
      </c>
      <c r="H9" s="309" t="s">
        <v>3739</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3740</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3741</v>
      </c>
      <c r="W9" s="309" t="s">
        <v>3742</v>
      </c>
      <c r="X9" s="311" t="s">
        <v>3689</v>
      </c>
      <c r="Y9" s="94" t="s">
        <v>3743</v>
      </c>
      <c r="Z9" s="123" t="s">
        <v>3744</v>
      </c>
      <c r="AA9" s="312" t="s">
        <v>723</v>
      </c>
      <c r="AB9" s="17"/>
      <c r="AC9" s="17"/>
      <c r="AD9" s="17"/>
      <c r="AE9" s="17"/>
    </row>
    <row r="10" ht="41.25" customHeight="1">
      <c r="A10" s="100" t="s">
        <v>3745</v>
      </c>
      <c r="B10" s="117" t="s">
        <v>3746</v>
      </c>
      <c r="C10" s="305" t="s">
        <v>723</v>
      </c>
      <c r="D10" s="126" t="s">
        <v>3747</v>
      </c>
      <c r="E10" s="309" t="s">
        <v>3748</v>
      </c>
      <c r="F10" s="308" t="str">
        <f>IFERROR(__xludf.DUMMYFUNCTION("GOOGLETRANSLATE(C10,""zh-tw"",""ja"")"),"-")</f>
        <v>-</v>
      </c>
      <c r="G10" s="126" t="s">
        <v>3749</v>
      </c>
      <c r="H10" s="309" t="s">
        <v>3750</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3751</v>
      </c>
      <c r="Q10" s="117" t="s">
        <v>3752</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3753</v>
      </c>
      <c r="W10" s="309" t="s">
        <v>3754</v>
      </c>
      <c r="X10" s="311" t="s">
        <v>3689</v>
      </c>
      <c r="Y10" s="94" t="s">
        <v>3755</v>
      </c>
      <c r="Z10" s="123" t="s">
        <v>3756</v>
      </c>
      <c r="AA10" s="312" t="s">
        <v>723</v>
      </c>
      <c r="AB10" s="17"/>
      <c r="AC10" s="17"/>
      <c r="AD10" s="17"/>
      <c r="AE10" s="17"/>
    </row>
    <row r="11">
      <c r="A11" s="100" t="s">
        <v>3757</v>
      </c>
      <c r="B11" s="117" t="s">
        <v>3758</v>
      </c>
      <c r="C11" s="305" t="s">
        <v>723</v>
      </c>
      <c r="D11" s="306" t="str">
        <f>IFERROR(__xludf.DUMMYFUNCTION("GOOGLETRANSLATE(A11,""zh-tw"",""ja"")"),"ビリビリスライム")</f>
        <v>ビリビリスライム</v>
      </c>
      <c r="E11" s="309" t="s">
        <v>3759</v>
      </c>
      <c r="F11" s="308" t="str">
        <f>IFERROR(__xludf.DUMMYFUNCTION("GOOGLETRANSLATE(C11,""zh-tw"",""ja"")"),"-")</f>
        <v>-</v>
      </c>
      <c r="G11" s="126" t="s">
        <v>3760</v>
      </c>
      <c r="H11" s="309" t="s">
        <v>3761</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3762</v>
      </c>
      <c r="Q11" s="117" t="s">
        <v>3763</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3764</v>
      </c>
      <c r="W11" s="309" t="s">
        <v>3765</v>
      </c>
      <c r="X11" s="311" t="s">
        <v>3689</v>
      </c>
      <c r="Y11" s="94" t="s">
        <v>3766</v>
      </c>
      <c r="Z11" s="123" t="s">
        <v>3767</v>
      </c>
      <c r="AA11" s="312" t="s">
        <v>723</v>
      </c>
      <c r="AB11" s="17"/>
      <c r="AC11" s="17"/>
      <c r="AD11" s="17"/>
      <c r="AE11" s="17"/>
    </row>
    <row r="12">
      <c r="A12" s="100" t="s">
        <v>3768</v>
      </c>
      <c r="B12" s="117" t="s">
        <v>3769</v>
      </c>
      <c r="C12" s="305" t="s">
        <v>723</v>
      </c>
      <c r="D12" s="126" t="s">
        <v>3770</v>
      </c>
      <c r="E12" s="309" t="s">
        <v>3771</v>
      </c>
      <c r="F12" s="308" t="str">
        <f>IFERROR(__xludf.DUMMYFUNCTION("GOOGLETRANSLATE(C12,""zh-tw"",""ja"")"),"-")</f>
        <v>-</v>
      </c>
      <c r="G12" s="126" t="s">
        <v>3772</v>
      </c>
      <c r="H12" s="309" t="s">
        <v>3773</v>
      </c>
      <c r="I12" s="308" t="str">
        <f>IFERROR(__xludf.DUMMYFUNCTION("GOOGLETRANSLATE(C12,""zh-tw"",""en"")"),"-")</f>
        <v>-</v>
      </c>
      <c r="J12" s="306" t="str">
        <f>IFERROR(__xludf.DUMMYFUNCTION("GOOGLETRANSLATE(A12,""zh-tw"",""zh"")"),"初级兽人")</f>
        <v>初级兽人</v>
      </c>
      <c r="K12" s="309" t="s">
        <v>3774</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3775</v>
      </c>
      <c r="Q12" s="117" t="s">
        <v>3776</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3777</v>
      </c>
      <c r="W12" s="309" t="s">
        <v>3778</v>
      </c>
      <c r="X12" s="311" t="s">
        <v>3689</v>
      </c>
      <c r="Y12" s="94" t="s">
        <v>3779</v>
      </c>
      <c r="Z12" s="123" t="s">
        <v>3780</v>
      </c>
      <c r="AA12" s="312" t="s">
        <v>723</v>
      </c>
      <c r="AB12" s="17"/>
      <c r="AC12" s="17"/>
      <c r="AD12" s="17"/>
      <c r="AE12" s="17"/>
    </row>
    <row r="13">
      <c r="A13" s="100" t="s">
        <v>3781</v>
      </c>
      <c r="B13" s="117" t="s">
        <v>3782</v>
      </c>
      <c r="C13" s="305" t="s">
        <v>723</v>
      </c>
      <c r="D13" s="126" t="s">
        <v>3781</v>
      </c>
      <c r="E13" s="309" t="s">
        <v>3783</v>
      </c>
      <c r="F13" s="308" t="str">
        <f>IFERROR(__xludf.DUMMYFUNCTION("GOOGLETRANSLATE(C13,""zh-tw"",""ja"")"),"-")</f>
        <v>-</v>
      </c>
      <c r="G13" s="126" t="s">
        <v>3784</v>
      </c>
      <c r="H13" s="309" t="s">
        <v>3785</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3786</v>
      </c>
      <c r="Q13" s="117" t="s">
        <v>3787</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3788</v>
      </c>
      <c r="W13" s="309" t="s">
        <v>3789</v>
      </c>
      <c r="X13" s="311" t="s">
        <v>3689</v>
      </c>
      <c r="Y13" s="94" t="s">
        <v>3790</v>
      </c>
      <c r="Z13" s="123" t="s">
        <v>3791</v>
      </c>
      <c r="AA13" s="312" t="s">
        <v>723</v>
      </c>
      <c r="AB13" s="17"/>
      <c r="AC13" s="17"/>
      <c r="AD13" s="17"/>
      <c r="AE13" s="17"/>
    </row>
    <row r="14">
      <c r="A14" s="100" t="s">
        <v>3792</v>
      </c>
      <c r="B14" s="117" t="s">
        <v>3793</v>
      </c>
      <c r="C14" s="305" t="s">
        <v>723</v>
      </c>
      <c r="D14" s="126" t="s">
        <v>3794</v>
      </c>
      <c r="E14" s="309" t="s">
        <v>3795</v>
      </c>
      <c r="F14" s="308" t="str">
        <f>IFERROR(__xludf.DUMMYFUNCTION("GOOGLETRANSLATE(C14,""zh-tw"",""ja"")"),"-")</f>
        <v>-</v>
      </c>
      <c r="G14" s="126" t="s">
        <v>3796</v>
      </c>
      <c r="H14" s="309" t="s">
        <v>3797</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3798</v>
      </c>
      <c r="W14" s="309" t="s">
        <v>3799</v>
      </c>
      <c r="X14" s="311" t="s">
        <v>3689</v>
      </c>
      <c r="Y14" s="94" t="s">
        <v>3800</v>
      </c>
      <c r="Z14" s="123" t="s">
        <v>3801</v>
      </c>
      <c r="AA14" s="312" t="s">
        <v>723</v>
      </c>
      <c r="AB14" s="17"/>
      <c r="AC14" s="17"/>
      <c r="AD14" s="17"/>
      <c r="AE14" s="17"/>
    </row>
    <row r="15">
      <c r="A15" s="100" t="s">
        <v>3802</v>
      </c>
      <c r="B15" s="117" t="s">
        <v>3803</v>
      </c>
      <c r="C15" s="305" t="s">
        <v>723</v>
      </c>
      <c r="D15" s="126" t="s">
        <v>3802</v>
      </c>
      <c r="E15" s="309" t="s">
        <v>3804</v>
      </c>
      <c r="F15" s="308" t="str">
        <f>IFERROR(__xludf.DUMMYFUNCTION("GOOGLETRANSLATE(C15,""zh-tw"",""ja"")"),"-")</f>
        <v>-</v>
      </c>
      <c r="G15" s="126" t="s">
        <v>3805</v>
      </c>
      <c r="H15" s="309" t="s">
        <v>3806</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3807</v>
      </c>
      <c r="Q15" s="117" t="s">
        <v>3808</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3809</v>
      </c>
      <c r="W15" s="309" t="s">
        <v>3810</v>
      </c>
      <c r="X15" s="311" t="s">
        <v>3689</v>
      </c>
      <c r="Y15" s="94" t="s">
        <v>3811</v>
      </c>
      <c r="Z15" s="123" t="s">
        <v>3812</v>
      </c>
      <c r="AA15" s="312" t="s">
        <v>723</v>
      </c>
      <c r="AB15" s="17"/>
      <c r="AC15" s="17"/>
      <c r="AD15" s="17"/>
      <c r="AE15" s="17"/>
    </row>
    <row r="16">
      <c r="A16" s="100" t="s">
        <v>3813</v>
      </c>
      <c r="B16" s="117" t="s">
        <v>3814</v>
      </c>
      <c r="C16" s="305" t="s">
        <v>723</v>
      </c>
      <c r="D16" s="126" t="s">
        <v>3815</v>
      </c>
      <c r="E16" s="309" t="s">
        <v>3816</v>
      </c>
      <c r="F16" s="308" t="str">
        <f>IFERROR(__xludf.DUMMYFUNCTION("GOOGLETRANSLATE(C16,""zh-tw"",""ja"")"),"-")</f>
        <v>-</v>
      </c>
      <c r="G16" s="126" t="s">
        <v>3817</v>
      </c>
      <c r="H16" s="309" t="s">
        <v>3818</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3819</v>
      </c>
      <c r="Q16" s="309" t="s">
        <v>3820</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3821</v>
      </c>
      <c r="W16" s="309" t="s">
        <v>3822</v>
      </c>
      <c r="X16" s="311" t="s">
        <v>3689</v>
      </c>
      <c r="Y16" s="94" t="s">
        <v>3823</v>
      </c>
      <c r="Z16" s="123" t="s">
        <v>3824</v>
      </c>
      <c r="AA16" s="312" t="s">
        <v>723</v>
      </c>
      <c r="AB16" s="17"/>
      <c r="AC16" s="17"/>
      <c r="AD16" s="17"/>
      <c r="AE16" s="17"/>
    </row>
    <row r="17">
      <c r="A17" s="100" t="s">
        <v>3825</v>
      </c>
      <c r="B17" s="117" t="s">
        <v>3826</v>
      </c>
      <c r="C17" s="305" t="s">
        <v>723</v>
      </c>
      <c r="D17" s="126" t="s">
        <v>3827</v>
      </c>
      <c r="E17" s="307" t="str">
        <f>IFERROR(__xludf.DUMMYFUNCTION("GOOGLETRANSLATE(B17,""zh-tw"",""ja"")"),"ナイトソード")</f>
        <v>ナイトソード</v>
      </c>
      <c r="F17" s="308" t="str">
        <f>IFERROR(__xludf.DUMMYFUNCTION("GOOGLETRANSLATE(C17,""zh-tw"",""ja"")"),"-")</f>
        <v>-</v>
      </c>
      <c r="G17" s="126" t="s">
        <v>3828</v>
      </c>
      <c r="H17" s="309" t="s">
        <v>3829</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3830</v>
      </c>
      <c r="Q17" s="117" t="s">
        <v>3831</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3832</v>
      </c>
      <c r="W17" s="309" t="s">
        <v>3833</v>
      </c>
      <c r="X17" s="311" t="s">
        <v>3834</v>
      </c>
      <c r="Y17" s="94" t="s">
        <v>3835</v>
      </c>
      <c r="Z17" s="123" t="s">
        <v>3836</v>
      </c>
      <c r="AA17" s="312" t="s">
        <v>723</v>
      </c>
      <c r="AB17" s="17"/>
      <c r="AC17" s="17"/>
      <c r="AD17" s="17"/>
      <c r="AE17" s="17"/>
    </row>
    <row r="18">
      <c r="A18" s="100" t="s">
        <v>3837</v>
      </c>
      <c r="B18" s="117" t="s">
        <v>3837</v>
      </c>
      <c r="C18" s="305" t="s">
        <v>3838</v>
      </c>
      <c r="D18" s="306" t="str">
        <f>IFERROR(__xludf.DUMMYFUNCTION("GOOGLETRANSLATE(A18,""zh-tw"",""ja"")"),"とても大きな卵")</f>
        <v>とても大きな卵</v>
      </c>
      <c r="E18" s="307" t="str">
        <f>IFERROR(__xludf.DUMMYFUNCTION("GOOGLETRANSLATE(B18,""zh-tw"",""ja"")"),"とても大きな卵")</f>
        <v>とても大きな卵</v>
      </c>
      <c r="F18" s="311" t="s">
        <v>3839</v>
      </c>
      <c r="G18" s="126" t="s">
        <v>3840</v>
      </c>
      <c r="H18" s="309" t="s">
        <v>3840</v>
      </c>
      <c r="I18" s="311" t="s">
        <v>3841</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3842</v>
      </c>
      <c r="Q18" s="117" t="s">
        <v>3842</v>
      </c>
      <c r="R18" s="305" t="s">
        <v>3843</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3844</v>
      </c>
      <c r="W18" s="309" t="s">
        <v>3845</v>
      </c>
      <c r="X18" s="311" t="s">
        <v>3846</v>
      </c>
      <c r="Y18" s="94" t="s">
        <v>3847</v>
      </c>
      <c r="Z18" s="123" t="s">
        <v>3847</v>
      </c>
      <c r="AA18" s="312" t="s">
        <v>3848</v>
      </c>
      <c r="AB18" s="17"/>
      <c r="AC18" s="17"/>
      <c r="AD18" s="17"/>
      <c r="AE18" s="17"/>
    </row>
    <row r="19">
      <c r="A19" s="100" t="s">
        <v>3849</v>
      </c>
      <c r="B19" s="117" t="s">
        <v>3850</v>
      </c>
      <c r="C19" s="305" t="s">
        <v>3851</v>
      </c>
      <c r="D19" s="126" t="s">
        <v>3852</v>
      </c>
      <c r="E19" s="307" t="str">
        <f>IFERROR(__xludf.DUMMYFUNCTION("GOOGLETRANSLATE(B19,""zh-tw"",""ja"")"),"キノコ")</f>
        <v>キノコ</v>
      </c>
      <c r="F19" s="311" t="s">
        <v>3853</v>
      </c>
      <c r="G19" s="126" t="s">
        <v>3854</v>
      </c>
      <c r="H19" s="309" t="s">
        <v>3855</v>
      </c>
      <c r="I19" s="311" t="s">
        <v>3856</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3857</v>
      </c>
      <c r="Q19" s="121" t="str">
        <f>IFERROR(__xludf.DUMMYFUNCTION("GOOGLETRANSLATE(B19,""zh-tw"",""KO"")"),"버섯")</f>
        <v>버섯</v>
      </c>
      <c r="R19" s="305" t="s">
        <v>3858</v>
      </c>
      <c r="S19" s="306" t="str">
        <f>IFERROR(__xludf.DUMMYFUNCTION("GOOGLETRANSLATE(A19,""zh-tw"",""ru"")"),"Туманные лесные грибы")</f>
        <v>Туманные лесные грибы</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3859</v>
      </c>
      <c r="W19" s="309" t="s">
        <v>3860</v>
      </c>
      <c r="X19" s="311" t="s">
        <v>3861</v>
      </c>
      <c r="Y19" s="94" t="s">
        <v>3862</v>
      </c>
      <c r="Z19" s="123" t="s">
        <v>3863</v>
      </c>
      <c r="AA19" s="312" t="s">
        <v>3864</v>
      </c>
      <c r="AB19" s="17"/>
      <c r="AC19" s="17"/>
      <c r="AD19" s="17"/>
      <c r="AE19" s="17"/>
    </row>
    <row r="20">
      <c r="A20" s="100" t="s">
        <v>3865</v>
      </c>
      <c r="B20" s="117" t="s">
        <v>3866</v>
      </c>
      <c r="C20" s="305" t="s">
        <v>3867</v>
      </c>
      <c r="D20" s="126" t="s">
        <v>3868</v>
      </c>
      <c r="E20" s="307" t="str">
        <f>IFERROR(__xludf.DUMMYFUNCTION("GOOGLETRANSLATE(B20,""zh-tw"",""ja"")"),"椎茸／ヒラタケ／カニタケ／月茸")</f>
        <v>椎茸／ヒラタケ／カニタケ／月茸</v>
      </c>
      <c r="F20" s="311" t="s">
        <v>3869</v>
      </c>
      <c r="G20" s="126" t="s">
        <v>3870</v>
      </c>
      <c r="H20" s="309" t="s">
        <v>3871</v>
      </c>
      <c r="I20" s="311" t="s">
        <v>3872</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3873</v>
      </c>
      <c r="Q20" s="117" t="s">
        <v>3874</v>
      </c>
      <c r="R20" s="305" t="s">
        <v>3875</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3876</v>
      </c>
      <c r="W20" s="309" t="s">
        <v>3877</v>
      </c>
      <c r="X20" s="311" t="s">
        <v>3878</v>
      </c>
      <c r="Y20" s="94" t="s">
        <v>3879</v>
      </c>
      <c r="Z20" s="123" t="s">
        <v>3880</v>
      </c>
      <c r="AA20" s="312" t="s">
        <v>3881</v>
      </c>
      <c r="AB20" s="17"/>
      <c r="AC20" s="17"/>
      <c r="AD20" s="17"/>
      <c r="AE20" s="17"/>
    </row>
    <row r="21">
      <c r="A21" s="100" t="s">
        <v>3882</v>
      </c>
      <c r="B21" s="117" t="s">
        <v>3883</v>
      </c>
      <c r="C21" s="305" t="s">
        <v>3884</v>
      </c>
      <c r="D21" s="126" t="s">
        <v>3885</v>
      </c>
      <c r="E21" s="307" t="str">
        <f>IFERROR(__xludf.DUMMYFUNCTION("GOOGLETRANSLATE(B21,""zh-tw"",""ja"")"),"火の鳥の羽")</f>
        <v>火の鳥の羽</v>
      </c>
      <c r="F21" s="311" t="s">
        <v>3886</v>
      </c>
      <c r="G21" s="126" t="s">
        <v>3887</v>
      </c>
      <c r="H21" s="309" t="s">
        <v>3888</v>
      </c>
      <c r="I21" s="311" t="s">
        <v>3889</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3890</v>
      </c>
      <c r="Q21" s="117" t="s">
        <v>3891</v>
      </c>
      <c r="R21" s="305" t="s">
        <v>3892</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3893</v>
      </c>
      <c r="W21" s="309" t="s">
        <v>3894</v>
      </c>
      <c r="X21" s="311" t="s">
        <v>3895</v>
      </c>
      <c r="Y21" s="94" t="s">
        <v>3896</v>
      </c>
      <c r="Z21" s="123" t="s">
        <v>3897</v>
      </c>
      <c r="AA21" s="312" t="s">
        <v>3898</v>
      </c>
      <c r="AB21" s="17"/>
      <c r="AC21" s="17"/>
      <c r="AD21" s="17"/>
      <c r="AE21" s="17"/>
    </row>
    <row r="22">
      <c r="A22" s="100" t="s">
        <v>3899</v>
      </c>
      <c r="B22" s="117" t="s">
        <v>3900</v>
      </c>
      <c r="C22" s="305" t="s">
        <v>3901</v>
      </c>
      <c r="D22" s="126" t="s">
        <v>3902</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3903</v>
      </c>
      <c r="H22" s="309" t="s">
        <v>3904</v>
      </c>
      <c r="I22" s="311" t="s">
        <v>3905</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3906</v>
      </c>
      <c r="Q22" s="117" t="s">
        <v>3907</v>
      </c>
      <c r="R22" s="305" t="s">
        <v>3908</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3909</v>
      </c>
      <c r="W22" s="309" t="s">
        <v>3910</v>
      </c>
      <c r="X22" s="311" t="s">
        <v>3911</v>
      </c>
      <c r="Y22" s="94" t="s">
        <v>3912</v>
      </c>
      <c r="Z22" s="123" t="s">
        <v>3913</v>
      </c>
      <c r="AA22" s="312" t="s">
        <v>3914</v>
      </c>
      <c r="AB22" s="17"/>
      <c r="AC22" s="17"/>
      <c r="AD22" s="17"/>
      <c r="AE22" s="17"/>
    </row>
    <row r="23">
      <c r="A23" s="100" t="s">
        <v>3915</v>
      </c>
      <c r="B23" s="117" t="s">
        <v>3916</v>
      </c>
      <c r="C23" s="305" t="s">
        <v>3917</v>
      </c>
      <c r="D23" s="126" t="s">
        <v>3918</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3919</v>
      </c>
      <c r="G23" s="126" t="s">
        <v>3920</v>
      </c>
      <c r="H23" s="309" t="s">
        <v>3921</v>
      </c>
      <c r="I23" s="311" t="s">
        <v>3922</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3923</v>
      </c>
      <c r="Q23" s="117" t="s">
        <v>3924</v>
      </c>
      <c r="R23" s="305" t="s">
        <v>3925</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3926</v>
      </c>
      <c r="W23" s="309" t="s">
        <v>3927</v>
      </c>
      <c r="X23" s="311" t="s">
        <v>3928</v>
      </c>
      <c r="Y23" s="94" t="s">
        <v>3929</v>
      </c>
      <c r="Z23" s="123" t="s">
        <v>3930</v>
      </c>
      <c r="AA23" s="312" t="s">
        <v>3931</v>
      </c>
      <c r="AB23" s="17"/>
      <c r="AC23" s="17"/>
      <c r="AD23" s="17"/>
      <c r="AE23" s="17"/>
    </row>
    <row r="24">
      <c r="A24" s="100" t="s">
        <v>3932</v>
      </c>
      <c r="B24" s="117" t="s">
        <v>3933</v>
      </c>
      <c r="C24" s="305" t="s">
        <v>723</v>
      </c>
      <c r="D24" s="126" t="s">
        <v>3934</v>
      </c>
      <c r="E24" s="307" t="str">
        <f>IFERROR(__xludf.DUMMYFUNCTION("GOOGLETRANSLATE(B24,""zh-tw"",""ja"")"),"星月夜/招き猫/タロットカード")</f>
        <v>星月夜/招き猫/タロットカード</v>
      </c>
      <c r="F24" s="308" t="str">
        <f>IFERROR(__xludf.DUMMYFUNCTION("GOOGLETRANSLATE(C24,""zh-tw"",""ja"")"),"-")</f>
        <v>-</v>
      </c>
      <c r="G24" s="126" t="s">
        <v>3935</v>
      </c>
      <c r="H24" s="309" t="s">
        <v>3936</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3937</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3938</v>
      </c>
      <c r="W24" s="309" t="s">
        <v>3939</v>
      </c>
      <c r="X24" s="311" t="s">
        <v>3689</v>
      </c>
      <c r="Y24" s="94" t="s">
        <v>3940</v>
      </c>
      <c r="Z24" s="123" t="s">
        <v>3941</v>
      </c>
      <c r="AA24" s="312" t="s">
        <v>723</v>
      </c>
      <c r="AB24" s="17"/>
      <c r="AC24" s="17"/>
      <c r="AD24" s="17"/>
      <c r="AE24" s="17"/>
    </row>
    <row r="25">
      <c r="A25" s="100" t="s">
        <v>3942</v>
      </c>
      <c r="B25" s="117" t="s">
        <v>3943</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3944</v>
      </c>
      <c r="H25" s="309" t="s">
        <v>3945</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3946</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3947</v>
      </c>
      <c r="W25" s="309" t="s">
        <v>3948</v>
      </c>
      <c r="X25" s="311" t="s">
        <v>3689</v>
      </c>
      <c r="Y25" s="94" t="s">
        <v>3949</v>
      </c>
      <c r="Z25" s="123" t="s">
        <v>3950</v>
      </c>
      <c r="AA25" s="313" t="s">
        <v>723</v>
      </c>
      <c r="AB25" s="17"/>
      <c r="AC25" s="17"/>
      <c r="AD25" s="17"/>
      <c r="AE25" s="17"/>
    </row>
    <row r="26">
      <c r="A26" s="100" t="s">
        <v>3951</v>
      </c>
      <c r="B26" s="117" t="s">
        <v>3952</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3953</v>
      </c>
      <c r="H26" s="309" t="s">
        <v>3954</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3955</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3956</v>
      </c>
      <c r="W26" s="309" t="s">
        <v>3957</v>
      </c>
      <c r="X26" s="311" t="s">
        <v>3689</v>
      </c>
      <c r="Y26" s="94" t="s">
        <v>3953</v>
      </c>
      <c r="Z26" s="123" t="s">
        <v>3958</v>
      </c>
      <c r="AA26" s="312" t="s">
        <v>723</v>
      </c>
      <c r="AB26" s="17"/>
      <c r="AC26" s="17"/>
      <c r="AD26" s="17"/>
      <c r="AE26" s="17"/>
    </row>
    <row r="27">
      <c r="A27" s="100" t="s">
        <v>3959</v>
      </c>
      <c r="B27" s="117" t="s">
        <v>3960</v>
      </c>
      <c r="C27" s="305" t="s">
        <v>723</v>
      </c>
      <c r="D27" s="126" t="s">
        <v>3961</v>
      </c>
      <c r="E27" s="309" t="s">
        <v>3962</v>
      </c>
      <c r="F27" s="308" t="str">
        <f>IFERROR(__xludf.DUMMYFUNCTION("GOOGLETRANSLATE(C27,""zh-tw"",""ja"")"),"-")</f>
        <v>-</v>
      </c>
      <c r="G27" s="306" t="str">
        <f>IFERROR(__xludf.DUMMYFUNCTION("GOOGLETRANSLATE(A27,""zh-tw"",""en"")"),"Maid Rabbit")</f>
        <v>Maid Rabbit</v>
      </c>
      <c r="H27" s="309" t="s">
        <v>3963</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3964</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ушки кролика/униформа горничной/золотые монеты")</f>
        <v>Милые ушки кролика/униформа горничной/золотые монеты</v>
      </c>
      <c r="U27" s="308" t="str">
        <f>IFERROR(__xludf.DUMMYFUNCTION("GOOGLETRANSLATE(C27,""zh-tw"",""ru"")"),"-")</f>
        <v>-</v>
      </c>
      <c r="V27" s="126" t="s">
        <v>3965</v>
      </c>
      <c r="W27" s="309" t="s">
        <v>3966</v>
      </c>
      <c r="X27" s="311" t="s">
        <v>3967</v>
      </c>
      <c r="Y27" s="94" t="s">
        <v>3968</v>
      </c>
      <c r="Z27" s="123" t="s">
        <v>3969</v>
      </c>
      <c r="AA27" s="312" t="s">
        <v>723</v>
      </c>
      <c r="AB27" s="17"/>
      <c r="AC27" s="17"/>
      <c r="AD27" s="17"/>
      <c r="AE27" s="17"/>
    </row>
    <row r="28">
      <c r="A28" s="100" t="s">
        <v>3970</v>
      </c>
      <c r="B28" s="117" t="s">
        <v>3971</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3972</v>
      </c>
      <c r="H28" s="309" t="s">
        <v>3973</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3974</v>
      </c>
      <c r="Q28" s="117" t="s">
        <v>3975</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3976</v>
      </c>
      <c r="W28" s="309" t="s">
        <v>3977</v>
      </c>
      <c r="X28" s="311" t="s">
        <v>3978</v>
      </c>
      <c r="Y28" s="94" t="s">
        <v>3979</v>
      </c>
      <c r="Z28" s="123" t="s">
        <v>3980</v>
      </c>
      <c r="AA28" s="312" t="s">
        <v>723</v>
      </c>
      <c r="AB28" s="17"/>
      <c r="AC28" s="17"/>
      <c r="AD28" s="17"/>
      <c r="AE28" s="17"/>
    </row>
    <row r="29">
      <c r="A29" s="100" t="s">
        <v>3981</v>
      </c>
      <c r="B29" s="117" t="s">
        <v>3982</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3983</v>
      </c>
      <c r="H29" s="309" t="s">
        <v>3984</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3985</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3986</v>
      </c>
      <c r="W29" s="309" t="s">
        <v>3987</v>
      </c>
      <c r="X29" s="311" t="s">
        <v>3988</v>
      </c>
      <c r="Y29" s="94" t="s">
        <v>3989</v>
      </c>
      <c r="Z29" s="123" t="s">
        <v>3990</v>
      </c>
      <c r="AA29" s="312" t="s">
        <v>723</v>
      </c>
      <c r="AB29" s="17"/>
      <c r="AC29" s="17"/>
      <c r="AD29" s="17"/>
      <c r="AE29" s="17"/>
    </row>
    <row r="30">
      <c r="A30" s="100" t="s">
        <v>3991</v>
      </c>
      <c r="B30" s="117" t="s">
        <v>3992</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3993</v>
      </c>
      <c r="H30" s="309" t="s">
        <v>3994</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3995</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3996</v>
      </c>
      <c r="W30" s="309" t="s">
        <v>3997</v>
      </c>
      <c r="X30" s="311" t="s">
        <v>3689</v>
      </c>
      <c r="Y30" s="94" t="s">
        <v>3998</v>
      </c>
      <c r="Z30" s="123" t="s">
        <v>3999</v>
      </c>
      <c r="AA30" s="312" t="s">
        <v>723</v>
      </c>
      <c r="AB30" s="17"/>
      <c r="AC30" s="17"/>
      <c r="AD30" s="17"/>
      <c r="AE30" s="17"/>
    </row>
    <row r="31">
      <c r="A31" s="100" t="s">
        <v>4000</v>
      </c>
      <c r="B31" s="117" t="s">
        <v>4001</v>
      </c>
      <c r="C31" s="305" t="s">
        <v>4002</v>
      </c>
      <c r="D31" s="306" t="str">
        <f>IFERROR(__xludf.DUMMYFUNCTION("GOOGLETRANSLATE(A31,""zh-tw"",""ja"")"),"狂乱の赤い獣")</f>
        <v>狂乱の赤い獣</v>
      </c>
      <c r="E31" s="309" t="s">
        <v>4003</v>
      </c>
      <c r="F31" s="311" t="s">
        <v>4004</v>
      </c>
      <c r="G31" s="126" t="s">
        <v>4005</v>
      </c>
      <c r="H31" s="309" t="s">
        <v>4006</v>
      </c>
      <c r="I31" s="311" t="s">
        <v>4007</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4008</v>
      </c>
      <c r="R31" s="305" t="s">
        <v>4009</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4010</v>
      </c>
      <c r="W31" s="309" t="s">
        <v>4011</v>
      </c>
      <c r="X31" s="311" t="s">
        <v>4012</v>
      </c>
      <c r="Y31" s="94" t="s">
        <v>4013</v>
      </c>
      <c r="Z31" s="123" t="s">
        <v>4014</v>
      </c>
      <c r="AA31" s="312" t="s">
        <v>4015</v>
      </c>
      <c r="AB31" s="17"/>
      <c r="AC31" s="17"/>
      <c r="AD31" s="17"/>
      <c r="AE31" s="17"/>
    </row>
    <row r="32">
      <c r="A32" s="100" t="s">
        <v>4016</v>
      </c>
      <c r="B32" s="117" t="s">
        <v>4017</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4018</v>
      </c>
      <c r="H32" s="309" t="s">
        <v>4019</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4020</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4021</v>
      </c>
      <c r="W32" s="309" t="s">
        <v>4022</v>
      </c>
      <c r="X32" s="311" t="s">
        <v>4023</v>
      </c>
      <c r="Y32" s="94" t="s">
        <v>4024</v>
      </c>
      <c r="Z32" s="123" t="s">
        <v>4025</v>
      </c>
      <c r="AA32" s="312" t="s">
        <v>723</v>
      </c>
      <c r="AB32" s="17"/>
      <c r="AC32" s="17"/>
      <c r="AD32" s="17"/>
      <c r="AE32" s="17"/>
    </row>
    <row r="33">
      <c r="A33" s="100" t="s">
        <v>4026</v>
      </c>
      <c r="B33" s="117" t="s">
        <v>4027</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4028</v>
      </c>
      <c r="H33" s="309" t="s">
        <v>4029</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4030</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4031</v>
      </c>
      <c r="W33" s="309" t="s">
        <v>4032</v>
      </c>
      <c r="X33" s="311" t="s">
        <v>4023</v>
      </c>
      <c r="Y33" s="94" t="s">
        <v>4033</v>
      </c>
      <c r="Z33" s="123" t="s">
        <v>4034</v>
      </c>
      <c r="AA33" s="312" t="s">
        <v>723</v>
      </c>
      <c r="AB33" s="17"/>
      <c r="AC33" s="17"/>
      <c r="AD33" s="17"/>
      <c r="AE33" s="17"/>
    </row>
    <row r="34">
      <c r="A34" s="100" t="s">
        <v>4035</v>
      </c>
      <c r="B34" s="117" t="s">
        <v>4036</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4037</v>
      </c>
      <c r="H34" s="309" t="s">
        <v>4038</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4039</v>
      </c>
      <c r="W34" s="309" t="s">
        <v>4040</v>
      </c>
      <c r="X34" s="311" t="s">
        <v>4023</v>
      </c>
      <c r="Y34" s="94" t="s">
        <v>4041</v>
      </c>
      <c r="Z34" s="123" t="s">
        <v>4042</v>
      </c>
      <c r="AA34" s="312" t="s">
        <v>723</v>
      </c>
      <c r="AB34" s="17"/>
      <c r="AC34" s="17"/>
      <c r="AD34" s="17"/>
      <c r="AE34" s="17"/>
    </row>
    <row r="35">
      <c r="A35" s="100" t="s">
        <v>4043</v>
      </c>
      <c r="B35" s="117" t="s">
        <v>4044</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4045</v>
      </c>
      <c r="H35" s="309" t="s">
        <v>4046</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4047</v>
      </c>
      <c r="W35" s="309" t="s">
        <v>4048</v>
      </c>
      <c r="X35" s="311" t="s">
        <v>4023</v>
      </c>
      <c r="Y35" s="94" t="s">
        <v>4049</v>
      </c>
      <c r="Z35" s="123" t="s">
        <v>4050</v>
      </c>
      <c r="AA35" s="312" t="s">
        <v>723</v>
      </c>
      <c r="AB35" s="17"/>
      <c r="AC35" s="17"/>
      <c r="AD35" s="17"/>
      <c r="AE35" s="17"/>
    </row>
    <row r="36">
      <c r="A36" s="100" t="s">
        <v>4051</v>
      </c>
      <c r="B36" s="117" t="s">
        <v>4052</v>
      </c>
      <c r="C36" s="305" t="s">
        <v>723</v>
      </c>
      <c r="D36" s="306" t="str">
        <f>IFERROR(__xludf.DUMMYFUNCTION("GOOGLETRANSLATE(A36,""zh-tw"",""ja"")"),"ジャッカロープ")</f>
        <v>ジャッカロープ</v>
      </c>
      <c r="E36" s="309" t="s">
        <v>4053</v>
      </c>
      <c r="F36" s="308" t="str">
        <f>IFERROR(__xludf.DUMMYFUNCTION("GOOGLETRANSLATE(C36,""zh-tw"",""ja"")"),"-")</f>
        <v>-</v>
      </c>
      <c r="G36" s="126" t="s">
        <v>4054</v>
      </c>
      <c r="H36" s="309" t="s">
        <v>4055</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4056</v>
      </c>
      <c r="Q36" s="117" t="s">
        <v>4057</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4058</v>
      </c>
      <c r="W36" s="309" t="s">
        <v>4059</v>
      </c>
      <c r="X36" s="311" t="s">
        <v>3689</v>
      </c>
      <c r="Y36" s="94" t="s">
        <v>4060</v>
      </c>
      <c r="Z36" s="123" t="s">
        <v>4061</v>
      </c>
      <c r="AA36" s="312" t="s">
        <v>723</v>
      </c>
      <c r="AB36" s="17"/>
      <c r="AC36" s="17"/>
      <c r="AD36" s="17"/>
      <c r="AE36" s="17"/>
    </row>
    <row r="37">
      <c r="A37" s="100" t="s">
        <v>2515</v>
      </c>
      <c r="B37" s="117" t="s">
        <v>4062</v>
      </c>
      <c r="C37" s="305" t="s">
        <v>4063</v>
      </c>
      <c r="D37" s="306" t="str">
        <f>IFERROR(__xludf.DUMMYFUNCTION("GOOGLETRANSLATE(A37,""zh-tw"",""ja"")"),"かかし")</f>
        <v>かかし</v>
      </c>
      <c r="E37" s="309" t="s">
        <v>4064</v>
      </c>
      <c r="F37" s="311" t="s">
        <v>4065</v>
      </c>
      <c r="G37" s="126" t="s">
        <v>2521</v>
      </c>
      <c r="H37" s="309" t="s">
        <v>4066</v>
      </c>
      <c r="I37" s="311" t="s">
        <v>4067</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4068</v>
      </c>
      <c r="R37" s="305" t="s">
        <v>4069</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2524</v>
      </c>
      <c r="W37" s="309" t="s">
        <v>4070</v>
      </c>
      <c r="X37" s="311" t="s">
        <v>4071</v>
      </c>
      <c r="Y37" s="94" t="s">
        <v>2527</v>
      </c>
      <c r="Z37" s="123" t="s">
        <v>4072</v>
      </c>
      <c r="AA37" s="312" t="s">
        <v>4073</v>
      </c>
      <c r="AB37" s="17"/>
      <c r="AC37" s="17"/>
      <c r="AD37" s="17"/>
      <c r="AE37" s="17"/>
    </row>
    <row r="38">
      <c r="A38" s="100" t="s">
        <v>4074</v>
      </c>
      <c r="B38" s="117" t="s">
        <v>4075</v>
      </c>
      <c r="C38" s="305" t="s">
        <v>4076</v>
      </c>
      <c r="D38" s="306" t="str">
        <f>IFERROR(__xludf.DUMMYFUNCTION("GOOGLETRANSLATE(A38,""zh-tw"",""ja"")"),"浅羽")</f>
        <v>浅羽</v>
      </c>
      <c r="E38" s="309" t="s">
        <v>4077</v>
      </c>
      <c r="F38" s="311" t="s">
        <v>4078</v>
      </c>
      <c r="G38" s="126" t="s">
        <v>4079</v>
      </c>
      <c r="H38" s="309" t="s">
        <v>4080</v>
      </c>
      <c r="I38" s="311" t="s">
        <v>4081</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4082</v>
      </c>
      <c r="R38" s="305" t="s">
        <v>4083</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4079</v>
      </c>
      <c r="W38" s="309" t="s">
        <v>4084</v>
      </c>
      <c r="X38" s="311" t="s">
        <v>4085</v>
      </c>
      <c r="Y38" s="94" t="s">
        <v>4079</v>
      </c>
      <c r="Z38" s="123" t="s">
        <v>4086</v>
      </c>
      <c r="AA38" s="312" t="s">
        <v>4087</v>
      </c>
      <c r="AB38" s="17"/>
      <c r="AC38" s="17"/>
      <c r="AD38" s="17"/>
      <c r="AE38" s="17"/>
    </row>
    <row r="39">
      <c r="A39" s="100" t="s">
        <v>4088</v>
      </c>
      <c r="B39" s="117" t="s">
        <v>4089</v>
      </c>
      <c r="C39" s="305" t="s">
        <v>723</v>
      </c>
      <c r="D39" s="100" t="s">
        <v>4090</v>
      </c>
      <c r="E39" s="117" t="s">
        <v>4091</v>
      </c>
      <c r="F39" s="308" t="str">
        <f>IFERROR(__xludf.DUMMYFUNCTION("GOOGLETRANSLATE(C39,""zh-tw"",""ja"")"),"-")</f>
        <v>-</v>
      </c>
      <c r="G39" s="100" t="s">
        <v>4092</v>
      </c>
      <c r="H39" s="117" t="s">
        <v>4093</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4094</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4095</v>
      </c>
      <c r="W39" s="309" t="s">
        <v>4096</v>
      </c>
      <c r="X39" s="311" t="s">
        <v>3689</v>
      </c>
      <c r="Y39" s="94" t="s">
        <v>4097</v>
      </c>
      <c r="Z39" s="123" t="s">
        <v>4098</v>
      </c>
      <c r="AA39" s="312" t="s">
        <v>723</v>
      </c>
      <c r="AB39" s="17"/>
      <c r="AC39" s="17"/>
      <c r="AD39" s="17"/>
      <c r="AE39" s="17"/>
    </row>
    <row r="40">
      <c r="A40" s="100" t="s">
        <v>4099</v>
      </c>
      <c r="B40" s="117" t="s">
        <v>4100</v>
      </c>
      <c r="C40" s="305" t="s">
        <v>723</v>
      </c>
      <c r="D40" s="100" t="s">
        <v>4101</v>
      </c>
      <c r="E40" s="117" t="s">
        <v>4102</v>
      </c>
      <c r="F40" s="308" t="str">
        <f>IFERROR(__xludf.DUMMYFUNCTION("GOOGLETRANSLATE(C40,""zh-tw"",""ja"")"),"-")</f>
        <v>-</v>
      </c>
      <c r="G40" s="100" t="s">
        <v>4103</v>
      </c>
      <c r="H40" s="117" t="s">
        <v>4104</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4105</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4106</v>
      </c>
      <c r="W40" s="309" t="s">
        <v>4107</v>
      </c>
      <c r="X40" s="311" t="s">
        <v>3689</v>
      </c>
      <c r="Y40" s="94" t="s">
        <v>4108</v>
      </c>
      <c r="Z40" s="123" t="s">
        <v>4109</v>
      </c>
      <c r="AA40" s="312" t="s">
        <v>723</v>
      </c>
      <c r="AB40" s="17"/>
      <c r="AC40" s="17"/>
      <c r="AD40" s="17"/>
      <c r="AE40" s="17"/>
    </row>
    <row r="41">
      <c r="A41" s="100" t="s">
        <v>4110</v>
      </c>
      <c r="B41" s="117" t="s">
        <v>4111</v>
      </c>
      <c r="C41" s="305" t="s">
        <v>723</v>
      </c>
      <c r="D41" s="100" t="s">
        <v>4110</v>
      </c>
      <c r="E41" s="117" t="s">
        <v>4112</v>
      </c>
      <c r="F41" s="308" t="str">
        <f>IFERROR(__xludf.DUMMYFUNCTION("GOOGLETRANSLATE(C41,""zh-tw"",""ja"")"),"-")</f>
        <v>-</v>
      </c>
      <c r="G41" s="100" t="s">
        <v>4113</v>
      </c>
      <c r="H41" s="117" t="s">
        <v>4114</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4113</v>
      </c>
      <c r="W41" s="309" t="s">
        <v>4115</v>
      </c>
      <c r="X41" s="311" t="s">
        <v>3689</v>
      </c>
      <c r="Y41" s="94" t="s">
        <v>4113</v>
      </c>
      <c r="Z41" s="123" t="s">
        <v>4116</v>
      </c>
      <c r="AA41" s="312" t="s">
        <v>723</v>
      </c>
      <c r="AB41" s="17"/>
      <c r="AC41" s="17"/>
      <c r="AD41" s="17"/>
      <c r="AE41" s="17"/>
    </row>
    <row r="42">
      <c r="A42" s="88" t="s">
        <v>4117</v>
      </c>
      <c r="B42" s="117" t="s">
        <v>4118</v>
      </c>
      <c r="C42" s="305" t="s">
        <v>4119</v>
      </c>
      <c r="D42" s="88" t="s">
        <v>4120</v>
      </c>
      <c r="E42" s="117" t="s">
        <v>4121</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4122</v>
      </c>
      <c r="H42" s="117" t="s">
        <v>4123</v>
      </c>
      <c r="I42" s="305" t="s">
        <v>4124</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Черрис/Кулон из сердолика и нефрита")</f>
        <v>Проклятая рука Черрис/Кулон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4125</v>
      </c>
      <c r="W42" s="121" t="s">
        <v>4126</v>
      </c>
      <c r="X42" s="305" t="s">
        <v>723</v>
      </c>
      <c r="Y42" s="139" t="s">
        <v>4127</v>
      </c>
      <c r="Z42" s="123" t="s">
        <v>4128</v>
      </c>
      <c r="AA42" s="312" t="s">
        <v>4129</v>
      </c>
      <c r="AB42" s="142"/>
      <c r="AC42" s="142"/>
      <c r="AD42" s="142"/>
      <c r="AE42" s="142"/>
    </row>
    <row r="43">
      <c r="A43" s="100" t="s">
        <v>4130</v>
      </c>
      <c r="B43" s="117" t="s">
        <v>4131</v>
      </c>
      <c r="C43" s="305" t="s">
        <v>4132</v>
      </c>
      <c r="D43" s="100" t="s">
        <v>4130</v>
      </c>
      <c r="E43" s="117" t="s">
        <v>4133</v>
      </c>
      <c r="F43" s="305" t="s">
        <v>4134</v>
      </c>
      <c r="G43" s="100" t="s">
        <v>4130</v>
      </c>
      <c r="H43" s="117" t="s">
        <v>4135</v>
      </c>
      <c r="I43" s="305" t="s">
        <v>4136</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4130</v>
      </c>
      <c r="W43" s="117" t="s">
        <v>4137</v>
      </c>
      <c r="X43" s="305" t="s">
        <v>4138</v>
      </c>
      <c r="Y43" s="94" t="s">
        <v>4139</v>
      </c>
      <c r="Z43" s="123" t="s">
        <v>4140</v>
      </c>
      <c r="AA43" s="312" t="s">
        <v>4141</v>
      </c>
      <c r="AB43" s="17"/>
      <c r="AC43" s="17"/>
      <c r="AD43" s="17"/>
      <c r="AE43" s="17"/>
    </row>
    <row r="44">
      <c r="A44" s="100" t="s">
        <v>4142</v>
      </c>
      <c r="B44" s="117" t="s">
        <v>4143</v>
      </c>
      <c r="C44" s="305" t="s">
        <v>4144</v>
      </c>
      <c r="D44" s="100" t="s">
        <v>4145</v>
      </c>
      <c r="E44" s="117" t="s">
        <v>4146</v>
      </c>
      <c r="F44" s="305" t="s">
        <v>4144</v>
      </c>
      <c r="G44" s="100" t="s">
        <v>4147</v>
      </c>
      <c r="H44" s="117" t="s">
        <v>4148</v>
      </c>
      <c r="I44" s="305" t="s">
        <v>4144</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4144</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4144</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4144</v>
      </c>
      <c r="V44" s="100"/>
      <c r="W44" s="117" t="s">
        <v>4149</v>
      </c>
      <c r="X44" s="305" t="s">
        <v>4144</v>
      </c>
      <c r="Y44" s="94" t="s">
        <v>4139</v>
      </c>
      <c r="Z44" s="123" t="s">
        <v>4150</v>
      </c>
      <c r="AA44" s="312" t="s">
        <v>4144</v>
      </c>
      <c r="AB44" s="17"/>
      <c r="AC44" s="17"/>
      <c r="AD44" s="17"/>
      <c r="AE44" s="17"/>
    </row>
    <row r="45">
      <c r="A45" s="88" t="s">
        <v>4151</v>
      </c>
      <c r="B45" s="121" t="s">
        <v>4152</v>
      </c>
      <c r="C45" s="305" t="s">
        <v>4144</v>
      </c>
      <c r="D45" s="88" t="s">
        <v>4153</v>
      </c>
      <c r="E45" s="121" t="s">
        <v>4154</v>
      </c>
      <c r="F45" s="305" t="s">
        <v>4144</v>
      </c>
      <c r="G45" s="88" t="s">
        <v>4155</v>
      </c>
      <c r="H45" s="117" t="s">
        <v>4156</v>
      </c>
      <c r="I45" s="305" t="s">
        <v>4144</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4157</v>
      </c>
      <c r="P45" s="88" t="str">
        <f>IFERROR(__xludf.DUMMYFUNCTION("GOOGLETRANSLATE(A45,""zh-tw"",""KO"")"),"하코니와 정원의 흰 토끼")</f>
        <v>하코니와 정원의 흰 토끼</v>
      </c>
      <c r="Q45" s="121" t="str">
        <f>IFERROR(__xludf.DUMMYFUNCTION("GOOGLETRANSLATE(B45,""zh-tw"",""KO"")"),"당근 검/당근")</f>
        <v>당근 검/당근</v>
      </c>
      <c r="R45" s="305" t="s">
        <v>4144</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4144</v>
      </c>
      <c r="V45" s="88" t="s">
        <v>4158</v>
      </c>
      <c r="W45" s="121" t="s">
        <v>4159</v>
      </c>
      <c r="X45" s="305" t="s">
        <v>4157</v>
      </c>
      <c r="Y45" s="139" t="s">
        <v>4160</v>
      </c>
      <c r="Z45" s="176" t="s">
        <v>4161</v>
      </c>
      <c r="AA45" s="312" t="s">
        <v>4144</v>
      </c>
      <c r="AB45" s="17"/>
      <c r="AC45" s="17"/>
      <c r="AD45" s="17"/>
      <c r="AE45" s="17"/>
    </row>
    <row r="46">
      <c r="A46" s="100" t="s">
        <v>4162</v>
      </c>
      <c r="B46" s="117" t="s">
        <v>4163</v>
      </c>
      <c r="C46" s="305" t="s">
        <v>723</v>
      </c>
      <c r="D46" s="100" t="s">
        <v>4164</v>
      </c>
      <c r="E46" s="121"/>
      <c r="F46" s="310"/>
      <c r="G46" s="100" t="s">
        <v>4165</v>
      </c>
      <c r="H46" s="117" t="s">
        <v>4166</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4167</v>
      </c>
      <c r="W46" s="117" t="s">
        <v>4168</v>
      </c>
      <c r="X46" s="305" t="s">
        <v>723</v>
      </c>
      <c r="Y46" s="94" t="s">
        <v>4169</v>
      </c>
      <c r="Z46" s="123" t="s">
        <v>4170</v>
      </c>
      <c r="AA46" s="312" t="s">
        <v>723</v>
      </c>
      <c r="AB46" s="17"/>
      <c r="AC46" s="17"/>
      <c r="AD46" s="17"/>
      <c r="AE46" s="17"/>
    </row>
    <row r="47">
      <c r="A47" s="100" t="s">
        <v>4171</v>
      </c>
      <c r="B47" s="105" t="s">
        <v>4172</v>
      </c>
      <c r="C47" s="305" t="s">
        <v>4173</v>
      </c>
      <c r="D47" s="88"/>
      <c r="E47" s="121"/>
      <c r="F47" s="310"/>
      <c r="G47" s="100" t="s">
        <v>4174</v>
      </c>
      <c r="H47" s="117" t="s">
        <v>4175</v>
      </c>
      <c r="I47" s="305" t="s">
        <v>4176</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수면을 폭파하세요")</f>
        <v>폭탄을 사용하여 수면을 폭파하세요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поверхность воды.")</f>
        <v>Используйте бомбы, чтобы взорвать поверхность воды.</v>
      </c>
      <c r="V47" s="100" t="s">
        <v>4177</v>
      </c>
      <c r="W47" s="314" t="s">
        <v>4178</v>
      </c>
      <c r="X47" s="305" t="s">
        <v>4179</v>
      </c>
      <c r="Y47" s="94" t="s">
        <v>4180</v>
      </c>
      <c r="Z47" s="123" t="s">
        <v>4181</v>
      </c>
      <c r="AA47" s="312" t="s">
        <v>4182</v>
      </c>
      <c r="AB47" s="17"/>
      <c r="AC47" s="17"/>
      <c r="AD47" s="17"/>
      <c r="AE47" s="17"/>
    </row>
    <row r="48">
      <c r="A48" s="100" t="s">
        <v>4183</v>
      </c>
      <c r="B48" s="121" t="s">
        <v>4184</v>
      </c>
      <c r="C48" s="305" t="s">
        <v>4173</v>
      </c>
      <c r="D48" s="88"/>
      <c r="E48" s="121"/>
      <c r="F48" s="310"/>
      <c r="G48" s="100" t="s">
        <v>4185</v>
      </c>
      <c r="H48" s="117" t="s">
        <v>4186</v>
      </c>
      <c r="I48" s="305" t="s">
        <v>4176</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수면을 폭파하세요")</f>
        <v>폭탄을 사용하여 수면을 폭파하세요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поверхность воды.")</f>
        <v>Используйте бомбы, чтобы взорвать поверхность воды.</v>
      </c>
      <c r="V48" s="100" t="s">
        <v>4187</v>
      </c>
      <c r="W48" s="314" t="s">
        <v>4188</v>
      </c>
      <c r="X48" s="305" t="s">
        <v>4179</v>
      </c>
      <c r="Y48" s="94" t="s">
        <v>4189</v>
      </c>
      <c r="Z48" s="176" t="s">
        <v>4190</v>
      </c>
      <c r="AA48" s="312" t="s">
        <v>4182</v>
      </c>
      <c r="AB48" s="17"/>
      <c r="AC48" s="17"/>
      <c r="AD48" s="17"/>
      <c r="AE48" s="17"/>
    </row>
    <row r="49">
      <c r="A49" s="100" t="s">
        <v>4191</v>
      </c>
      <c r="B49" s="117" t="s">
        <v>4192</v>
      </c>
      <c r="C49" s="305" t="s">
        <v>4193</v>
      </c>
      <c r="D49" s="88"/>
      <c r="E49" s="121"/>
      <c r="F49" s="310"/>
      <c r="G49" s="100" t="s">
        <v>4194</v>
      </c>
      <c r="H49" s="117" t="s">
        <v>4195</v>
      </c>
      <c r="I49" s="305" t="s">
        <v>4196</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4197</v>
      </c>
      <c r="W49" s="314" t="s">
        <v>4198</v>
      </c>
      <c r="X49" s="305" t="s">
        <v>4199</v>
      </c>
      <c r="Y49" s="94" t="s">
        <v>4200</v>
      </c>
      <c r="Z49" s="123" t="s">
        <v>4201</v>
      </c>
      <c r="AA49" s="312" t="s">
        <v>4202</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row>
    <row r="2" ht="55.5" customHeight="1">
      <c r="S2" s="292"/>
      <c r="T2" s="292"/>
    </row>
    <row r="3">
      <c r="A3" s="319" t="s">
        <v>4203</v>
      </c>
      <c r="B3" s="72" t="s">
        <v>4204</v>
      </c>
      <c r="C3" s="319" t="str">
        <f>IFERROR(__xludf.DUMMYFUNCTION("GOOGLETRANSLATE(A3,""zh-tw"",""ja"")"),"武器プロジェクト")</f>
        <v>武器プロジェクト</v>
      </c>
      <c r="D3" s="72" t="str">
        <f>IFERROR(__xludf.DUMMYFUNCTION("GOOGLETRANSLATE(B3,""zh-tw"",""ja"")"),"武器の属性")</f>
        <v>武器の属性</v>
      </c>
      <c r="E3" s="319" t="s">
        <v>4205</v>
      </c>
      <c r="F3" s="72" t="s">
        <v>4206</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4207</v>
      </c>
      <c r="P3" s="72" t="s">
        <v>4208</v>
      </c>
      <c r="Q3" s="322" t="s">
        <v>4209</v>
      </c>
      <c r="R3" s="323" t="s">
        <v>4210</v>
      </c>
      <c r="S3" s="304"/>
      <c r="T3" s="304"/>
    </row>
    <row r="4">
      <c r="A4" s="324" t="s">
        <v>4211</v>
      </c>
      <c r="B4" s="117" t="s">
        <v>4212</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4213</v>
      </c>
      <c r="F4" s="309" t="s">
        <v>4214</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4215</v>
      </c>
      <c r="L4" s="117" t="s">
        <v>4216</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4217</v>
      </c>
      <c r="P4" s="309" t="s">
        <v>4218</v>
      </c>
      <c r="Q4" s="328" t="s">
        <v>4219</v>
      </c>
      <c r="R4" s="329" t="s">
        <v>4220</v>
      </c>
      <c r="S4" s="17"/>
      <c r="T4" s="17"/>
    </row>
    <row r="5">
      <c r="A5" s="325" t="s">
        <v>4221</v>
      </c>
      <c r="B5" s="309" t="s">
        <v>4222</v>
      </c>
      <c r="C5" s="325" t="s">
        <v>4223</v>
      </c>
      <c r="D5" s="309" t="str">
        <f>IFERROR(__xludf.DUMMYFUNCTION("GOOGLETRANSLATE(B5,""zh-tw"",""ja"")"),"物理攻撃力: 15")</f>
        <v>物理攻撃力: 15</v>
      </c>
      <c r="E5" s="325" t="s">
        <v>4224</v>
      </c>
      <c r="F5" s="309" t="s">
        <v>4225</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4226</v>
      </c>
      <c r="L5" s="117" t="s">
        <v>4227</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4228</v>
      </c>
      <c r="P5" s="309" t="s">
        <v>4229</v>
      </c>
      <c r="Q5" s="328" t="s">
        <v>4230</v>
      </c>
      <c r="R5" s="329" t="s">
        <v>4231</v>
      </c>
      <c r="S5" s="196"/>
      <c r="T5" s="196"/>
    </row>
    <row r="6">
      <c r="A6" s="325" t="s">
        <v>4232</v>
      </c>
      <c r="B6" s="309" t="s">
        <v>4233</v>
      </c>
      <c r="C6" s="325" t="s">
        <v>4234</v>
      </c>
      <c r="D6" s="309" t="str">
        <f>IFERROR(__xludf.DUMMYFUNCTION("GOOGLETRANSLATE(B6,""zh-tw"",""ja"")"),"物理攻撃力: 14")</f>
        <v>物理攻撃力: 14</v>
      </c>
      <c r="E6" s="325" t="s">
        <v>4235</v>
      </c>
      <c r="F6" s="309" t="s">
        <v>4236</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4237</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4238</v>
      </c>
      <c r="P6" s="309" t="s">
        <v>4239</v>
      </c>
      <c r="Q6" s="328" t="s">
        <v>4240</v>
      </c>
      <c r="R6" s="329" t="s">
        <v>4241</v>
      </c>
      <c r="S6" s="196"/>
      <c r="T6" s="196"/>
    </row>
    <row r="7">
      <c r="A7" s="325" t="s">
        <v>4242</v>
      </c>
      <c r="B7" s="309" t="s">
        <v>4243</v>
      </c>
      <c r="C7" s="325" t="str">
        <f>IFERROR(__xludf.DUMMYFUNCTION("GOOGLETRANSLATE(A7,""zh-tw"",""ja"")"),"木こりの斧")</f>
        <v>木こりの斧</v>
      </c>
      <c r="D7" s="309" t="str">
        <f>IFERROR(__xludf.DUMMYFUNCTION("GOOGLETRANSLATE(B7,""zh-tw"",""ja"")"),"物理攻撃力: 24")</f>
        <v>物理攻撃力: 24</v>
      </c>
      <c r="E7" s="325" t="s">
        <v>4244</v>
      </c>
      <c r="F7" s="309" t="s">
        <v>4245</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4246</v>
      </c>
      <c r="L7" s="117" t="s">
        <v>4247</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4248</v>
      </c>
      <c r="P7" s="309" t="s">
        <v>4249</v>
      </c>
      <c r="Q7" s="328" t="s">
        <v>4250</v>
      </c>
      <c r="R7" s="329" t="s">
        <v>4251</v>
      </c>
      <c r="S7" s="196"/>
      <c r="T7" s="196"/>
    </row>
    <row r="8">
      <c r="A8" s="325" t="s">
        <v>4252</v>
      </c>
      <c r="B8" s="309" t="s">
        <v>4253</v>
      </c>
      <c r="C8" s="325" t="str">
        <f>IFERROR(__xludf.DUMMYFUNCTION("GOOGLETRANSLATE(A8,""zh-tw"",""ja"")"),"騎士の剣")</f>
        <v>騎士の剣</v>
      </c>
      <c r="D8" s="309" t="str">
        <f>IFERROR(__xludf.DUMMYFUNCTION("GOOGLETRANSLATE(B8,""zh-tw"",""ja"")"),"物理攻撃力：30
条件を満たすと2倍")</f>
        <v>物理攻撃力：30
条件を満たすと2倍</v>
      </c>
      <c r="E8" s="325" t="s">
        <v>3829</v>
      </c>
      <c r="F8" s="309" t="s">
        <v>4254</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4255</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3833</v>
      </c>
      <c r="P8" s="309" t="s">
        <v>4256</v>
      </c>
      <c r="Q8" s="328" t="s">
        <v>4257</v>
      </c>
      <c r="R8" s="329" t="s">
        <v>4258</v>
      </c>
      <c r="S8" s="196"/>
      <c r="T8" s="196"/>
    </row>
    <row r="9">
      <c r="A9" s="325" t="s">
        <v>4259</v>
      </c>
      <c r="B9" s="309" t="s">
        <v>4260</v>
      </c>
      <c r="C9" s="325" t="s">
        <v>4261</v>
      </c>
      <c r="D9" s="309" t="str">
        <f>IFERROR(__xludf.DUMMYFUNCTION("GOOGLETRANSLATE(B9,""zh-tw"",""ja"")"),"物理攻撃力: 42")</f>
        <v>物理攻撃力: 42</v>
      </c>
      <c r="E9" s="325" t="s">
        <v>4262</v>
      </c>
      <c r="F9" s="309" t="s">
        <v>4263</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4264</v>
      </c>
      <c r="L9" s="117" t="s">
        <v>4265</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4266</v>
      </c>
      <c r="P9" s="309" t="s">
        <v>4267</v>
      </c>
      <c r="Q9" s="328" t="s">
        <v>4268</v>
      </c>
      <c r="R9" s="329" t="s">
        <v>4269</v>
      </c>
      <c r="S9" s="196"/>
      <c r="T9" s="196"/>
    </row>
    <row r="10">
      <c r="A10" s="326" t="s">
        <v>4270</v>
      </c>
      <c r="B10" s="121" t="s">
        <v>4271</v>
      </c>
      <c r="C10" s="326" t="s">
        <v>4272</v>
      </c>
      <c r="D10" s="105" t="s">
        <v>4273</v>
      </c>
      <c r="E10" s="330" t="s">
        <v>4274</v>
      </c>
      <c r="F10" s="105" t="s">
        <v>4275</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4276</v>
      </c>
      <c r="P10" s="105" t="s">
        <v>4277</v>
      </c>
      <c r="Q10" s="328" t="s">
        <v>4278</v>
      </c>
      <c r="R10" s="329" t="s">
        <v>4279</v>
      </c>
      <c r="S10" s="17"/>
      <c r="T10" s="17"/>
    </row>
    <row r="11">
      <c r="A11" s="325" t="s">
        <v>4280</v>
      </c>
      <c r="B11" s="309" t="s">
        <v>4281</v>
      </c>
      <c r="C11" s="325" t="s">
        <v>4282</v>
      </c>
      <c r="D11" s="309" t="str">
        <f>IFERROR(__xludf.DUMMYFUNCTION("GOOGLETRANSLATE(B11,""zh-tw"",""ja"")"),"物理攻撃力：20
飛び道具を反射する")</f>
        <v>物理攻撃力：20
飛び道具を反射する</v>
      </c>
      <c r="E11" s="325" t="s">
        <v>4283</v>
      </c>
      <c r="F11" s="309" t="s">
        <v>4284</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4285</v>
      </c>
      <c r="L11" s="117" t="s">
        <v>4286</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4287</v>
      </c>
      <c r="P11" s="309" t="s">
        <v>4288</v>
      </c>
      <c r="Q11" s="328" t="s">
        <v>4289</v>
      </c>
      <c r="R11" s="329" t="s">
        <v>4290</v>
      </c>
      <c r="S11" s="196"/>
      <c r="T11" s="196"/>
    </row>
    <row r="12">
      <c r="A12" s="325" t="s">
        <v>4291</v>
      </c>
      <c r="B12" s="309" t="s">
        <v>4292</v>
      </c>
      <c r="C12" s="325" t="s">
        <v>4293</v>
      </c>
      <c r="D12" s="309" t="str">
        <f>IFERROR(__xludf.DUMMYFUNCTION("GOOGLETRANSLATE(B12,""zh-tw"",""ja"")"),"物理攻撃力：14
悪臭を放つ")</f>
        <v>物理攻撃力：14
悪臭を放つ</v>
      </c>
      <c r="E12" s="325" t="s">
        <v>4294</v>
      </c>
      <c r="F12" s="309" t="s">
        <v>4295</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4296</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4297</v>
      </c>
      <c r="P12" s="309" t="s">
        <v>4298</v>
      </c>
      <c r="Q12" s="328" t="s">
        <v>4299</v>
      </c>
      <c r="R12" s="329" t="s">
        <v>4300</v>
      </c>
      <c r="S12" s="196"/>
      <c r="T12" s="196"/>
    </row>
    <row r="13">
      <c r="A13" s="325" t="s">
        <v>4301</v>
      </c>
      <c r="B13" s="309" t="s">
        <v>4302</v>
      </c>
      <c r="C13" s="325" t="str">
        <f>IFERROR(__xludf.DUMMYFUNCTION("GOOGLETRANSLATE(A13,""zh-tw"",""ja"")"),"ヤン・ヤン")</f>
        <v>ヤン・ヤン</v>
      </c>
      <c r="D13" s="309" t="str">
        <f>IFERROR(__xludf.DUMMYFUNCTION("GOOGLETRANSLATE(B13,""zh-tw"",""ja"")"),"物理攻撃力：32
魔法攻撃力：16
火")</f>
        <v>物理攻撃力：32
魔法攻撃力：16
火</v>
      </c>
      <c r="E13" s="325" t="s">
        <v>4303</v>
      </c>
      <c r="F13" s="309" t="s">
        <v>4304</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4305</v>
      </c>
      <c r="L13" s="117" t="s">
        <v>4306</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4307</v>
      </c>
      <c r="P13" s="309" t="s">
        <v>4308</v>
      </c>
      <c r="Q13" s="328" t="s">
        <v>4309</v>
      </c>
      <c r="R13" s="329" t="s">
        <v>4310</v>
      </c>
      <c r="S13" s="196"/>
      <c r="T13" s="196"/>
    </row>
    <row r="14">
      <c r="A14" s="325" t="s">
        <v>4311</v>
      </c>
      <c r="B14" s="309" t="s">
        <v>4312</v>
      </c>
      <c r="C14" s="325" t="s">
        <v>4311</v>
      </c>
      <c r="D14" s="309" t="str">
        <f>IFERROR(__xludf.DUMMYFUNCTION("GOOGLETRANSLATE(B14,""zh-tw"",""ja"")"),"物理攻撃力：20
魔法攻撃力：14
氷")</f>
        <v>物理攻撃力：20
魔法攻撃力：14
氷</v>
      </c>
      <c r="E14" s="325" t="s">
        <v>4313</v>
      </c>
      <c r="F14" s="309" t="s">
        <v>4314</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4315</v>
      </c>
      <c r="L14" s="117" t="s">
        <v>4316</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4317</v>
      </c>
      <c r="P14" s="309" t="s">
        <v>4318</v>
      </c>
      <c r="Q14" s="328" t="s">
        <v>4319</v>
      </c>
      <c r="R14" s="329" t="s">
        <v>4320</v>
      </c>
      <c r="S14" s="196"/>
      <c r="T14" s="196"/>
    </row>
    <row r="15">
      <c r="A15" s="325" t="s">
        <v>4321</v>
      </c>
      <c r="B15" s="309" t="s">
        <v>4322</v>
      </c>
      <c r="C15" s="325" t="str">
        <f>IFERROR(__xludf.DUMMYFUNCTION("GOOGLETRANSLATE(A15,""zh-tw"",""ja"")"),"漏電の恐れがある不良品")</f>
        <v>漏電の恐れがある不良品</v>
      </c>
      <c r="D15" s="309" t="str">
        <f>IFERROR(__xludf.DUMMYFUNCTION("GOOGLETRANSLATE(B15,""zh-tw"",""ja"")"),"物理攻撃力：32
魔法攻撃力：12
電撃")</f>
        <v>物理攻撃力：32
魔法攻撃力：12
電撃</v>
      </c>
      <c r="E15" s="325" t="s">
        <v>4323</v>
      </c>
      <c r="F15" s="309" t="s">
        <v>4324</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4325</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4326</v>
      </c>
      <c r="P15" s="309" t="s">
        <v>4327</v>
      </c>
      <c r="Q15" s="328" t="s">
        <v>4328</v>
      </c>
      <c r="R15" s="329" t="s">
        <v>4329</v>
      </c>
      <c r="S15" s="196"/>
      <c r="T15" s="196"/>
    </row>
    <row r="16">
      <c r="A16" s="325" t="s">
        <v>4330</v>
      </c>
      <c r="B16" s="309" t="s">
        <v>4331</v>
      </c>
      <c r="C16" s="325" t="s">
        <v>4332</v>
      </c>
      <c r="D16" s="309" t="str">
        <f>IFERROR(__xludf.DUMMYFUNCTION("GOOGLETRANSLATE(B16,""zh-tw"",""ja"")"),"物理攻撃力：14
毒")</f>
        <v>物理攻撃力：14
毒</v>
      </c>
      <c r="E16" s="325" t="s">
        <v>4333</v>
      </c>
      <c r="F16" s="309" t="s">
        <v>4334</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4335</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4336</v>
      </c>
      <c r="P16" s="309" t="s">
        <v>4337</v>
      </c>
      <c r="Q16" s="328" t="s">
        <v>4338</v>
      </c>
      <c r="R16" s="329" t="s">
        <v>4339</v>
      </c>
      <c r="S16" s="196"/>
      <c r="T16" s="196"/>
    </row>
    <row r="17">
      <c r="A17" s="325" t="s">
        <v>4340</v>
      </c>
      <c r="B17" s="309" t="s">
        <v>4341</v>
      </c>
      <c r="C17" s="325" t="s">
        <v>4342</v>
      </c>
      <c r="D17" s="309" t="str">
        <f>IFERROR(__xludf.DUMMYFUNCTION("GOOGLETRANSLATE(B17,""zh-tw"",""ja"")"),"物理攻撃力：42
分割攻撃")</f>
        <v>物理攻撃力：42
分割攻撃</v>
      </c>
      <c r="E17" s="324" t="s">
        <v>4343</v>
      </c>
      <c r="F17" s="117" t="s">
        <v>4344</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4345</v>
      </c>
      <c r="P17" s="309" t="s">
        <v>4346</v>
      </c>
      <c r="Q17" s="328" t="s">
        <v>4347</v>
      </c>
      <c r="R17" s="329" t="s">
        <v>4348</v>
      </c>
      <c r="S17" s="196"/>
      <c r="T17" s="196"/>
    </row>
    <row r="18" ht="49.5" customHeight="1">
      <c r="A18" s="325" t="s">
        <v>4349</v>
      </c>
      <c r="B18" s="309" t="s">
        <v>4350</v>
      </c>
      <c r="C18" s="325" t="s">
        <v>4351</v>
      </c>
      <c r="D18" s="309" t="str">
        <f>IFERROR(__xludf.DUMMYFUNCTION("GOOGLETRANSLATE(B18,""zh-tw"",""ja"")"),"物理攻撃力: 48
魔法耐性: 20
武器タイプ:")</f>
        <v>物理攻撃力: 48
魔法耐性: 20
武器タイプ:</v>
      </c>
      <c r="E18" s="325" t="s">
        <v>4352</v>
      </c>
      <c r="F18" s="309" t="s">
        <v>4353</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4354</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4355</v>
      </c>
      <c r="P18" s="309" t="s">
        <v>4356</v>
      </c>
      <c r="Q18" s="328" t="s">
        <v>4357</v>
      </c>
      <c r="R18" s="329" t="s">
        <v>4358</v>
      </c>
      <c r="S18" s="196"/>
      <c r="T18" s="196"/>
    </row>
    <row r="19">
      <c r="A19" s="325" t="s">
        <v>4359</v>
      </c>
      <c r="B19" s="309" t="s">
        <v>4360</v>
      </c>
      <c r="C19" s="325" t="s">
        <v>4361</v>
      </c>
      <c r="D19" s="309" t="str">
        <f>IFERROR(__xludf.DUMMYFUNCTION("GOOGLETRANSLATE(B19,""zh-tw"",""ja"")"),"物理攻撃力：1
累積ダメージ武器")</f>
        <v>物理攻撃力：1
累積ダメージ武器</v>
      </c>
      <c r="E19" s="325" t="s">
        <v>4362</v>
      </c>
      <c r="F19" s="309" t="s">
        <v>4363</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4364</v>
      </c>
      <c r="P19" s="309" t="s">
        <v>4365</v>
      </c>
      <c r="Q19" s="328" t="s">
        <v>4366</v>
      </c>
      <c r="R19" s="329" t="s">
        <v>4367</v>
      </c>
      <c r="S19" s="196"/>
      <c r="T19" s="196"/>
    </row>
    <row r="20">
      <c r="A20" s="325" t="s">
        <v>4368</v>
      </c>
      <c r="B20" s="309" t="s">
        <v>4369</v>
      </c>
      <c r="C20" s="325" t="s">
        <v>4370</v>
      </c>
      <c r="D20" s="309" t="str">
        <f>IFERROR(__xludf.DUMMYFUNCTION("GOOGLETRANSLATE(B20,""zh-tw"",""ja"")"),"物理攻撃力: 20
物理耐性: 2
累積品質武器")</f>
        <v>物理攻撃力: 20
物理耐性: 2
累積品質武器</v>
      </c>
      <c r="E20" s="325" t="s">
        <v>4371</v>
      </c>
      <c r="F20" s="309" t="s">
        <v>4372</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4373</v>
      </c>
      <c r="P20" s="309" t="s">
        <v>4374</v>
      </c>
      <c r="Q20" s="328" t="s">
        <v>4375</v>
      </c>
      <c r="R20" s="329" t="s">
        <v>4376</v>
      </c>
      <c r="S20" s="196"/>
      <c r="T20" s="196"/>
    </row>
    <row r="21">
      <c r="A21" s="325" t="s">
        <v>4377</v>
      </c>
      <c r="B21" s="309" t="s">
        <v>4378</v>
      </c>
      <c r="C21" s="325" t="s">
        <v>4379</v>
      </c>
      <c r="D21" s="309" t="str">
        <f>IFERROR(__xludf.DUMMYFUNCTION("GOOGLETRANSLATE(B21,""zh-tw"",""ja"")"),"物理攻撃力：40
ソードウェーブ発射")</f>
        <v>物理攻撃力：40
ソードウェーブ発射</v>
      </c>
      <c r="E21" s="325" t="s">
        <v>4380</v>
      </c>
      <c r="F21" s="309" t="s">
        <v>4381</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4382</v>
      </c>
      <c r="P21" s="309" t="s">
        <v>4383</v>
      </c>
      <c r="Q21" s="328" t="s">
        <v>4384</v>
      </c>
      <c r="R21" s="329" t="s">
        <v>4385</v>
      </c>
      <c r="S21" s="196"/>
      <c r="T21" s="196"/>
    </row>
    <row r="22">
      <c r="A22" s="325" t="s">
        <v>4386</v>
      </c>
      <c r="B22" s="309" t="s">
        <v>4387</v>
      </c>
      <c r="C22" s="325" t="s">
        <v>4388</v>
      </c>
      <c r="D22" s="309" t="str">
        <f>IFERROR(__xludf.DUMMYFUNCTION("GOOGLETRANSLATE(B22,""zh-tw"",""ja"")"),"物理攻撃力：30
出血")</f>
        <v>物理攻撃力：30
出血</v>
      </c>
      <c r="E22" s="325" t="s">
        <v>4389</v>
      </c>
      <c r="F22" s="309" t="s">
        <v>4390</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4391</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4392</v>
      </c>
      <c r="P22" s="309" t="s">
        <v>4393</v>
      </c>
      <c r="Q22" s="328" t="s">
        <v>4394</v>
      </c>
      <c r="R22" s="329" t="s">
        <v>4395</v>
      </c>
      <c r="S22" s="196"/>
      <c r="T22" s="196"/>
    </row>
    <row r="23">
      <c r="A23" s="325" t="s">
        <v>4396</v>
      </c>
      <c r="B23" s="309" t="s">
        <v>4397</v>
      </c>
      <c r="C23" s="325" t="s">
        <v>4398</v>
      </c>
      <c r="D23" s="309" t="str">
        <f>IFERROR(__xludf.DUMMYFUNCTION("GOOGLETRANSLATE(B23,""zh-tw"",""ja"")"),"物理攻撃力：32
ノックダウン回復")</f>
        <v>物理攻撃力：32
ノックダウン回復</v>
      </c>
      <c r="E23" s="325" t="s">
        <v>4399</v>
      </c>
      <c r="F23" s="309" t="s">
        <v>4400</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IFERROR(__xludf.DUMMYFUNCTION("GOOGLETRANSLATE(A23,""zh-tw"",""es-MX"")"),"Hoja parásita")</f>
        <v>Hoja parásita</v>
      </c>
      <c r="J23" s="121" t="str">
        <f>IFERROR(__xludf.DUMMYFUNCTION("GOOGLETRANSLATE(B23,""zh-tw"",""es-MX"")"),"Ataque físico: 32
Recuperación tras derribo")</f>
        <v>Ataque físico: 32
Recuperación tras derribo</v>
      </c>
      <c r="K23" s="324" t="s">
        <v>4401</v>
      </c>
      <c r="L23" s="117" t="s">
        <v>4402</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4403</v>
      </c>
      <c r="P23" s="309" t="s">
        <v>4404</v>
      </c>
      <c r="Q23" s="328" t="s">
        <v>4405</v>
      </c>
      <c r="R23" s="329" t="s">
        <v>4406</v>
      </c>
      <c r="S23" s="196"/>
      <c r="T23" s="196"/>
    </row>
    <row r="24">
      <c r="A24" s="330" t="s">
        <v>4407</v>
      </c>
      <c r="B24" s="105" t="s">
        <v>4408</v>
      </c>
      <c r="C24" s="330" t="s">
        <v>4409</v>
      </c>
      <c r="D24" s="105" t="s">
        <v>4410</v>
      </c>
      <c r="E24" s="330" t="s">
        <v>4411</v>
      </c>
      <c r="F24" s="105" t="s">
        <v>4412</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4413</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4414</v>
      </c>
      <c r="P24" s="105" t="s">
        <v>4415</v>
      </c>
      <c r="Q24" s="328" t="s">
        <v>4416</v>
      </c>
      <c r="R24" s="329" t="s">
        <v>4417</v>
      </c>
      <c r="S24" s="196"/>
      <c r="T24" s="196"/>
    </row>
    <row r="25">
      <c r="A25" s="330" t="s">
        <v>4418</v>
      </c>
      <c r="B25" s="105" t="s">
        <v>4419</v>
      </c>
      <c r="C25" s="330" t="s">
        <v>4420</v>
      </c>
      <c r="D25" s="105" t="s">
        <v>4421</v>
      </c>
      <c r="E25" s="330" t="s">
        <v>4422</v>
      </c>
      <c r="F25" s="105" t="s">
        <v>4423</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4424</v>
      </c>
      <c r="P25" s="105" t="s">
        <v>4425</v>
      </c>
      <c r="Q25" s="328" t="s">
        <v>4426</v>
      </c>
      <c r="R25" s="329" t="s">
        <v>4427</v>
      </c>
      <c r="S25" s="196"/>
      <c r="T25" s="196"/>
    </row>
    <row r="26">
      <c r="A26" s="325" t="s">
        <v>4428</v>
      </c>
      <c r="B26" s="309" t="s">
        <v>4429</v>
      </c>
      <c r="C26" s="325" t="s">
        <v>4430</v>
      </c>
      <c r="D26" s="309" t="s">
        <v>4431</v>
      </c>
      <c r="E26" s="325" t="s">
        <v>4432</v>
      </c>
      <c r="F26" s="309" t="s">
        <v>4433</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4434</v>
      </c>
      <c r="P26" s="309" t="s">
        <v>4435</v>
      </c>
      <c r="Q26" s="328" t="s">
        <v>4436</v>
      </c>
      <c r="R26" s="329" t="s">
        <v>4437</v>
      </c>
      <c r="S26" s="196"/>
      <c r="T26" s="196"/>
    </row>
    <row r="27">
      <c r="A27" s="325" t="s">
        <v>4438</v>
      </c>
      <c r="B27" s="309" t="s">
        <v>4439</v>
      </c>
      <c r="C27" s="325" t="s">
        <v>4440</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4441</v>
      </c>
      <c r="F27" s="309" t="s">
        <v>4442</v>
      </c>
      <c r="G27" s="325" t="str">
        <f>IFERROR(__xludf.DUMMYFUNCTION("GOOGLETRANSLATE(A27,""zh-tw"",""zh"")"),"克里乌之光")</f>
        <v>克里乌之光</v>
      </c>
      <c r="H27" s="309" t="s">
        <v>4443</v>
      </c>
      <c r="I27" s="326" t="str">
        <f>IFERROR(__xludf.DUMMYFUNCTION("GOOGLETRANSLATE(A27,""zh-tw"",""es-MX"")"),"Luz de Crillou")</f>
        <v>Luz de Crillou</v>
      </c>
      <c r="J27" s="121" t="str">
        <f>IFERROR(__xludf.DUMMYFUNCTION("GOOGLETRANSLATE(B27,""zh-tw"",""es-MX"")"),"Ataque físico: 32
Ataque mágico: 36
Ignora la defensa, Espada invisible
*Objeto raro de Gacha")</f>
        <v>Ataque físico: 32
Ataque mágico: 36
Ignora la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4444</v>
      </c>
      <c r="P27" s="309" t="s">
        <v>4445</v>
      </c>
      <c r="Q27" s="328" t="s">
        <v>4446</v>
      </c>
      <c r="R27" s="329" t="s">
        <v>4447</v>
      </c>
      <c r="S27" s="196"/>
      <c r="T27" s="196"/>
    </row>
    <row r="28">
      <c r="A28" s="325" t="s">
        <v>4448</v>
      </c>
      <c r="B28" s="309" t="s">
        <v>4449</v>
      </c>
      <c r="C28" s="325" t="str">
        <f>IFERROR(__xludf.DUMMYFUNCTION("GOOGLETRANSLATE(A28,""zh-tw"",""ja"")"),"木製の弓")</f>
        <v>木製の弓</v>
      </c>
      <c r="D28" s="309" t="str">
        <f>IFERROR(__xludf.DUMMYFUNCTION("GOOGLETRANSLATE(B28,""zh-tw"",""ja"")"),"物理攻撃力: 20")</f>
        <v>物理攻撃力: 20</v>
      </c>
      <c r="E28" s="325" t="s">
        <v>4450</v>
      </c>
      <c r="F28" s="309" t="s">
        <v>4451</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4452</v>
      </c>
      <c r="P28" s="309" t="s">
        <v>4453</v>
      </c>
      <c r="Q28" s="328" t="s">
        <v>4454</v>
      </c>
      <c r="R28" s="329" t="s">
        <v>4455</v>
      </c>
      <c r="S28" s="196"/>
      <c r="T28" s="196"/>
    </row>
    <row r="29">
      <c r="A29" s="325" t="s">
        <v>4456</v>
      </c>
      <c r="B29" s="309" t="s">
        <v>4457</v>
      </c>
      <c r="C29" s="325" t="s">
        <v>4458</v>
      </c>
      <c r="D29" s="309" t="str">
        <f>IFERROR(__xludf.DUMMYFUNCTION("GOOGLETRANSLATE(B29,""zh-tw"",""ja"")"),"物理攻撃力：24
貫通")</f>
        <v>物理攻撃力：24
貫通</v>
      </c>
      <c r="E29" s="325" t="s">
        <v>4459</v>
      </c>
      <c r="F29" s="309" t="s">
        <v>4460</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4461</v>
      </c>
      <c r="P29" s="309" t="s">
        <v>4462</v>
      </c>
      <c r="Q29" s="328" t="s">
        <v>4463</v>
      </c>
      <c r="R29" s="329" t="s">
        <v>4464</v>
      </c>
      <c r="S29" s="196"/>
      <c r="T29" s="196"/>
    </row>
    <row r="30">
      <c r="A30" s="325" t="s">
        <v>4465</v>
      </c>
      <c r="B30" s="309" t="s">
        <v>4466</v>
      </c>
      <c r="C30" s="325" t="s">
        <v>4467</v>
      </c>
      <c r="D30" s="309" t="str">
        <f>IFERROR(__xludf.DUMMYFUNCTION("GOOGLETRANSLATE(B30,""zh-tw"",""ja"")"),"物理攻撃力：18
魔法攻撃力：18
火")</f>
        <v>物理攻撃力：18
魔法攻撃力：18
火</v>
      </c>
      <c r="E30" s="325" t="s">
        <v>4468</v>
      </c>
      <c r="F30" s="309" t="s">
        <v>4469</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4470</v>
      </c>
      <c r="P30" s="309" t="s">
        <v>4471</v>
      </c>
      <c r="Q30" s="328" t="s">
        <v>4472</v>
      </c>
      <c r="R30" s="329" t="s">
        <v>4473</v>
      </c>
      <c r="S30" s="196"/>
      <c r="T30" s="196"/>
    </row>
    <row r="31">
      <c r="A31" s="325" t="s">
        <v>4474</v>
      </c>
      <c r="B31" s="309" t="s">
        <v>4475</v>
      </c>
      <c r="C31" s="325" t="s">
        <v>4474</v>
      </c>
      <c r="D31" s="309" t="str">
        <f>IFERROR(__xludf.DUMMYFUNCTION("GOOGLETRANSLATE(B31,""zh-tw"",""ja"")"),"物理攻撃力：16
魔法攻撃力：16
氷属性")</f>
        <v>物理攻撃力：16
魔法攻撃力：16
氷属性</v>
      </c>
      <c r="E31" s="325" t="s">
        <v>4476</v>
      </c>
      <c r="F31" s="309" t="s">
        <v>4477</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4478</v>
      </c>
      <c r="P31" s="309" t="s">
        <v>4479</v>
      </c>
      <c r="Q31" s="328" t="s">
        <v>4480</v>
      </c>
      <c r="R31" s="329" t="s">
        <v>4481</v>
      </c>
      <c r="S31" s="196"/>
      <c r="T31" s="196"/>
    </row>
    <row r="32">
      <c r="A32" s="325" t="s">
        <v>4482</v>
      </c>
      <c r="B32" s="309" t="s">
        <v>4483</v>
      </c>
      <c r="C32" s="325" t="str">
        <f>IFERROR(__xludf.DUMMYFUNCTION("GOOGLETRANSLATE(A32,""zh-tw"",""ja"")"),"千鳥")</f>
        <v>千鳥</v>
      </c>
      <c r="D32" s="309" t="str">
        <f>IFERROR(__xludf.DUMMYFUNCTION("GOOGLETRANSLATE(B32,""zh-tw"",""ja"")"),"物理攻撃力：16
魔法攻撃力：16
雷属性")</f>
        <v>物理攻撃力：16
魔法攻撃力：16
雷属性</v>
      </c>
      <c r="E32" s="325" t="s">
        <v>4484</v>
      </c>
      <c r="F32" s="309" t="s">
        <v>4485</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4486</v>
      </c>
      <c r="P32" s="309" t="s">
        <v>4487</v>
      </c>
      <c r="Q32" s="328" t="s">
        <v>4488</v>
      </c>
      <c r="R32" s="329" t="s">
        <v>4489</v>
      </c>
      <c r="S32" s="196"/>
      <c r="T32" s="196"/>
    </row>
    <row r="33">
      <c r="A33" s="325" t="s">
        <v>4490</v>
      </c>
      <c r="B33" s="309" t="s">
        <v>4491</v>
      </c>
      <c r="C33" s="325" t="s">
        <v>4492</v>
      </c>
      <c r="D33" s="309" t="str">
        <f>IFERROR(__xludf.DUMMYFUNCTION("GOOGLETRANSLATE(B33,""zh-tw"",""ja"")"),"物理攻撃力：32
バースト")</f>
        <v>物理攻撃力：32
バースト</v>
      </c>
      <c r="E33" s="325" t="s">
        <v>4493</v>
      </c>
      <c r="F33" s="309" t="s">
        <v>4494</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4495</v>
      </c>
      <c r="P33" s="309" t="s">
        <v>4496</v>
      </c>
      <c r="Q33" s="328" t="s">
        <v>4497</v>
      </c>
      <c r="R33" s="329" t="s">
        <v>4498</v>
      </c>
      <c r="S33" s="196"/>
      <c r="T33" s="196"/>
    </row>
    <row r="34">
      <c r="A34" s="325" t="s">
        <v>4089</v>
      </c>
      <c r="B34" s="309" t="s">
        <v>4499</v>
      </c>
      <c r="C34" s="325" t="str">
        <f>IFERROR(__xludf.DUMMYFUNCTION("GOOGLETRANSLATE(A34,""zh-tw"",""ja"")"),"溶岩の杖")</f>
        <v>溶岩の杖</v>
      </c>
      <c r="D34" s="309" t="str">
        <f>IFERROR(__xludf.DUMMYFUNCTION("GOOGLETRANSLATE(B34,""zh-tw"",""ja"")"),"物理攻撃力：1
魔法攻撃力：86
火")</f>
        <v>物理攻撃力：1
魔法攻撃力：86
火</v>
      </c>
      <c r="E34" s="325" t="s">
        <v>4093</v>
      </c>
      <c r="F34" s="309" t="s">
        <v>4500</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4096</v>
      </c>
      <c r="P34" s="309" t="s">
        <v>4501</v>
      </c>
      <c r="Q34" s="328" t="s">
        <v>4502</v>
      </c>
      <c r="R34" s="329" t="s">
        <v>4503</v>
      </c>
      <c r="S34" s="196"/>
      <c r="T34" s="196"/>
    </row>
    <row r="35">
      <c r="A35" s="325" t="s">
        <v>4504</v>
      </c>
      <c r="B35" s="309" t="s">
        <v>4505</v>
      </c>
      <c r="C35" s="325" t="s">
        <v>4506</v>
      </c>
      <c r="D35" s="309" t="str">
        <f>IFERROR(__xludf.DUMMYFUNCTION("GOOGLETRANSLATE(B35,""zh-tw"",""ja"")"),"物理攻撃力：1
魔法攻撃力：55
氷属性")</f>
        <v>物理攻撃力：1
魔法攻撃力：55
氷属性</v>
      </c>
      <c r="E35" s="325" t="s">
        <v>4507</v>
      </c>
      <c r="F35" s="309" t="s">
        <v>4508</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4509</v>
      </c>
      <c r="P35" s="309" t="s">
        <v>4510</v>
      </c>
      <c r="Q35" s="328" t="s">
        <v>4511</v>
      </c>
      <c r="R35" s="329" t="s">
        <v>4512</v>
      </c>
      <c r="S35" s="196"/>
      <c r="T35" s="196"/>
    </row>
    <row r="36">
      <c r="A36" s="325" t="s">
        <v>4513</v>
      </c>
      <c r="B36" s="309" t="s">
        <v>4514</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4515</v>
      </c>
      <c r="F36" s="309" t="s">
        <v>4516</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6"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7" t="str">
        <f>IFERROR(__xludf.DUMMYFUNCTION("GOOGLETRANSLATE(A36,""zh-tw"",""ru"")"),"звездная ночь")</f>
        <v>звездная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4517</v>
      </c>
      <c r="P36" s="309" t="s">
        <v>4518</v>
      </c>
      <c r="Q36" s="328" t="s">
        <v>4519</v>
      </c>
      <c r="R36" s="329" t="s">
        <v>4520</v>
      </c>
      <c r="S36" s="196"/>
      <c r="T36" s="196"/>
    </row>
    <row r="37">
      <c r="A37" s="325" t="s">
        <v>4521</v>
      </c>
      <c r="B37" s="309" t="s">
        <v>4522</v>
      </c>
      <c r="C37" s="325" t="str">
        <f>IFERROR(__xludf.DUMMYFUNCTION("GOOGLETRANSLATE(A37,""zh-tw"",""ja"")"),"バナナ？")</f>
        <v>バナナ？</v>
      </c>
      <c r="D37" s="309" t="str">
        <f>IFERROR(__xludf.DUMMYFUNCTION("GOOGLETRANSLATE(B37,""zh-tw"",""ja"")"),"物理攻撃力：10
爆発")</f>
        <v>物理攻撃力：10
爆発</v>
      </c>
      <c r="E37" s="325" t="s">
        <v>4523</v>
      </c>
      <c r="F37" s="309" t="s">
        <v>4524</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4525</v>
      </c>
      <c r="P37" s="309" t="s">
        <v>4526</v>
      </c>
      <c r="Q37" s="328" t="s">
        <v>4527</v>
      </c>
      <c r="R37" s="329" t="s">
        <v>4528</v>
      </c>
      <c r="S37" s="196"/>
      <c r="T37" s="196"/>
    </row>
    <row r="38" ht="68.25" customHeight="1">
      <c r="A38" s="325" t="s">
        <v>4529</v>
      </c>
      <c r="B38" s="309" t="s">
        <v>4530</v>
      </c>
      <c r="C38" s="325" t="s">
        <v>4531</v>
      </c>
      <c r="D38" s="309" t="str">
        <f>IFERROR(__xludf.DUMMYFUNCTION("GOOGLETRANSLATE(B38,""zh-tw"",""ja"")"),"物理攻撃力：1
魔法攻撃力：1
アイテム吸収")</f>
        <v>物理攻撃力：1
魔法攻撃力：1
アイテム吸収</v>
      </c>
      <c r="E38" s="325" t="s">
        <v>4532</v>
      </c>
      <c r="F38" s="309" t="s">
        <v>4533</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4534</v>
      </c>
      <c r="P38" s="309" t="s">
        <v>4535</v>
      </c>
      <c r="Q38" s="328" t="s">
        <v>4536</v>
      </c>
      <c r="R38" s="329" t="s">
        <v>4537</v>
      </c>
      <c r="S38" s="196"/>
      <c r="T38" s="196"/>
    </row>
    <row r="39">
      <c r="A39" s="325" t="s">
        <v>4538</v>
      </c>
      <c r="B39" s="309" t="s">
        <v>4539</v>
      </c>
      <c r="C39" s="325" t="s">
        <v>4540</v>
      </c>
      <c r="D39" s="309" t="str">
        <f>IFERROR(__xludf.DUMMYFUNCTION("GOOGLETRANSLATE(B39,""zh-tw"",""ja"")"),"物理攻撃力：15
対象をクリップする")</f>
        <v>物理攻撃力：15
対象をクリップする</v>
      </c>
      <c r="E39" s="325" t="s">
        <v>4541</v>
      </c>
      <c r="F39" s="309" t="s">
        <v>4542</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4543</v>
      </c>
      <c r="P39" s="309" t="s">
        <v>4544</v>
      </c>
      <c r="Q39" s="328" t="s">
        <v>4545</v>
      </c>
      <c r="R39" s="329" t="s">
        <v>4546</v>
      </c>
      <c r="S39" s="196"/>
      <c r="T39" s="196"/>
    </row>
    <row r="40">
      <c r="A40" s="324" t="s">
        <v>4547</v>
      </c>
      <c r="B40" s="117" t="s">
        <v>4548</v>
      </c>
      <c r="C40" s="325" t="s">
        <v>4547</v>
      </c>
      <c r="D40" s="309" t="str">
        <f>IFERROR(__xludf.DUMMYFUNCTION("GOOGLETRANSLATE(B40,""zh-tw"",""ja"")"),"物理攻撃力：36
スタン確率")</f>
        <v>物理攻撃力：36
スタン確率</v>
      </c>
      <c r="E40" s="325" t="s">
        <v>4549</v>
      </c>
      <c r="F40" s="309" t="s">
        <v>4550</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4551</v>
      </c>
      <c r="P40" s="309" t="s">
        <v>4552</v>
      </c>
      <c r="Q40" s="328" t="s">
        <v>4553</v>
      </c>
      <c r="R40" s="329" t="s">
        <v>4554</v>
      </c>
      <c r="S40" s="17"/>
      <c r="T40" s="17"/>
    </row>
    <row r="41">
      <c r="A41" s="326" t="s">
        <v>4555</v>
      </c>
      <c r="B41" s="121" t="s">
        <v>4556</v>
      </c>
      <c r="C41" s="326" t="s">
        <v>4555</v>
      </c>
      <c r="D41" s="121" t="s">
        <v>4557</v>
      </c>
      <c r="E41" s="326" t="s">
        <v>4558</v>
      </c>
      <c r="F41" s="121" t="s">
        <v>4559</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4560</v>
      </c>
      <c r="P41" s="105" t="s">
        <v>4561</v>
      </c>
      <c r="Q41" s="328" t="s">
        <v>4562</v>
      </c>
      <c r="R41" s="329" t="s">
        <v>4563</v>
      </c>
      <c r="S41" s="17"/>
      <c r="T41" s="17"/>
    </row>
    <row r="42">
      <c r="A42" s="326" t="s">
        <v>4564</v>
      </c>
      <c r="B42" s="117" t="s">
        <v>4565</v>
      </c>
      <c r="C42" s="326" t="s">
        <v>4566</v>
      </c>
      <c r="D42" s="121" t="s">
        <v>4567</v>
      </c>
      <c r="E42" s="326" t="s">
        <v>4568</v>
      </c>
      <c r="F42" s="121" t="s">
        <v>4569</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4570</v>
      </c>
      <c r="P42" s="105" t="s">
        <v>4571</v>
      </c>
      <c r="Q42" s="328" t="s">
        <v>4572</v>
      </c>
      <c r="R42" s="329" t="s">
        <v>4573</v>
      </c>
      <c r="S42" s="17"/>
      <c r="T42" s="17"/>
    </row>
    <row r="43">
      <c r="A43" s="324" t="s">
        <v>4574</v>
      </c>
      <c r="B43" s="117" t="s">
        <v>4575</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4576</v>
      </c>
      <c r="F43" s="117" t="s">
        <v>4577</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4578</v>
      </c>
      <c r="P43" s="117" t="s">
        <v>4579</v>
      </c>
      <c r="Q43" s="328" t="s">
        <v>4580</v>
      </c>
      <c r="R43" s="329" t="s">
        <v>4581</v>
      </c>
      <c r="S43" s="17"/>
      <c r="T43" s="17"/>
    </row>
    <row r="44">
      <c r="A44" s="324" t="s">
        <v>4582</v>
      </c>
      <c r="B44" s="117" t="s">
        <v>4583</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4584</v>
      </c>
      <c r="F44" s="117" t="s">
        <v>4585</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4586</v>
      </c>
      <c r="P44" s="117" t="s">
        <v>4587</v>
      </c>
      <c r="Q44" s="328" t="s">
        <v>4588</v>
      </c>
      <c r="R44" s="329" t="s">
        <v>4589</v>
      </c>
      <c r="S44" s="17"/>
      <c r="T44" s="17"/>
    </row>
    <row r="45">
      <c r="A45" s="325" t="s">
        <v>4590</v>
      </c>
      <c r="B45" s="309" t="s">
        <v>4591</v>
      </c>
      <c r="C45" s="325" t="s">
        <v>4592</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4593</v>
      </c>
      <c r="F45" s="309" t="s">
        <v>4594</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4595</v>
      </c>
      <c r="P45" s="309" t="s">
        <v>4596</v>
      </c>
      <c r="Q45" s="328" t="s">
        <v>4597</v>
      </c>
      <c r="R45" s="329" t="s">
        <v>4598</v>
      </c>
      <c r="S45" s="196"/>
      <c r="T45" s="196"/>
    </row>
    <row r="46">
      <c r="A46" s="324" t="s">
        <v>4599</v>
      </c>
      <c r="B46" s="117" t="s">
        <v>4600</v>
      </c>
      <c r="C46" s="324" t="s">
        <v>4601</v>
      </c>
      <c r="D46" s="107" t="s">
        <v>4602</v>
      </c>
      <c r="E46" s="324" t="s">
        <v>4603</v>
      </c>
      <c r="F46" s="117" t="s">
        <v>4604</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4605</v>
      </c>
      <c r="P46" s="117" t="s">
        <v>4606</v>
      </c>
      <c r="Q46" s="331" t="s">
        <v>4607</v>
      </c>
      <c r="R46" s="123" t="s">
        <v>4608</v>
      </c>
      <c r="S46" s="17"/>
      <c r="T46" s="17"/>
    </row>
    <row r="47">
      <c r="A47" s="330" t="s">
        <v>4609</v>
      </c>
      <c r="B47" s="117" t="s">
        <v>4610</v>
      </c>
      <c r="C47" s="326"/>
      <c r="D47" s="105"/>
      <c r="E47" s="324" t="s">
        <v>3026</v>
      </c>
      <c r="F47" s="117" t="s">
        <v>4611</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3029</v>
      </c>
      <c r="R47" s="329" t="s">
        <v>4612</v>
      </c>
      <c r="S47" s="17"/>
      <c r="T47" s="17"/>
    </row>
    <row r="48">
      <c r="A48" s="324" t="s">
        <v>4613</v>
      </c>
      <c r="B48" s="117" t="s">
        <v>4614</v>
      </c>
      <c r="C48" s="326"/>
      <c r="D48" s="127"/>
      <c r="E48" s="324" t="s">
        <v>3015</v>
      </c>
      <c r="F48" s="117" t="s">
        <v>4615</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4616</v>
      </c>
      <c r="R48" s="176" t="s">
        <v>4617</v>
      </c>
      <c r="S48" s="17"/>
      <c r="T48" s="17"/>
    </row>
    <row r="49">
      <c r="A49" s="324" t="s">
        <v>4618</v>
      </c>
      <c r="B49" s="117" t="s">
        <v>4619</v>
      </c>
      <c r="C49" s="326"/>
      <c r="D49" s="127"/>
      <c r="E49" s="324" t="s">
        <v>4620</v>
      </c>
      <c r="F49" s="117" t="s">
        <v>4621</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4622</v>
      </c>
      <c r="R49" s="176" t="s">
        <v>4623</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c r="U1" s="292"/>
      <c r="V1" s="292"/>
      <c r="W1" s="292"/>
      <c r="X1" s="292"/>
      <c r="Y1" s="292"/>
      <c r="Z1" s="292"/>
    </row>
    <row r="2" ht="41.25" customHeight="1">
      <c r="S2" s="292"/>
      <c r="T2" s="292"/>
      <c r="U2" s="292"/>
      <c r="V2" s="292"/>
      <c r="W2" s="292"/>
      <c r="X2" s="292"/>
      <c r="Y2" s="292"/>
      <c r="Z2" s="292"/>
    </row>
    <row r="3">
      <c r="A3" s="319" t="s">
        <v>4624</v>
      </c>
      <c r="B3" s="72" t="s">
        <v>4625</v>
      </c>
      <c r="C3" s="334" t="str">
        <f>IFERROR(__xludf.DUMMYFUNCTION("GOOGLETRANSLATE(A3,""zh-tw"",""ja"")"),"装備品")</f>
        <v>装備品</v>
      </c>
      <c r="D3" s="335" t="str">
        <f>IFERROR(__xludf.DUMMYFUNCTION("GOOGLETRANSLATE(B3,""zh-tw"",""ja"")"),"装備の属性")</f>
        <v>装備の属性</v>
      </c>
      <c r="E3" s="336" t="s">
        <v>4626</v>
      </c>
      <c r="F3" s="14" t="s">
        <v>4206</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4627</v>
      </c>
      <c r="P3" s="72" t="s">
        <v>4628</v>
      </c>
      <c r="Q3" s="322" t="s">
        <v>4629</v>
      </c>
      <c r="R3" s="323" t="s">
        <v>4210</v>
      </c>
      <c r="S3" s="17"/>
      <c r="T3" s="17"/>
      <c r="U3" s="17"/>
      <c r="V3" s="17"/>
      <c r="W3" s="17"/>
      <c r="X3" s="17"/>
      <c r="Y3" s="17"/>
      <c r="Z3" s="17"/>
    </row>
    <row r="4">
      <c r="A4" s="325" t="s">
        <v>4630</v>
      </c>
      <c r="B4" s="309" t="s">
        <v>4631</v>
      </c>
      <c r="C4" s="337" t="s">
        <v>4632</v>
      </c>
      <c r="D4" s="178" t="s">
        <v>4633</v>
      </c>
      <c r="E4" s="324" t="s">
        <v>4634</v>
      </c>
      <c r="F4" s="117" t="s">
        <v>4635</v>
      </c>
      <c r="G4" s="326" t="str">
        <f>IFERROR(__xludf.DUMMYFUNCTION("GOOGLETRANSLATE(A4,""zh-tw"",""zh"")"),"妹妹脱下的内裤")</f>
        <v>妹妹脱下的内裤</v>
      </c>
      <c r="H4" s="121" t="str">
        <f>IFERROR(__xludf.DUMMYFUNCTION("GOOGLETRANSLATE(B4,""zh-tw"",""zh"")"),"低体力回复")</f>
        <v>低体力回复</v>
      </c>
      <c r="I4" s="324" t="s">
        <v>4636</v>
      </c>
      <c r="J4" s="117" t="s">
        <v>4637</v>
      </c>
      <c r="K4" s="324" t="s">
        <v>4638</v>
      </c>
      <c r="L4" s="117" t="s">
        <v>4639</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4640</v>
      </c>
      <c r="P4" s="309" t="s">
        <v>4641</v>
      </c>
      <c r="Q4" s="328" t="s">
        <v>4642</v>
      </c>
      <c r="R4" s="329" t="s">
        <v>4643</v>
      </c>
      <c r="S4" s="17"/>
      <c r="T4" s="17"/>
      <c r="U4" s="17"/>
      <c r="V4" s="17"/>
      <c r="W4" s="17"/>
      <c r="X4" s="17"/>
      <c r="Y4" s="17"/>
      <c r="Z4" s="17"/>
    </row>
    <row r="5">
      <c r="A5" s="325" t="s">
        <v>4644</v>
      </c>
      <c r="B5" s="309" t="s">
        <v>4645</v>
      </c>
      <c r="C5" s="337" t="s">
        <v>4646</v>
      </c>
      <c r="D5" s="338" t="str">
        <f>IFERROR(__xludf.DUMMYFUNCTION("GOOGLETRANSLATE(B5,""zh-tw"",""ja"")"),"性欲が増し、全属性が10%増加")</f>
        <v>性欲が増し、全属性が10%増加</v>
      </c>
      <c r="E5" s="324" t="s">
        <v>4647</v>
      </c>
      <c r="F5" s="117" t="s">
        <v>4648</v>
      </c>
      <c r="G5" s="326" t="str">
        <f>IFERROR(__xludf.DUMMYFUNCTION("GOOGLETRANSLATE(A5,""zh-tw"",""zh"")"),"少女的笑容")</f>
        <v>少女的笑容</v>
      </c>
      <c r="H5" s="121" t="str">
        <f>IFERROR(__xludf.DUMMYFUNCTION("GOOGLETRANSLATE(B5,""zh-tw"",""zh"")"),"性欲上升，全属性上升10%")</f>
        <v>性欲上升，全属性上升10%</v>
      </c>
      <c r="I5" s="324" t="s">
        <v>4649</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4650</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4651</v>
      </c>
      <c r="P5" s="309" t="s">
        <v>4652</v>
      </c>
      <c r="Q5" s="328" t="s">
        <v>4653</v>
      </c>
      <c r="R5" s="329" t="s">
        <v>4654</v>
      </c>
      <c r="S5" s="17"/>
      <c r="T5" s="17"/>
      <c r="U5" s="17"/>
      <c r="V5" s="17"/>
      <c r="W5" s="17"/>
      <c r="X5" s="17"/>
      <c r="Y5" s="17"/>
      <c r="Z5" s="17"/>
    </row>
    <row r="6">
      <c r="A6" s="325" t="s">
        <v>4655</v>
      </c>
      <c r="B6" s="309" t="s">
        <v>723</v>
      </c>
      <c r="C6" s="339" t="str">
        <f>IFERROR(__xludf.DUMMYFUNCTION("GOOGLETRANSLATE(A6,""zh-tw"",""ja"")"),"フライドポテト")</f>
        <v>フライドポテト</v>
      </c>
      <c r="D6" s="338" t="str">
        <f>IFERROR(__xludf.DUMMYFUNCTION("GOOGLETRANSLATE(B6,""zh-tw"",""ja"")"),"-")</f>
        <v>-</v>
      </c>
      <c r="E6" s="324" t="s">
        <v>4656</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4657</v>
      </c>
      <c r="P6" s="309" t="s">
        <v>4658</v>
      </c>
      <c r="Q6" s="328" t="s">
        <v>4659</v>
      </c>
      <c r="R6" s="329" t="s">
        <v>723</v>
      </c>
      <c r="S6" s="17"/>
      <c r="T6" s="17"/>
      <c r="U6" s="17"/>
      <c r="V6" s="17"/>
      <c r="W6" s="17"/>
      <c r="X6" s="17"/>
      <c r="Y6" s="17"/>
      <c r="Z6" s="17"/>
    </row>
    <row r="7">
      <c r="A7" s="325" t="s">
        <v>4660</v>
      </c>
      <c r="B7" s="309" t="s">
        <v>4661</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4662</v>
      </c>
      <c r="F7" s="117" t="s">
        <v>4663</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4664</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4665</v>
      </c>
      <c r="P7" s="309" t="s">
        <v>4666</v>
      </c>
      <c r="Q7" s="328" t="s">
        <v>4667</v>
      </c>
      <c r="R7" s="329" t="s">
        <v>4668</v>
      </c>
      <c r="S7" s="17"/>
      <c r="T7" s="17"/>
      <c r="U7" s="17"/>
      <c r="V7" s="17"/>
      <c r="W7" s="17"/>
      <c r="X7" s="17"/>
      <c r="Y7" s="17"/>
      <c r="Z7" s="17"/>
    </row>
    <row r="8">
      <c r="A8" s="325" t="s">
        <v>4669</v>
      </c>
      <c r="B8" s="309" t="s">
        <v>4670</v>
      </c>
      <c r="C8" s="337" t="s">
        <v>4671</v>
      </c>
      <c r="D8" s="338" t="str">
        <f>IFERROR(__xludf.DUMMYFUNCTION("GOOGLETRANSLATE(B8,""zh-tw"",""ja"")"),"幸運：10
回復の確率")</f>
        <v>幸運：10
回復の確率</v>
      </c>
      <c r="E8" s="324" t="s">
        <v>4672</v>
      </c>
      <c r="F8" s="117" t="s">
        <v>4673</v>
      </c>
      <c r="G8" s="326" t="str">
        <f>IFERROR(__xludf.DUMMYFUNCTION("GOOGLETRANSLATE(A8,""zh-tw"",""zh"")"),"苹果头套")</f>
        <v>苹果头套</v>
      </c>
      <c r="H8" s="121" t="str">
        <f>IFERROR(__xludf.DUMMYFUNCTION("GOOGLETRANSLATE(B8,""zh-tw"",""zh"")"),"幸运：10
概率回复")</f>
        <v>幸运：10
概率回复</v>
      </c>
      <c r="I8" s="324" t="s">
        <v>4674</v>
      </c>
      <c r="J8" s="117" t="s">
        <v>4675</v>
      </c>
      <c r="K8" s="324" t="s">
        <v>4676</v>
      </c>
      <c r="L8" s="117" t="s">
        <v>4677</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4678</v>
      </c>
      <c r="P8" s="309" t="s">
        <v>4679</v>
      </c>
      <c r="Q8" s="328" t="s">
        <v>4680</v>
      </c>
      <c r="R8" s="329" t="s">
        <v>4681</v>
      </c>
      <c r="S8" s="17"/>
      <c r="T8" s="17"/>
      <c r="U8" s="17"/>
      <c r="V8" s="17"/>
      <c r="W8" s="17"/>
      <c r="X8" s="17"/>
      <c r="Y8" s="17"/>
      <c r="Z8" s="17"/>
    </row>
    <row r="9">
      <c r="A9" s="325" t="s">
        <v>4682</v>
      </c>
      <c r="B9" s="309" t="s">
        <v>4683</v>
      </c>
      <c r="C9" s="337" t="s">
        <v>4684</v>
      </c>
      <c r="D9" s="338" t="str">
        <f>IFERROR(__xludf.DUMMYFUNCTION("GOOGLETRANSLATE(B9,""zh-tw"",""ja"")"),"物理攻撃力：5
攻撃速度と移動速度が増加")</f>
        <v>物理攻撃力：5
攻撃速度と移動速度が増加</v>
      </c>
      <c r="E9" s="324" t="s">
        <v>4685</v>
      </c>
      <c r="F9" s="117" t="s">
        <v>4686</v>
      </c>
      <c r="G9" s="326" t="str">
        <f>IFERROR(__xludf.DUMMYFUNCTION("GOOGLETRANSLATE(A9,""zh-tw"",""zh"")"),"借来的猫爪")</f>
        <v>借来的猫爪</v>
      </c>
      <c r="H9" s="121" t="str">
        <f>IFERROR(__xludf.DUMMYFUNCTION("GOOGLETRANSLATE(B9,""zh-tw"",""zh"")"),"物攻：5
攻速、移速上升")</f>
        <v>物攻：5
攻速、移速上升</v>
      </c>
      <c r="I9" s="324" t="s">
        <v>4687</v>
      </c>
      <c r="J9" s="121" t="str">
        <f>IFERROR(__xludf.DUMMYFUNCTION("GOOGLETRANSLATE(B9,""zh-tw"",""es-MX"")"),"Ataque físico: 5
Velocidad de ataque y movimiento aumentada")</f>
        <v>Ataque físico: 5
Velocidad de ataque y movimiento aumentada</v>
      </c>
      <c r="K9" s="324" t="s">
        <v>4688</v>
      </c>
      <c r="L9" s="117" t="s">
        <v>4689</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4690</v>
      </c>
      <c r="P9" s="309" t="s">
        <v>4691</v>
      </c>
      <c r="Q9" s="328" t="s">
        <v>4692</v>
      </c>
      <c r="R9" s="329" t="s">
        <v>4693</v>
      </c>
      <c r="S9" s="17"/>
      <c r="T9" s="17"/>
      <c r="U9" s="17"/>
      <c r="V9" s="17"/>
      <c r="W9" s="17"/>
      <c r="X9" s="17"/>
      <c r="Y9" s="17"/>
      <c r="Z9" s="17"/>
    </row>
    <row r="10">
      <c r="A10" s="325" t="s">
        <v>4694</v>
      </c>
      <c r="B10" s="309" t="s">
        <v>4695</v>
      </c>
      <c r="C10" s="337" t="s">
        <v>4696</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4697</v>
      </c>
      <c r="F10" s="117" t="s">
        <v>4698</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4699</v>
      </c>
      <c r="L10" s="117" t="s">
        <v>4700</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4701</v>
      </c>
      <c r="P10" s="309" t="s">
        <v>4702</v>
      </c>
      <c r="Q10" s="328" t="s">
        <v>4703</v>
      </c>
      <c r="R10" s="329" t="s">
        <v>4704</v>
      </c>
      <c r="S10" s="17"/>
      <c r="T10" s="17"/>
      <c r="U10" s="17"/>
      <c r="V10" s="17"/>
      <c r="W10" s="17"/>
      <c r="X10" s="17"/>
      <c r="Y10" s="17"/>
      <c r="Z10" s="17"/>
    </row>
    <row r="11">
      <c r="A11" s="325" t="s">
        <v>4705</v>
      </c>
      <c r="B11" s="309" t="s">
        <v>4706</v>
      </c>
      <c r="C11" s="337" t="s">
        <v>4077</v>
      </c>
      <c r="D11" s="338" t="str">
        <f>IFERROR(__xludf.DUMMYFUNCTION("GOOGLETRANSLATE(B11,""zh-tw"",""ja"")"),"攻撃速度、攻撃回数を+1する")</f>
        <v>攻撃速度、攻撃回数を+1する</v>
      </c>
      <c r="E11" s="324" t="s">
        <v>4080</v>
      </c>
      <c r="F11" s="117" t="s">
        <v>4707</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4082</v>
      </c>
      <c r="L11" s="117" t="s">
        <v>4708</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4084</v>
      </c>
      <c r="P11" s="309" t="s">
        <v>4709</v>
      </c>
      <c r="Q11" s="328" t="s">
        <v>4710</v>
      </c>
      <c r="R11" s="329" t="s">
        <v>4711</v>
      </c>
      <c r="S11" s="17"/>
      <c r="T11" s="17"/>
      <c r="U11" s="17"/>
      <c r="V11" s="17"/>
      <c r="W11" s="17"/>
      <c r="X11" s="17"/>
      <c r="Y11" s="17"/>
      <c r="Z11" s="17"/>
    </row>
    <row r="12">
      <c r="A12" s="325" t="s">
        <v>4712</v>
      </c>
      <c r="B12" s="309" t="s">
        <v>4713</v>
      </c>
      <c r="C12" s="337" t="s">
        <v>4714</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4715</v>
      </c>
      <c r="F12" s="117" t="s">
        <v>4716</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4717</v>
      </c>
      <c r="L12" s="117" t="s">
        <v>4718</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4719</v>
      </c>
      <c r="P12" s="309" t="s">
        <v>4720</v>
      </c>
      <c r="Q12" s="328" t="s">
        <v>4721</v>
      </c>
      <c r="R12" s="329" t="s">
        <v>4722</v>
      </c>
      <c r="S12" s="17"/>
      <c r="T12" s="17"/>
      <c r="U12" s="17"/>
      <c r="V12" s="17"/>
      <c r="W12" s="17"/>
      <c r="X12" s="17"/>
      <c r="Y12" s="17"/>
      <c r="Z12" s="17"/>
    </row>
    <row r="13">
      <c r="A13" s="325" t="s">
        <v>4723</v>
      </c>
      <c r="B13" s="309" t="s">
        <v>4724</v>
      </c>
      <c r="C13" s="339" t="str">
        <f>IFERROR(__xludf.DUMMYFUNCTION("GOOGLETRANSLATE(A13,""zh-tw"",""ja"")"),"招き猫")</f>
        <v>招き猫</v>
      </c>
      <c r="D13" s="178" t="s">
        <v>4725</v>
      </c>
      <c r="E13" s="324" t="s">
        <v>4726</v>
      </c>
      <c r="F13" s="117" t="s">
        <v>4727</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4728</v>
      </c>
      <c r="L13" s="117" t="s">
        <v>4729</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4730</v>
      </c>
      <c r="P13" s="309" t="s">
        <v>4731</v>
      </c>
      <c r="Q13" s="328" t="s">
        <v>4732</v>
      </c>
      <c r="R13" s="329" t="s">
        <v>4733</v>
      </c>
      <c r="S13" s="17"/>
      <c r="T13" s="17"/>
      <c r="U13" s="17"/>
      <c r="V13" s="17"/>
      <c r="W13" s="17"/>
      <c r="X13" s="17"/>
      <c r="Y13" s="17"/>
      <c r="Z13" s="17"/>
    </row>
    <row r="14">
      <c r="A14" s="325" t="s">
        <v>4734</v>
      </c>
      <c r="B14" s="309" t="s">
        <v>4735</v>
      </c>
      <c r="C14" s="339" t="str">
        <f>IFERROR(__xludf.DUMMYFUNCTION("GOOGLETRANSLATE(A14,""zh-tw"",""ja"")"),"怒りの拳")</f>
        <v>怒りの拳</v>
      </c>
      <c r="D14" s="338" t="str">
        <f>IFERROR(__xludf.DUMMYFUNCTION("GOOGLETRANSLATE(B14,""zh-tw"",""ja"")"),"自動サラウンド攻撃")</f>
        <v>自動サラウンド攻撃</v>
      </c>
      <c r="E14" s="324" t="s">
        <v>4736</v>
      </c>
      <c r="F14" s="117" t="s">
        <v>4737</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4738</v>
      </c>
      <c r="M14" s="327" t="str">
        <f>IFERROR(__xludf.DUMMYFUNCTION("GOOGLETRANSLATE(A14,""zh-tw"",""ru"")"),"Кулак Злости")</f>
        <v>Кулак Злости</v>
      </c>
      <c r="N14" s="307" t="str">
        <f>IFERROR(__xludf.DUMMYFUNCTION("GOOGLETRANSLATE(B14,""zh-tw"",""ru"")"),"Автоматическая атака объемного звучания")</f>
        <v>Автоматическая атака объемного звучания</v>
      </c>
      <c r="O14" s="325" t="s">
        <v>4739</v>
      </c>
      <c r="P14" s="309" t="s">
        <v>4740</v>
      </c>
      <c r="Q14" s="328" t="s">
        <v>4741</v>
      </c>
      <c r="R14" s="329" t="s">
        <v>4742</v>
      </c>
      <c r="S14" s="17"/>
      <c r="T14" s="17"/>
      <c r="U14" s="17"/>
      <c r="V14" s="17"/>
      <c r="W14" s="17"/>
      <c r="X14" s="17"/>
      <c r="Y14" s="17"/>
      <c r="Z14" s="17"/>
    </row>
    <row r="15">
      <c r="A15" s="325" t="s">
        <v>4743</v>
      </c>
      <c r="B15" s="309" t="s">
        <v>4744</v>
      </c>
      <c r="C15" s="337" t="s">
        <v>4745</v>
      </c>
      <c r="D15" s="178" t="s">
        <v>4746</v>
      </c>
      <c r="E15" s="324" t="s">
        <v>4747</v>
      </c>
      <c r="F15" s="117" t="s">
        <v>4748</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4749</v>
      </c>
      <c r="L15" s="117" t="s">
        <v>4750</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4751</v>
      </c>
      <c r="P15" s="309" t="s">
        <v>4752</v>
      </c>
      <c r="Q15" s="328" t="s">
        <v>4753</v>
      </c>
      <c r="R15" s="329" t="s">
        <v>4754</v>
      </c>
      <c r="S15" s="17"/>
      <c r="T15" s="17"/>
      <c r="U15" s="17"/>
      <c r="V15" s="17"/>
      <c r="W15" s="17"/>
      <c r="X15" s="17"/>
      <c r="Y15" s="17"/>
      <c r="Z15" s="17"/>
    </row>
    <row r="16">
      <c r="A16" s="325" t="s">
        <v>3883</v>
      </c>
      <c r="B16" s="309" t="s">
        <v>4755</v>
      </c>
      <c r="C16" s="339" t="str">
        <f>IFERROR(__xludf.DUMMYFUNCTION("GOOGLETRANSLATE(A16,""zh-tw"",""ja"")"),"火の鳥の羽")</f>
        <v>火の鳥の羽</v>
      </c>
      <c r="D16" s="338" t="str">
        <f>IFERROR(__xludf.DUMMYFUNCTION("GOOGLETRANSLATE(B16,""zh-tw"",""ja"")"),"一度の復活")</f>
        <v>一度の復活</v>
      </c>
      <c r="E16" s="324" t="s">
        <v>3888</v>
      </c>
      <c r="F16" s="117" t="s">
        <v>4756</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3891</v>
      </c>
      <c r="L16" s="117" t="s">
        <v>4757</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3894</v>
      </c>
      <c r="P16" s="309" t="s">
        <v>4758</v>
      </c>
      <c r="Q16" s="328" t="s">
        <v>3897</v>
      </c>
      <c r="R16" s="329" t="s">
        <v>4759</v>
      </c>
      <c r="S16" s="17"/>
      <c r="T16" s="17"/>
      <c r="U16" s="17"/>
      <c r="V16" s="17"/>
      <c r="W16" s="17"/>
      <c r="X16" s="17"/>
      <c r="Y16" s="17"/>
      <c r="Z16" s="17"/>
    </row>
    <row r="17">
      <c r="A17" s="325" t="s">
        <v>4760</v>
      </c>
      <c r="B17" s="309" t="s">
        <v>4761</v>
      </c>
      <c r="C17" s="337" t="s">
        <v>4762</v>
      </c>
      <c r="D17" s="338" t="str">
        <f>IFERROR(__xludf.DUMMYFUNCTION("GOOGLETRANSLATE(B17,""zh-tw"",""ja"")"),"物理防御力：2
魔法耐性：15
落下ダメージ軽減")</f>
        <v>物理防御力：2
魔法耐性：15
落下ダメージ軽減</v>
      </c>
      <c r="E17" s="324" t="s">
        <v>4763</v>
      </c>
      <c r="F17" s="117" t="s">
        <v>4764</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4765</v>
      </c>
      <c r="L17" s="117" t="s">
        <v>4766</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4767</v>
      </c>
      <c r="P17" s="309" t="s">
        <v>4768</v>
      </c>
      <c r="Q17" s="328" t="s">
        <v>4769</v>
      </c>
      <c r="R17" s="329" t="s">
        <v>4770</v>
      </c>
      <c r="S17" s="17"/>
      <c r="T17" s="17"/>
      <c r="U17" s="17"/>
      <c r="V17" s="17"/>
      <c r="W17" s="17"/>
      <c r="X17" s="17"/>
      <c r="Y17" s="17"/>
      <c r="Z17" s="17"/>
    </row>
    <row r="18">
      <c r="A18" s="324" t="s">
        <v>4771</v>
      </c>
      <c r="B18" s="117" t="s">
        <v>4772</v>
      </c>
      <c r="C18" s="337" t="s">
        <v>4773</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4774</v>
      </c>
      <c r="P18" s="309" t="s">
        <v>4775</v>
      </c>
      <c r="Q18" s="328" t="s">
        <v>4776</v>
      </c>
      <c r="R18" s="329" t="s">
        <v>4777</v>
      </c>
      <c r="S18" s="17"/>
      <c r="T18" s="17"/>
      <c r="U18" s="17"/>
      <c r="V18" s="17"/>
      <c r="W18" s="17"/>
      <c r="X18" s="17"/>
      <c r="Y18" s="17"/>
      <c r="Z18" s="17"/>
    </row>
    <row r="19">
      <c r="A19" s="325" t="s">
        <v>4778</v>
      </c>
      <c r="B19" s="309" t="s">
        <v>4779</v>
      </c>
      <c r="C19" s="337" t="s">
        <v>4780</v>
      </c>
      <c r="D19" s="338" t="str">
        <f>IFERROR(__xludf.DUMMYFUNCTION("GOOGLETRANSLATE(B19,""zh-tw"",""ja"")"),"移動速度：5
フラッシュステップ強化")</f>
        <v>移動速度：5
フラッシュステップ強化</v>
      </c>
      <c r="E19" s="324" t="s">
        <v>4781</v>
      </c>
      <c r="F19" s="117" t="s">
        <v>4782</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4783</v>
      </c>
      <c r="P19" s="309" t="s">
        <v>4784</v>
      </c>
      <c r="Q19" s="328" t="s">
        <v>4785</v>
      </c>
      <c r="R19" s="329" t="s">
        <v>4786</v>
      </c>
      <c r="S19" s="17"/>
      <c r="T19" s="17"/>
      <c r="U19" s="17"/>
      <c r="V19" s="17"/>
      <c r="W19" s="17"/>
      <c r="X19" s="17"/>
      <c r="Y19" s="17"/>
      <c r="Z19" s="17"/>
    </row>
    <row r="20">
      <c r="A20" s="325" t="s">
        <v>4787</v>
      </c>
      <c r="B20" s="309" t="s">
        <v>4788</v>
      </c>
      <c r="C20" s="337" t="s">
        <v>4789</v>
      </c>
      <c r="D20" s="338" t="str">
        <f>IFERROR(__xludf.DUMMYFUNCTION("GOOGLETRANSLATE(B20,""zh-tw"",""ja"")"),"物理防御力：1
幸運：60")</f>
        <v>物理防御力：1
幸運：60</v>
      </c>
      <c r="E20" s="324" t="s">
        <v>4790</v>
      </c>
      <c r="F20" s="117" t="s">
        <v>4791</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4792</v>
      </c>
      <c r="P20" s="309" t="s">
        <v>4793</v>
      </c>
      <c r="Q20" s="328" t="s">
        <v>4794</v>
      </c>
      <c r="R20" s="329" t="s">
        <v>4795</v>
      </c>
      <c r="S20" s="17"/>
      <c r="T20" s="17"/>
      <c r="U20" s="17"/>
      <c r="V20" s="17"/>
      <c r="W20" s="17"/>
      <c r="X20" s="17"/>
      <c r="Y20" s="17"/>
      <c r="Z20" s="17"/>
    </row>
    <row r="21">
      <c r="A21" s="325" t="s">
        <v>4796</v>
      </c>
      <c r="B21" s="309" t="s">
        <v>4797</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4798</v>
      </c>
      <c r="F21" s="117" t="s">
        <v>4799</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4800</v>
      </c>
      <c r="L21" s="117" t="s">
        <v>4801</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4802</v>
      </c>
      <c r="P21" s="309" t="s">
        <v>4803</v>
      </c>
      <c r="Q21" s="328" t="s">
        <v>4804</v>
      </c>
      <c r="R21" s="329" t="s">
        <v>4805</v>
      </c>
      <c r="S21" s="17"/>
      <c r="T21" s="17"/>
      <c r="U21" s="17"/>
      <c r="V21" s="17"/>
      <c r="W21" s="17"/>
      <c r="X21" s="17"/>
      <c r="Y21" s="17"/>
      <c r="Z21" s="17"/>
    </row>
    <row r="22">
      <c r="A22" s="325" t="s">
        <v>4806</v>
      </c>
      <c r="B22" s="309" t="s">
        <v>4807</v>
      </c>
      <c r="C22" s="337" t="s">
        <v>4808</v>
      </c>
      <c r="D22" s="338" t="str">
        <f>IFERROR(__xludf.DUMMYFUNCTION("GOOGLETRANSLATE(B22,""zh-tw"",""ja"")"),"魔法攻撃力: 20
魔法防御: 10
高速詠唱と魔法貫通")</f>
        <v>魔法攻撃力: 20
魔法防御: 10
高速詠唱と魔法貫通</v>
      </c>
      <c r="E22" s="324" t="s">
        <v>4809</v>
      </c>
      <c r="F22" s="117" t="s">
        <v>4810</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4811</v>
      </c>
      <c r="L22" s="117" t="s">
        <v>4812</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4813</v>
      </c>
      <c r="P22" s="309" t="s">
        <v>4814</v>
      </c>
      <c r="Q22" s="328" t="s">
        <v>4815</v>
      </c>
      <c r="R22" s="329" t="s">
        <v>4816</v>
      </c>
      <c r="S22" s="17"/>
      <c r="T22" s="17"/>
      <c r="U22" s="17"/>
      <c r="V22" s="17"/>
      <c r="W22" s="17"/>
      <c r="X22" s="17"/>
      <c r="Y22" s="17"/>
      <c r="Z22" s="17"/>
    </row>
    <row r="23">
      <c r="A23" s="325" t="s">
        <v>4817</v>
      </c>
      <c r="B23" s="309" t="s">
        <v>4818</v>
      </c>
      <c r="C23" s="337" t="s">
        <v>4819</v>
      </c>
      <c r="D23" s="338" t="str">
        <f>IFERROR(__xludf.DUMMYFUNCTION("GOOGLETRANSLATE(B23,""zh-tw"",""ja"")"),"魔法攻撃力: 35
魔法防御: 20
詠唱速度が速く、魔法貫通力も高い")</f>
        <v>魔法攻撃力: 35
魔法防御: 20
詠唱速度が速く、魔法貫通力も高い</v>
      </c>
      <c r="E23" s="324" t="s">
        <v>4820</v>
      </c>
      <c r="F23" s="117" t="s">
        <v>4821</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4822</v>
      </c>
      <c r="L23" s="117" t="s">
        <v>4823</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4824</v>
      </c>
      <c r="P23" s="309" t="s">
        <v>4825</v>
      </c>
      <c r="Q23" s="328" t="s">
        <v>4826</v>
      </c>
      <c r="R23" s="329" t="s">
        <v>4827</v>
      </c>
      <c r="S23" s="17"/>
      <c r="T23" s="17"/>
      <c r="U23" s="17"/>
      <c r="V23" s="17"/>
      <c r="W23" s="17"/>
      <c r="X23" s="17"/>
      <c r="Y23" s="17"/>
      <c r="Z23" s="17"/>
    </row>
    <row r="24">
      <c r="A24" s="325" t="s">
        <v>4828</v>
      </c>
      <c r="B24" s="309" t="s">
        <v>4829</v>
      </c>
      <c r="C24" s="337" t="s">
        <v>4830</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4831</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4832</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4833</v>
      </c>
      <c r="P24" s="309" t="s">
        <v>4834</v>
      </c>
      <c r="Q24" s="328" t="s">
        <v>4835</v>
      </c>
      <c r="R24" s="329" t="s">
        <v>4836</v>
      </c>
      <c r="S24" s="17"/>
      <c r="T24" s="17"/>
      <c r="U24" s="17"/>
      <c r="V24" s="17"/>
      <c r="W24" s="17"/>
      <c r="X24" s="17"/>
      <c r="Y24" s="17"/>
      <c r="Z24" s="17"/>
    </row>
    <row r="25">
      <c r="A25" s="325" t="s">
        <v>4837</v>
      </c>
      <c r="B25" s="309" t="s">
        <v>4838</v>
      </c>
      <c r="C25" s="337" t="s">
        <v>4839</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4840</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4841</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4842</v>
      </c>
      <c r="P25" s="309" t="s">
        <v>4843</v>
      </c>
      <c r="Q25" s="328" t="s">
        <v>4844</v>
      </c>
      <c r="R25" s="329" t="s">
        <v>4845</v>
      </c>
      <c r="S25" s="17"/>
      <c r="T25" s="17"/>
      <c r="U25" s="17"/>
      <c r="V25" s="17"/>
      <c r="W25" s="17"/>
      <c r="X25" s="17"/>
      <c r="Y25" s="17"/>
      <c r="Z25" s="17"/>
    </row>
    <row r="26">
      <c r="A26" s="324" t="s">
        <v>4846</v>
      </c>
      <c r="B26" s="117" t="s">
        <v>4847</v>
      </c>
      <c r="C26" s="337" t="s">
        <v>4848</v>
      </c>
      <c r="D26" s="178" t="s">
        <v>4849</v>
      </c>
      <c r="E26" s="324" t="s">
        <v>4850</v>
      </c>
      <c r="F26" s="117" t="s">
        <v>4851</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4852</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4853</v>
      </c>
      <c r="P26" s="309" t="s">
        <v>4854</v>
      </c>
      <c r="Q26" s="328" t="s">
        <v>4855</v>
      </c>
      <c r="R26" s="123" t="s">
        <v>4856</v>
      </c>
      <c r="S26" s="17"/>
      <c r="T26" s="17"/>
      <c r="U26" s="17"/>
      <c r="V26" s="17"/>
      <c r="W26" s="17"/>
      <c r="X26" s="17"/>
      <c r="Y26" s="17"/>
      <c r="Z26" s="17"/>
    </row>
    <row r="27">
      <c r="A27" s="324" t="s">
        <v>4857</v>
      </c>
      <c r="B27" s="117" t="s">
        <v>4858</v>
      </c>
      <c r="C27" s="337" t="s">
        <v>4859</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4860</v>
      </c>
      <c r="F27" s="117" t="s">
        <v>4861</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4862</v>
      </c>
      <c r="J27" s="121" t="str">
        <f>IFERROR(__xludf.DUMMYFUNCTION("GOOGLETRANSLATE(B27,""zh-tw"",""es-MX"")"),"Suerte: 100
El doble de oro que recoges de los drops
(No funciona con alcancía)")</f>
        <v>Suerte: 100
El doble de oro que recoges de los drops
(No funciona con alcancía)</v>
      </c>
      <c r="K27" s="324" t="s">
        <v>4863</v>
      </c>
      <c r="L27" s="117" t="s">
        <v>4864</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4865</v>
      </c>
      <c r="P27" s="309" t="s">
        <v>4866</v>
      </c>
      <c r="Q27" s="328" t="s">
        <v>4867</v>
      </c>
      <c r="R27" s="329" t="s">
        <v>4868</v>
      </c>
      <c r="S27" s="17"/>
      <c r="T27" s="17"/>
      <c r="U27" s="17"/>
      <c r="V27" s="17"/>
      <c r="W27" s="17"/>
      <c r="X27" s="17"/>
      <c r="Y27" s="17"/>
      <c r="Z27" s="17"/>
    </row>
    <row r="28">
      <c r="A28" s="324" t="s">
        <v>4869</v>
      </c>
      <c r="B28" s="117" t="s">
        <v>4870</v>
      </c>
      <c r="C28" s="337" t="s">
        <v>4871</v>
      </c>
      <c r="D28" s="338" t="str">
        <f>IFERROR(__xludf.DUMMYFUNCTION("GOOGLETRANSLATE(B28,""zh-tw"",""ja"")"),"爆発効果と爆発軽減機能付き")</f>
        <v>爆発効果と爆発軽減機能付き</v>
      </c>
      <c r="E28" s="324" t="s">
        <v>4872</v>
      </c>
      <c r="F28" s="117" t="s">
        <v>4873</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4874</v>
      </c>
      <c r="L28" s="117" t="s">
        <v>4875</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4876</v>
      </c>
      <c r="P28" s="309" t="s">
        <v>4877</v>
      </c>
      <c r="Q28" s="328" t="s">
        <v>4878</v>
      </c>
      <c r="R28" s="329" t="s">
        <v>4879</v>
      </c>
      <c r="S28" s="17"/>
      <c r="T28" s="17"/>
      <c r="U28" s="17"/>
      <c r="V28" s="17"/>
      <c r="W28" s="17"/>
      <c r="X28" s="17"/>
      <c r="Y28" s="17"/>
      <c r="Z28" s="17"/>
    </row>
    <row r="29">
      <c r="A29" s="324" t="s">
        <v>4880</v>
      </c>
      <c r="B29" s="117" t="s">
        <v>4881</v>
      </c>
      <c r="C29" s="337" t="s">
        <v>4882</v>
      </c>
      <c r="D29" s="338" t="str">
        <f>IFERROR(__xludf.DUMMYFUNCTION("GOOGLETRANSLATE(B29,""zh-tw"",""ja"")"),"物理攻撃力：4
爆弾効果を増加")</f>
        <v>物理攻撃力：4
爆弾効果を増加</v>
      </c>
      <c r="E29" s="324" t="s">
        <v>4883</v>
      </c>
      <c r="F29" s="117" t="s">
        <v>4884</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4885</v>
      </c>
      <c r="L29" s="117" t="s">
        <v>4886</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4887</v>
      </c>
      <c r="P29" s="309" t="s">
        <v>4888</v>
      </c>
      <c r="Q29" s="328" t="s">
        <v>4889</v>
      </c>
      <c r="R29" s="329" t="s">
        <v>4890</v>
      </c>
      <c r="S29" s="17"/>
      <c r="T29" s="17"/>
      <c r="U29" s="17"/>
      <c r="V29" s="17"/>
      <c r="W29" s="17"/>
      <c r="X29" s="17"/>
      <c r="Y29" s="17"/>
      <c r="Z29" s="17"/>
    </row>
    <row r="30">
      <c r="A30" s="325" t="s">
        <v>4891</v>
      </c>
      <c r="B30" s="309" t="s">
        <v>4892</v>
      </c>
      <c r="C30" s="337" t="s">
        <v>4893</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4894</v>
      </c>
      <c r="F30" s="117" t="s">
        <v>4895</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4896</v>
      </c>
      <c r="L30" s="117" t="s">
        <v>4897</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4898</v>
      </c>
      <c r="P30" s="309" t="s">
        <v>4899</v>
      </c>
      <c r="Q30" s="328" t="s">
        <v>4900</v>
      </c>
      <c r="R30" s="329" t="s">
        <v>4901</v>
      </c>
      <c r="S30" s="17"/>
      <c r="T30" s="17"/>
      <c r="U30" s="17"/>
      <c r="V30" s="17"/>
      <c r="W30" s="17"/>
      <c r="X30" s="17"/>
      <c r="Y30" s="17"/>
      <c r="Z30" s="17"/>
    </row>
    <row r="31">
      <c r="A31" s="325" t="s">
        <v>4902</v>
      </c>
      <c r="B31" s="309" t="s">
        <v>4903</v>
      </c>
      <c r="C31" s="337" t="s">
        <v>4904</v>
      </c>
      <c r="D31" s="338" t="str">
        <f>IFERROR(__xludf.DUMMYFUNCTION("GOOGLETRANSLATE(B31,""zh-tw"",""ja"")"),"攻撃力: 2
防御力: 6
ダメージを与えるアーマー")</f>
        <v>攻撃力: 2
防御力: 6
ダメージを与えるアーマー</v>
      </c>
      <c r="E31" s="324" t="s">
        <v>4905</v>
      </c>
      <c r="F31" s="117" t="s">
        <v>4906</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4907</v>
      </c>
      <c r="L31" s="117" t="s">
        <v>4908</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4909</v>
      </c>
      <c r="P31" s="309" t="s">
        <v>4910</v>
      </c>
      <c r="Q31" s="328" t="s">
        <v>4911</v>
      </c>
      <c r="R31" s="329" t="s">
        <v>4912</v>
      </c>
      <c r="S31" s="17"/>
      <c r="T31" s="17"/>
      <c r="U31" s="17"/>
      <c r="V31" s="17"/>
      <c r="W31" s="17"/>
      <c r="X31" s="17"/>
      <c r="Y31" s="17"/>
      <c r="Z31" s="17"/>
    </row>
    <row r="32">
      <c r="A32" s="325" t="s">
        <v>4913</v>
      </c>
      <c r="B32" s="309" t="s">
        <v>4914</v>
      </c>
      <c r="C32" s="337" t="s">
        <v>4915</v>
      </c>
      <c r="D32" s="338" t="str">
        <f>IFERROR(__xludf.DUMMYFUNCTION("GOOGLETRANSLATE(B32,""zh-tw"",""ja"")"),"攻撃力: 4
防御力: 2
ダメージを与えるアーマー")</f>
        <v>攻撃力: 4
防御力: 2
ダメージを与えるアーマー</v>
      </c>
      <c r="E32" s="324" t="s">
        <v>4916</v>
      </c>
      <c r="F32" s="117" t="s">
        <v>4917</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4918</v>
      </c>
      <c r="L32" s="117" t="s">
        <v>4919</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4920</v>
      </c>
      <c r="P32" s="309" t="s">
        <v>4921</v>
      </c>
      <c r="Q32" s="328" t="s">
        <v>4922</v>
      </c>
      <c r="R32" s="329" t="s">
        <v>4923</v>
      </c>
      <c r="S32" s="17"/>
      <c r="T32" s="17"/>
      <c r="U32" s="17"/>
      <c r="V32" s="17"/>
      <c r="W32" s="17"/>
      <c r="X32" s="17"/>
      <c r="Y32" s="17"/>
      <c r="Z32" s="17"/>
    </row>
    <row r="33">
      <c r="A33" s="325" t="s">
        <v>4924</v>
      </c>
      <c r="B33" s="309" t="s">
        <v>4925</v>
      </c>
      <c r="C33" s="337" t="s">
        <v>4926</v>
      </c>
      <c r="D33" s="338" t="str">
        <f>IFERROR(__xludf.DUMMYFUNCTION("GOOGLETRANSLATE(B33,""zh-tw"",""ja"")"),"攻撃力: 2
防御力: 2
ダメージを与えるアーマー")</f>
        <v>攻撃力: 2
防御力: 2
ダメージを与えるアーマー</v>
      </c>
      <c r="E33" s="324" t="s">
        <v>4927</v>
      </c>
      <c r="F33" s="117" t="s">
        <v>4928</v>
      </c>
      <c r="G33" s="326" t="str">
        <f>IFERROR(__xludf.DUMMYFUNCTION("GOOGLETRANSLATE(A33,""zh-tw"",""zh"")"),"穿刺钉鞋")</f>
        <v>穿刺钉鞋</v>
      </c>
      <c r="H33" s="121" t="str">
        <f>IFERROR(__xludf.DUMMYFUNCTION("GOOGLETRANSLATE(B33,""zh-tw"",""zh"")"),"物攻：2
物防：2
伤害型防具")</f>
        <v>物攻：2
物防：2
伤害型防具</v>
      </c>
      <c r="I33" s="324" t="s">
        <v>4929</v>
      </c>
      <c r="J33" s="121" t="str">
        <f>IFERROR(__xludf.DUMMYFUNCTION("GOOGLETRANSLATE(B33,""zh-tw"",""es-MX"")"),"Ataque: 2
Defensa: 2
Armadura que causa daño")</f>
        <v>Ataque: 2
Defensa: 2
Armadura que causa daño</v>
      </c>
      <c r="K33" s="324" t="s">
        <v>4930</v>
      </c>
      <c r="L33" s="117" t="s">
        <v>4931</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4932</v>
      </c>
      <c r="P33" s="309" t="s">
        <v>4933</v>
      </c>
      <c r="Q33" s="328" t="s">
        <v>4934</v>
      </c>
      <c r="R33" s="329" t="s">
        <v>4935</v>
      </c>
      <c r="S33" s="17"/>
      <c r="T33" s="17"/>
      <c r="U33" s="17"/>
      <c r="V33" s="17"/>
      <c r="W33" s="17"/>
      <c r="X33" s="17"/>
      <c r="Y33" s="17"/>
      <c r="Z33" s="17"/>
    </row>
    <row r="34">
      <c r="A34" s="325" t="s">
        <v>4936</v>
      </c>
      <c r="B34" s="309" t="s">
        <v>4937</v>
      </c>
      <c r="C34" s="337" t="s">
        <v>4938</v>
      </c>
      <c r="D34" s="338" t="str">
        <f>IFERROR(__xludf.DUMMYFUNCTION("GOOGLETRANSLATE(B34,""zh-tw"",""ja"")"),"攻撃力: 5
防御力: 1
ダメージを与えるアーマー")</f>
        <v>攻撃力: 5
防御力: 1
ダメージを与えるアーマー</v>
      </c>
      <c r="E34" s="324" t="s">
        <v>4939</v>
      </c>
      <c r="F34" s="117" t="s">
        <v>4940</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4941</v>
      </c>
      <c r="L34" s="117" t="s">
        <v>4942</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4943</v>
      </c>
      <c r="P34" s="309" t="s">
        <v>4944</v>
      </c>
      <c r="Q34" s="328" t="s">
        <v>4945</v>
      </c>
      <c r="R34" s="329" t="s">
        <v>4946</v>
      </c>
      <c r="S34" s="17"/>
      <c r="T34" s="17"/>
      <c r="U34" s="17"/>
      <c r="V34" s="17"/>
      <c r="W34" s="17"/>
      <c r="X34" s="17"/>
      <c r="Y34" s="17"/>
      <c r="Z34" s="17"/>
    </row>
    <row r="35">
      <c r="A35" s="325" t="s">
        <v>4947</v>
      </c>
      <c r="B35" s="309" t="s">
        <v>4948</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4949</v>
      </c>
      <c r="F35" s="117" t="s">
        <v>4950</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4951</v>
      </c>
      <c r="L35" s="117" t="s">
        <v>4952</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4953</v>
      </c>
      <c r="P35" s="309" t="s">
        <v>4954</v>
      </c>
      <c r="Q35" s="328" t="s">
        <v>4955</v>
      </c>
      <c r="R35" s="329" t="s">
        <v>4956</v>
      </c>
      <c r="S35" s="17"/>
      <c r="T35" s="17"/>
      <c r="U35" s="17"/>
      <c r="V35" s="17"/>
      <c r="W35" s="17"/>
      <c r="X35" s="17"/>
      <c r="Y35" s="17"/>
      <c r="Z35" s="17"/>
    </row>
    <row r="36">
      <c r="A36" s="325" t="s">
        <v>4957</v>
      </c>
      <c r="B36" s="309" t="s">
        <v>4958</v>
      </c>
      <c r="C36" s="337" t="s">
        <v>4959</v>
      </c>
      <c r="D36" s="338" t="str">
        <f>IFERROR(__xludf.DUMMYFUNCTION("GOOGLETRANSLATE(B36,""zh-tw"",""ja"")"),"攻撃力: 2
防御力: 3
HPが低いほどステータスが上昇")</f>
        <v>攻撃力: 2
防御力: 3
HPが低いほどステータスが上昇</v>
      </c>
      <c r="E36" s="324" t="s">
        <v>4960</v>
      </c>
      <c r="F36" s="117" t="s">
        <v>4961</v>
      </c>
      <c r="G36" s="326" t="str">
        <f>IFERROR(__xludf.DUMMYFUNCTION("GOOGLETRANSLATE(A36,""zh-tw"",""zh"")"),"骑士护臂")</f>
        <v>骑士护臂</v>
      </c>
      <c r="H36" s="121" t="str">
        <f>IFERROR(__xludf.DUMMYFUNCTION("GOOGLETRANSLATE(B36,""zh-tw"",""zh"")"),"物攻：2
物防：3
低体力增属性")</f>
        <v>物攻：2
物防：3
低体力增属性</v>
      </c>
      <c r="I36" s="324" t="s">
        <v>4962</v>
      </c>
      <c r="J36" s="121" t="str">
        <f>IFERROR(__xludf.DUMMYFUNCTION("GOOGLETRANSLATE(B36,""zh-tw"",""es-MX"")"),"Ataque: 2
Defensa: 3
Menor HP aumenta las estadísticas")</f>
        <v>Ataque: 2
Defensa: 3
Menor HP aumenta las estadísticas</v>
      </c>
      <c r="K36" s="325" t="s">
        <v>4963</v>
      </c>
      <c r="L36" s="117" t="s">
        <v>4964</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4965</v>
      </c>
      <c r="P36" s="309" t="s">
        <v>4966</v>
      </c>
      <c r="Q36" s="328" t="s">
        <v>4967</v>
      </c>
      <c r="R36" s="329" t="s">
        <v>4968</v>
      </c>
      <c r="S36" s="17"/>
      <c r="T36" s="17"/>
      <c r="U36" s="17"/>
      <c r="V36" s="17"/>
      <c r="W36" s="17"/>
      <c r="X36" s="17"/>
      <c r="Y36" s="17"/>
      <c r="Z36" s="17"/>
    </row>
    <row r="37">
      <c r="A37" s="325" t="s">
        <v>4969</v>
      </c>
      <c r="B37" s="309" t="s">
        <v>4970</v>
      </c>
      <c r="C37" s="337" t="s">
        <v>4971</v>
      </c>
      <c r="D37" s="338" t="str">
        <f>IFERROR(__xludf.DUMMYFUNCTION("GOOGLETRANSLATE(B37,""zh-tw"",""ja"")"),"物理防御力: 2
魔法耐性: 2
スタミナが低いと能力が強化される")</f>
        <v>物理防御力: 2
魔法耐性: 2
スタミナが低いと能力が強化される</v>
      </c>
      <c r="E37" s="324" t="s">
        <v>4972</v>
      </c>
      <c r="F37" s="117" t="s">
        <v>4973</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4974</v>
      </c>
      <c r="L37" s="117" t="s">
        <v>4975</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4976</v>
      </c>
      <c r="P37" s="309" t="s">
        <v>4977</v>
      </c>
      <c r="Q37" s="328" t="s">
        <v>4978</v>
      </c>
      <c r="R37" s="329" t="s">
        <v>4979</v>
      </c>
      <c r="S37" s="17"/>
      <c r="T37" s="17"/>
      <c r="U37" s="17"/>
      <c r="V37" s="17"/>
      <c r="W37" s="17"/>
      <c r="X37" s="17"/>
      <c r="Y37" s="17"/>
      <c r="Z37" s="17"/>
    </row>
    <row r="38">
      <c r="A38" s="325" t="s">
        <v>4980</v>
      </c>
      <c r="B38" s="309" t="s">
        <v>4981</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4982</v>
      </c>
      <c r="F38" s="117" t="s">
        <v>4983</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4984</v>
      </c>
      <c r="L38" s="117" t="s">
        <v>4985</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4986</v>
      </c>
      <c r="P38" s="309" t="s">
        <v>4987</v>
      </c>
      <c r="Q38" s="328" t="s">
        <v>4988</v>
      </c>
      <c r="R38" s="329" t="s">
        <v>4989</v>
      </c>
      <c r="S38" s="17"/>
      <c r="T38" s="17"/>
      <c r="U38" s="17"/>
      <c r="V38" s="17"/>
      <c r="W38" s="17"/>
      <c r="X38" s="17"/>
      <c r="Y38" s="17"/>
      <c r="Z38" s="17"/>
    </row>
    <row r="39">
      <c r="A39" s="330" t="s">
        <v>4990</v>
      </c>
      <c r="B39" s="121" t="s">
        <v>4991</v>
      </c>
      <c r="C39" s="337" t="s">
        <v>4992</v>
      </c>
      <c r="D39" s="338" t="str">
        <f>IFERROR(__xludf.DUMMYFUNCTION("GOOGLETRANSLATE(B39,""zh-tw"",""ja"")"),"魔法攻撃力：10
オートエイム")</f>
        <v>魔法攻撃力：10
オートエイム</v>
      </c>
      <c r="E39" s="324" t="s">
        <v>4993</v>
      </c>
      <c r="F39" s="117" t="s">
        <v>4994</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4995</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4996</v>
      </c>
      <c r="P39" s="309" t="s">
        <v>4997</v>
      </c>
      <c r="Q39" s="328" t="s">
        <v>4998</v>
      </c>
      <c r="R39" s="316" t="s">
        <v>4999</v>
      </c>
      <c r="S39" s="17"/>
      <c r="T39" s="17"/>
      <c r="U39" s="17"/>
      <c r="V39" s="17"/>
      <c r="W39" s="17"/>
      <c r="X39" s="17"/>
      <c r="Y39" s="17"/>
      <c r="Z39" s="17"/>
    </row>
    <row r="40">
      <c r="A40" s="324" t="s">
        <v>5000</v>
      </c>
      <c r="B40" s="117" t="s">
        <v>5001</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魔法攻撃力が上昇し、最大HPが減少します")</f>
        <v>魔法攻撃力：10
魔法防御力：25
魔法攻撃力が上昇し、最大HPが減少します</v>
      </c>
      <c r="E40" s="324" t="s">
        <v>5002</v>
      </c>
      <c r="F40" s="117" t="s">
        <v>5003</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tus PS máximos.")</f>
        <v>Ataque mágico: 10
Resistencia mágica: 25
Aumenta el ataque mágico y reduce tus PS máximos.</v>
      </c>
      <c r="K40" s="324" t="s">
        <v>5004</v>
      </c>
      <c r="L40" s="117" t="s">
        <v>5005</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ваш максимальный запас здоровья")</f>
        <v>Магическая атака: 10
Сопротивление магии: 25
Увеличивает магическую атаку и снижает ваш максимальный запас здоровья</v>
      </c>
      <c r="O40" s="325" t="s">
        <v>5006</v>
      </c>
      <c r="P40" s="309" t="s">
        <v>5007</v>
      </c>
      <c r="Q40" s="328" t="s">
        <v>5008</v>
      </c>
      <c r="R40" s="329" t="s">
        <v>5009</v>
      </c>
      <c r="S40" s="17"/>
      <c r="T40" s="17"/>
      <c r="U40" s="17"/>
      <c r="V40" s="17"/>
      <c r="W40" s="17"/>
      <c r="X40" s="17"/>
      <c r="Y40" s="17"/>
      <c r="Z40" s="17"/>
    </row>
    <row r="41">
      <c r="A41" s="324" t="s">
        <v>5010</v>
      </c>
      <c r="B41" s="117" t="s">
        <v>5011</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5012</v>
      </c>
      <c r="F41" s="117" t="s">
        <v>5013</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5014</v>
      </c>
      <c r="L41" s="117" t="s">
        <v>5015</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5016</v>
      </c>
      <c r="P41" s="309" t="s">
        <v>5017</v>
      </c>
      <c r="Q41" s="328" t="s">
        <v>5018</v>
      </c>
      <c r="R41" s="329" t="s">
        <v>5019</v>
      </c>
      <c r="S41" s="17"/>
      <c r="T41" s="17"/>
      <c r="U41" s="17"/>
      <c r="V41" s="17"/>
      <c r="W41" s="17"/>
      <c r="X41" s="17"/>
      <c r="Y41" s="17"/>
      <c r="Z41" s="17"/>
    </row>
    <row r="42">
      <c r="A42" s="330" t="s">
        <v>5020</v>
      </c>
      <c r="B42" s="117" t="s">
        <v>5021</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5022</v>
      </c>
      <c r="F42" s="117" t="s">
        <v>5023</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5024</v>
      </c>
      <c r="L42" s="117" t="s">
        <v>5025</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5026</v>
      </c>
      <c r="P42" s="309" t="s">
        <v>5027</v>
      </c>
      <c r="Q42" s="328" t="s">
        <v>5028</v>
      </c>
      <c r="R42" s="329" t="s">
        <v>5029</v>
      </c>
      <c r="S42" s="17"/>
      <c r="T42" s="17"/>
      <c r="U42" s="17"/>
      <c r="V42" s="17"/>
      <c r="W42" s="17"/>
      <c r="X42" s="17"/>
      <c r="Y42" s="17"/>
      <c r="Z42" s="17"/>
    </row>
    <row r="43">
      <c r="A43" s="324" t="s">
        <v>5030</v>
      </c>
      <c r="B43" s="117" t="s">
        <v>5031</v>
      </c>
      <c r="C43" s="337" t="s">
        <v>5032</v>
      </c>
      <c r="D43" s="338" t="str">
        <f>IFERROR(__xludf.DUMMYFUNCTION("GOOGLETRANSLATE(B43,""zh-tw"",""ja"")"),"魔法攻撃力：1
スタン耐性、魔法貫通力と魔法射程距離が増加")</f>
        <v>魔法攻撃力：1
スタン耐性、魔法貫通力と魔法射程距離が増加</v>
      </c>
      <c r="E43" s="324" t="s">
        <v>5033</v>
      </c>
      <c r="F43" s="117" t="s">
        <v>5034</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5035</v>
      </c>
      <c r="L43" s="117" t="s">
        <v>5036</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5037</v>
      </c>
      <c r="P43" s="309" t="s">
        <v>5038</v>
      </c>
      <c r="Q43" s="328" t="s">
        <v>5039</v>
      </c>
      <c r="R43" s="329" t="s">
        <v>5040</v>
      </c>
      <c r="S43" s="17"/>
      <c r="T43" s="17"/>
      <c r="U43" s="17"/>
      <c r="V43" s="17"/>
      <c r="W43" s="17"/>
      <c r="X43" s="17"/>
      <c r="Y43" s="17"/>
      <c r="Z43" s="17"/>
    </row>
    <row r="44">
      <c r="A44" s="324" t="s">
        <v>5041</v>
      </c>
      <c r="B44" s="117" t="s">
        <v>5042</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5043</v>
      </c>
      <c r="F44" s="117" t="s">
        <v>5044</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5045</v>
      </c>
      <c r="L44" s="117" t="s">
        <v>5046</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5047</v>
      </c>
      <c r="P44" s="309" t="s">
        <v>5048</v>
      </c>
      <c r="Q44" s="328" t="s">
        <v>5049</v>
      </c>
      <c r="R44" s="329" t="s">
        <v>5050</v>
      </c>
      <c r="S44" s="17"/>
      <c r="T44" s="17"/>
      <c r="U44" s="17"/>
      <c r="V44" s="17"/>
      <c r="W44" s="17"/>
      <c r="X44" s="17"/>
      <c r="Y44" s="17"/>
      <c r="Z44" s="17"/>
    </row>
    <row r="45">
      <c r="A45" s="324" t="s">
        <v>5051</v>
      </c>
      <c r="B45" s="117" t="s">
        <v>5052</v>
      </c>
      <c r="C45" s="337" t="s">
        <v>5053</v>
      </c>
      <c r="D45" s="178" t="s">
        <v>5054</v>
      </c>
      <c r="E45" s="324" t="s">
        <v>5055</v>
      </c>
      <c r="F45" s="117" t="s">
        <v>5056</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5057</v>
      </c>
      <c r="L45" s="117" t="s">
        <v>5058</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5059</v>
      </c>
      <c r="P45" s="309" t="s">
        <v>5060</v>
      </c>
      <c r="Q45" s="328" t="s">
        <v>5061</v>
      </c>
      <c r="R45" s="329" t="s">
        <v>5062</v>
      </c>
      <c r="S45" s="17"/>
      <c r="T45" s="17"/>
      <c r="U45" s="17"/>
      <c r="V45" s="17"/>
      <c r="W45" s="17"/>
      <c r="X45" s="17"/>
      <c r="Y45" s="17"/>
      <c r="Z45" s="17"/>
    </row>
    <row r="46">
      <c r="A46" s="325" t="s">
        <v>5063</v>
      </c>
      <c r="B46" s="309" t="s">
        <v>5064</v>
      </c>
      <c r="C46" s="337" t="s">
        <v>5065</v>
      </c>
      <c r="D46" s="338" t="str">
        <f>IFERROR(__xludf.DUMMYFUNCTION("GOOGLETRANSLATE(B46,""zh-tw"",""ja"")"),"魔法耐性: 10
幸運: 10
晴れの日 2")</f>
        <v>魔法耐性: 10
幸運: 10
晴れの日 2</v>
      </c>
      <c r="E46" s="324" t="s">
        <v>5066</v>
      </c>
      <c r="F46" s="117" t="s">
        <v>5067</v>
      </c>
      <c r="G46" s="326" t="str">
        <f>IFERROR(__xludf.DUMMYFUNCTION("GOOGLETRANSLATE(A46,""zh-tw"",""zh"")"),"晴天娃娃")</f>
        <v>晴天娃娃</v>
      </c>
      <c r="H46" s="121" t="str">
        <f>IFERROR(__xludf.DUMMYFUNCTION("GOOGLETRANSLATE(B46,""zh-tw"",""zh"")"),"魔抗：10
幸运：10
第二天晴天")</f>
        <v>魔抗：10
幸运：10
第二天晴天</v>
      </c>
      <c r="I46" s="324" t="s">
        <v>5066</v>
      </c>
      <c r="J46" s="121" t="str">
        <f>IFERROR(__xludf.DUMMYFUNCTION("GOOGLETRANSLATE(B46,""zh-tw"",""es-MX"")"),"Resistencia Mágica: 10
Suerte: 10
Día Soleado 2")</f>
        <v>Resistencia Mágica: 10
Suerte: 10
Día Soleado 2</v>
      </c>
      <c r="K46" s="324" t="s">
        <v>5068</v>
      </c>
      <c r="L46" s="117" t="s">
        <v>5069</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5070</v>
      </c>
      <c r="P46" s="309" t="s">
        <v>5071</v>
      </c>
      <c r="Q46" s="340" t="s">
        <v>5072</v>
      </c>
      <c r="R46" s="329" t="s">
        <v>5073</v>
      </c>
      <c r="S46" s="17"/>
      <c r="T46" s="17"/>
      <c r="U46" s="17"/>
      <c r="V46" s="17"/>
      <c r="W46" s="17"/>
      <c r="X46" s="17"/>
      <c r="Y46" s="17"/>
      <c r="Z46" s="17"/>
    </row>
    <row r="47">
      <c r="A47" s="325" t="s">
        <v>5074</v>
      </c>
      <c r="B47" s="309" t="s">
        <v>5075</v>
      </c>
      <c r="C47" s="337" t="s">
        <v>5076</v>
      </c>
      <c r="D47" s="338" t="str">
        <f>IFERROR(__xludf.DUMMYFUNCTION("GOOGLETRANSLATE(B47,""zh-tw"",""ja"")"),"魔法耐性：10
幸運：10
翌日は曇りでした")</f>
        <v>魔法耐性：10
幸運：10
翌日は曇りでした</v>
      </c>
      <c r="E47" s="324" t="s">
        <v>5077</v>
      </c>
      <c r="F47" s="117" t="s">
        <v>5078</v>
      </c>
      <c r="G47" s="326" t="str">
        <f>IFERROR(__xludf.DUMMYFUNCTION("GOOGLETRANSLATE(A47,""zh-tw"",""zh"")"),"阴天娃娃")</f>
        <v>阴天娃娃</v>
      </c>
      <c r="H47" s="121" t="str">
        <f>IFERROR(__xludf.DUMMYFUNCTION("GOOGLETRANSLATE(B47,""zh-tw"",""zh"")"),"魔抗：10
幸运：10
第二天阴天")</f>
        <v>魔抗：10
幸运：10
第二天阴天</v>
      </c>
      <c r="I47" s="324" t="s">
        <v>5077</v>
      </c>
      <c r="J47" s="121" t="str">
        <f>IFERROR(__xludf.DUMMYFUNCTION("GOOGLETRANSLATE(B47,""zh-tw"",""es-MX"")"),"Resistencia Mágica: 10
Suerte: 10
El día siguiente estaba nublado.")</f>
        <v>Resistencia Mágica: 10
Suerte: 10
El día siguiente estaba nublado.</v>
      </c>
      <c r="K47" s="325" t="s">
        <v>5079</v>
      </c>
      <c r="L47" s="117" t="s">
        <v>5080</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5081</v>
      </c>
      <c r="P47" s="309" t="s">
        <v>5082</v>
      </c>
      <c r="Q47" s="340" t="s">
        <v>5083</v>
      </c>
      <c r="R47" s="329" t="s">
        <v>5084</v>
      </c>
      <c r="S47" s="17"/>
      <c r="T47" s="17"/>
      <c r="U47" s="17"/>
      <c r="V47" s="17"/>
      <c r="W47" s="17"/>
      <c r="X47" s="17"/>
      <c r="Y47" s="17"/>
      <c r="Z47" s="17"/>
    </row>
    <row r="48">
      <c r="A48" s="325" t="s">
        <v>5085</v>
      </c>
      <c r="B48" s="309" t="s">
        <v>5086</v>
      </c>
      <c r="C48" s="337" t="s">
        <v>5087</v>
      </c>
      <c r="D48" s="338" t="str">
        <f>IFERROR(__xludf.DUMMYFUNCTION("GOOGLETRANSLATE(B48,""zh-tw"",""ja"")"),"魔法耐性：10
幸運：10
雨の日2")</f>
        <v>魔法耐性：10
幸運：10
雨の日2</v>
      </c>
      <c r="E48" s="324" t="s">
        <v>5088</v>
      </c>
      <c r="F48" s="117" t="s">
        <v>5089</v>
      </c>
      <c r="G48" s="326" t="str">
        <f>IFERROR(__xludf.DUMMYFUNCTION("GOOGLETRANSLATE(A48,""zh-tw"",""zh"")"),"雨天娃娃")</f>
        <v>雨天娃娃</v>
      </c>
      <c r="H48" s="121" t="str">
        <f>IFERROR(__xludf.DUMMYFUNCTION("GOOGLETRANSLATE(B48,""zh-tw"",""zh"")"),"魔抗：10
幸运：10
第二天雨天")</f>
        <v>魔抗：10
幸运：10
第二天雨天</v>
      </c>
      <c r="I48" s="324" t="s">
        <v>5088</v>
      </c>
      <c r="J48" s="121" t="str">
        <f>IFERROR(__xludf.DUMMYFUNCTION("GOOGLETRANSLATE(B48,""zh-tw"",""es-MX"")"),"Resistencia Mágica: 10
Suerte: 10
Día Lluvioso 2")</f>
        <v>Resistencia Mágica: 10
Suerte: 10
Día Lluvioso 2</v>
      </c>
      <c r="K48" s="324" t="s">
        <v>5090</v>
      </c>
      <c r="L48" s="117" t="s">
        <v>5091</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5092</v>
      </c>
      <c r="P48" s="309" t="s">
        <v>5093</v>
      </c>
      <c r="Q48" s="340" t="s">
        <v>5094</v>
      </c>
      <c r="R48" s="329" t="s">
        <v>5095</v>
      </c>
      <c r="S48" s="17"/>
      <c r="T48" s="17"/>
      <c r="U48" s="17"/>
      <c r="V48" s="17"/>
      <c r="W48" s="17"/>
      <c r="X48" s="17"/>
      <c r="Y48" s="17"/>
      <c r="Z48" s="17"/>
    </row>
    <row r="49">
      <c r="A49" s="324" t="s">
        <v>5096</v>
      </c>
      <c r="B49" s="117" t="s">
        <v>5097</v>
      </c>
      <c r="C49" s="337" t="s">
        <v>5096</v>
      </c>
      <c r="D49" s="338" t="str">
        <f>IFERROR(__xludf.DUMMYFUNCTION("GOOGLETRANSLATE(B49,""zh-tw"",""ja"")"),"物理防御力: 1
魔法耐性: 10
幸運: 5
最大スタミナを増加")</f>
        <v>物理防御力: 1
魔法耐性: 10
幸運: 5
最大スタミナを増加</v>
      </c>
      <c r="E49" s="324" t="s">
        <v>5098</v>
      </c>
      <c r="F49" s="117" t="s">
        <v>5099</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5100</v>
      </c>
      <c r="L49" s="117" t="s">
        <v>5101</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5102</v>
      </c>
      <c r="P49" s="309" t="s">
        <v>5103</v>
      </c>
      <c r="Q49" s="328" t="s">
        <v>5104</v>
      </c>
      <c r="R49" s="329" t="s">
        <v>5105</v>
      </c>
      <c r="S49" s="17"/>
      <c r="T49" s="17"/>
      <c r="U49" s="17"/>
      <c r="V49" s="17"/>
      <c r="W49" s="17"/>
      <c r="X49" s="17"/>
      <c r="Y49" s="17"/>
      <c r="Z49" s="17"/>
    </row>
    <row r="50">
      <c r="A50" s="324" t="s">
        <v>4062</v>
      </c>
      <c r="B50" s="117" t="s">
        <v>5106</v>
      </c>
      <c r="C50" s="337" t="s">
        <v>4064</v>
      </c>
      <c r="D50" s="338" t="str">
        <f>IFERROR(__xludf.DUMMYFUNCTION("GOOGLETRANSLATE(B50,""zh-tw"",""ja"")"),"魔法耐性：30
再生不可、7秒間死を免れる")</f>
        <v>魔法耐性：30
再生不可、7秒間死を免れる</v>
      </c>
      <c r="E50" s="324" t="s">
        <v>4066</v>
      </c>
      <c r="F50" s="117" t="s">
        <v>5107</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4068</v>
      </c>
      <c r="L50" s="117" t="s">
        <v>5108</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4070</v>
      </c>
      <c r="P50" s="309" t="s">
        <v>5109</v>
      </c>
      <c r="Q50" s="328" t="s">
        <v>4072</v>
      </c>
      <c r="R50" s="329" t="s">
        <v>5110</v>
      </c>
      <c r="S50" s="17"/>
      <c r="T50" s="17"/>
      <c r="U50" s="17"/>
      <c r="V50" s="17"/>
      <c r="W50" s="17"/>
      <c r="X50" s="17"/>
      <c r="Y50" s="17"/>
      <c r="Z50" s="17"/>
    </row>
    <row r="51">
      <c r="A51" s="324" t="s">
        <v>5111</v>
      </c>
      <c r="B51" s="117" t="s">
        <v>5112</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5113</v>
      </c>
      <c r="F51" s="117" t="s">
        <v>5114</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5115</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5116</v>
      </c>
      <c r="P51" s="309" t="s">
        <v>5117</v>
      </c>
      <c r="Q51" s="328" t="s">
        <v>5118</v>
      </c>
      <c r="R51" s="329" t="s">
        <v>5119</v>
      </c>
      <c r="S51" s="17"/>
      <c r="T51" s="17"/>
      <c r="U51" s="17"/>
      <c r="V51" s="17"/>
      <c r="W51" s="17"/>
      <c r="X51" s="17"/>
      <c r="Y51" s="17"/>
      <c r="Z51" s="17"/>
    </row>
    <row r="52">
      <c r="A52" s="324" t="s">
        <v>5120</v>
      </c>
      <c r="B52" s="117" t="s">
        <v>5121</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5122</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5123</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5124</v>
      </c>
      <c r="P52" s="309" t="s">
        <v>5125</v>
      </c>
      <c r="Q52" s="328" t="s">
        <v>5126</v>
      </c>
      <c r="R52" s="329" t="s">
        <v>5127</v>
      </c>
      <c r="S52" s="17"/>
      <c r="T52" s="17"/>
      <c r="U52" s="17"/>
      <c r="V52" s="17"/>
      <c r="W52" s="17"/>
      <c r="X52" s="17"/>
      <c r="Y52" s="17"/>
      <c r="Z52" s="17"/>
    </row>
    <row r="53">
      <c r="A53" s="324" t="s">
        <v>5128</v>
      </c>
      <c r="B53" s="117" t="s">
        <v>5129</v>
      </c>
      <c r="C53" s="337" t="s">
        <v>5130</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5131</v>
      </c>
      <c r="F53" s="117" t="s">
        <v>5132</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5133</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5" t="s">
        <v>5134</v>
      </c>
      <c r="P53" s="309" t="s">
        <v>5135</v>
      </c>
      <c r="Q53" s="328" t="s">
        <v>5136</v>
      </c>
      <c r="R53" s="123" t="s">
        <v>5137</v>
      </c>
      <c r="S53" s="17"/>
      <c r="T53" s="17"/>
      <c r="U53" s="17"/>
      <c r="V53" s="17"/>
      <c r="W53" s="17"/>
      <c r="X53" s="17"/>
      <c r="Y53" s="17"/>
      <c r="Z53" s="17"/>
    </row>
    <row r="54">
      <c r="A54" s="324" t="s">
        <v>5138</v>
      </c>
      <c r="B54" s="117" t="s">
        <v>5139</v>
      </c>
      <c r="C54" s="337" t="s">
        <v>5140</v>
      </c>
      <c r="D54" s="117" t="s">
        <v>5141</v>
      </c>
      <c r="E54" s="324" t="s">
        <v>5142</v>
      </c>
      <c r="F54" s="117" t="s">
        <v>5143</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5144</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5145</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5146</v>
      </c>
      <c r="P54" s="309" t="s">
        <v>5147</v>
      </c>
      <c r="Q54" s="328" t="s">
        <v>5148</v>
      </c>
      <c r="R54" s="329" t="s">
        <v>5149</v>
      </c>
      <c r="S54" s="17"/>
      <c r="T54" s="17"/>
      <c r="U54" s="17"/>
      <c r="V54" s="17"/>
      <c r="W54" s="17"/>
      <c r="X54" s="17"/>
      <c r="Y54" s="17"/>
      <c r="Z54" s="17"/>
    </row>
    <row r="55">
      <c r="A55" s="324" t="s">
        <v>4100</v>
      </c>
      <c r="B55" s="117" t="s">
        <v>5150</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4104</v>
      </c>
      <c r="F55" s="117" t="s">
        <v>5151</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4105</v>
      </c>
      <c r="L55" s="117" t="s">
        <v>5152</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4107</v>
      </c>
      <c r="P55" s="309" t="s">
        <v>5153</v>
      </c>
      <c r="Q55" s="328" t="s">
        <v>5154</v>
      </c>
      <c r="R55" s="329" t="s">
        <v>5155</v>
      </c>
      <c r="S55" s="17"/>
      <c r="T55" s="17"/>
      <c r="U55" s="17"/>
      <c r="V55" s="17"/>
      <c r="W55" s="17"/>
      <c r="X55" s="17"/>
      <c r="Y55" s="17"/>
      <c r="Z55" s="17"/>
    </row>
    <row r="56">
      <c r="A56" s="324" t="s">
        <v>5156</v>
      </c>
      <c r="B56" s="309" t="s">
        <v>5157</v>
      </c>
      <c r="C56" s="337" t="s">
        <v>5158</v>
      </c>
      <c r="D56" s="178" t="s">
        <v>5159</v>
      </c>
      <c r="E56" s="324" t="s">
        <v>5160</v>
      </c>
      <c r="F56" s="117" t="s">
        <v>5161</v>
      </c>
      <c r="G56" s="326" t="str">
        <f>IFERROR(__xludf.DUMMYFUNCTION("GOOGLETRANSLATE(A56,""zh-tw"",""zh"")"),"炎天娃娃")</f>
        <v>炎天娃娃</v>
      </c>
      <c r="H56" s="121" t="str">
        <f>IFERROR(__xludf.DUMMYFUNCTION("GOOGLETRANSLATE(B56,""zh-tw"",""zh"")"),"魔抗：10
幸运：10
第二天炎热")</f>
        <v>魔抗：10
幸运：10
第二天炎热</v>
      </c>
      <c r="I56" s="324" t="s">
        <v>5160</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5162</v>
      </c>
      <c r="P56" s="309" t="s">
        <v>5163</v>
      </c>
      <c r="Q56" s="340" t="s">
        <v>5164</v>
      </c>
      <c r="R56" s="329" t="s">
        <v>5165</v>
      </c>
      <c r="S56" s="17"/>
      <c r="T56" s="17"/>
      <c r="U56" s="17"/>
      <c r="V56" s="17"/>
      <c r="W56" s="17"/>
      <c r="X56" s="17"/>
      <c r="Y56" s="17"/>
      <c r="Z56" s="17"/>
    </row>
    <row r="57">
      <c r="A57" s="324" t="s">
        <v>5166</v>
      </c>
      <c r="B57" s="117" t="s">
        <v>5167</v>
      </c>
      <c r="C57" s="337" t="s">
        <v>5168</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5169</v>
      </c>
      <c r="F57" s="117" t="s">
        <v>5170</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5171</v>
      </c>
      <c r="J57" s="342" t="s">
        <v>5172</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5173</v>
      </c>
      <c r="P57" s="309" t="s">
        <v>5174</v>
      </c>
      <c r="Q57" s="328" t="s">
        <v>5175</v>
      </c>
      <c r="R57" s="329" t="s">
        <v>5176</v>
      </c>
      <c r="S57" s="17"/>
      <c r="T57" s="17"/>
      <c r="U57" s="17"/>
      <c r="V57" s="17"/>
      <c r="W57" s="17"/>
      <c r="X57" s="17"/>
      <c r="Y57" s="17"/>
      <c r="Z57" s="17"/>
    </row>
    <row r="58">
      <c r="A58" s="326" t="s">
        <v>5177</v>
      </c>
      <c r="B58" s="121" t="s">
        <v>5178</v>
      </c>
      <c r="C58" s="324" t="s">
        <v>5179</v>
      </c>
      <c r="D58" s="121" t="s">
        <v>5180</v>
      </c>
      <c r="E58" s="326" t="s">
        <v>5181</v>
      </c>
      <c r="F58" s="121" t="s">
        <v>5182</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5181</v>
      </c>
      <c r="P58" s="117" t="s">
        <v>5183</v>
      </c>
      <c r="Q58" s="343" t="s">
        <v>5184</v>
      </c>
      <c r="R58" s="344" t="s">
        <v>5185</v>
      </c>
      <c r="S58" s="17"/>
      <c r="T58" s="17"/>
      <c r="U58" s="17"/>
      <c r="V58" s="17"/>
      <c r="W58" s="17"/>
      <c r="X58" s="17"/>
      <c r="Y58" s="17"/>
      <c r="Z58" s="17"/>
    </row>
    <row r="59">
      <c r="A59" s="326" t="s">
        <v>5186</v>
      </c>
      <c r="B59" s="121" t="s">
        <v>5187</v>
      </c>
      <c r="C59" s="324" t="s">
        <v>4121</v>
      </c>
      <c r="D59" s="121" t="s">
        <v>5188</v>
      </c>
      <c r="E59" s="326" t="s">
        <v>5189</v>
      </c>
      <c r="F59" s="121" t="s">
        <v>5190</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5191</v>
      </c>
      <c r="P59" s="117" t="s">
        <v>5192</v>
      </c>
      <c r="Q59" s="345" t="s">
        <v>5193</v>
      </c>
      <c r="R59" s="316" t="s">
        <v>5194</v>
      </c>
      <c r="S59" s="17"/>
      <c r="T59" s="17"/>
      <c r="U59" s="17"/>
      <c r="V59" s="17"/>
      <c r="W59" s="17"/>
      <c r="X59" s="17"/>
      <c r="Y59" s="17"/>
      <c r="Z59" s="17"/>
    </row>
    <row r="60">
      <c r="A60" s="326" t="s">
        <v>5195</v>
      </c>
      <c r="B60" s="121" t="s">
        <v>5196</v>
      </c>
      <c r="C60" s="345" t="s">
        <v>5197</v>
      </c>
      <c r="D60" s="120" t="s">
        <v>5198</v>
      </c>
      <c r="E60" s="324" t="s">
        <v>5199</v>
      </c>
      <c r="F60" s="117" t="s">
        <v>5200</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5201</v>
      </c>
      <c r="P60" s="117" t="s">
        <v>5202</v>
      </c>
      <c r="Q60" s="343" t="s">
        <v>5203</v>
      </c>
      <c r="R60" s="316" t="s">
        <v>5204</v>
      </c>
      <c r="S60" s="346"/>
      <c r="T60" s="346"/>
      <c r="U60" s="346"/>
      <c r="V60" s="346"/>
      <c r="W60" s="346"/>
      <c r="X60" s="346"/>
      <c r="Y60" s="346"/>
      <c r="Z60" s="346"/>
    </row>
    <row r="61">
      <c r="A61" s="324" t="s">
        <v>5205</v>
      </c>
      <c r="B61" s="117" t="s">
        <v>5206</v>
      </c>
      <c r="C61" s="337" t="s">
        <v>5207</v>
      </c>
      <c r="D61" s="178" t="s">
        <v>5208</v>
      </c>
      <c r="E61" s="324" t="s">
        <v>5209</v>
      </c>
      <c r="F61" s="117" t="s">
        <v>5210</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5211</v>
      </c>
      <c r="P61" s="117" t="s">
        <v>5212</v>
      </c>
      <c r="Q61" s="328" t="s">
        <v>5213</v>
      </c>
      <c r="R61" s="329" t="s">
        <v>5214</v>
      </c>
      <c r="S61" s="17"/>
      <c r="T61" s="17"/>
      <c r="U61" s="17"/>
      <c r="V61" s="17"/>
      <c r="W61" s="17"/>
      <c r="X61" s="17"/>
      <c r="Y61" s="17"/>
      <c r="Z61" s="17"/>
    </row>
    <row r="62">
      <c r="A62" s="330" t="s">
        <v>5215</v>
      </c>
      <c r="B62" s="105" t="s">
        <v>5216</v>
      </c>
      <c r="C62" s="330" t="s">
        <v>5217</v>
      </c>
      <c r="D62" s="105" t="s">
        <v>5218</v>
      </c>
      <c r="E62" s="330" t="s">
        <v>5219</v>
      </c>
      <c r="F62" s="105" t="s">
        <v>5220</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5221</v>
      </c>
      <c r="P62" s="121" t="s">
        <v>5222</v>
      </c>
      <c r="Q62" s="328" t="s">
        <v>5223</v>
      </c>
      <c r="R62" s="329" t="s">
        <v>5224</v>
      </c>
      <c r="S62" s="17"/>
      <c r="T62" s="17"/>
      <c r="U62" s="17"/>
      <c r="V62" s="17"/>
      <c r="W62" s="17"/>
      <c r="X62" s="17"/>
      <c r="Y62" s="17"/>
      <c r="Z62" s="17"/>
    </row>
    <row r="63">
      <c r="A63" s="330" t="s">
        <v>5225</v>
      </c>
      <c r="B63" s="105" t="s">
        <v>5226</v>
      </c>
      <c r="C63" s="337" t="s">
        <v>5227</v>
      </c>
      <c r="D63" s="178" t="s">
        <v>5228</v>
      </c>
      <c r="E63" s="330" t="s">
        <v>5229</v>
      </c>
      <c r="F63" s="105" t="s">
        <v>5230</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скорость восстановления здоровья главного героя.")</f>
        <v>Количество последователей увеличивает скорость восстановления здоровья главного героя.</v>
      </c>
      <c r="O63" s="326" t="s">
        <v>5231</v>
      </c>
      <c r="P63" s="121" t="s">
        <v>5232</v>
      </c>
      <c r="Q63" s="328" t="s">
        <v>5233</v>
      </c>
      <c r="R63" s="329" t="s">
        <v>5234</v>
      </c>
      <c r="S63" s="17"/>
      <c r="T63" s="17"/>
      <c r="U63" s="17"/>
      <c r="V63" s="17"/>
      <c r="W63" s="17"/>
      <c r="X63" s="17"/>
      <c r="Y63" s="17"/>
      <c r="Z63" s="17"/>
    </row>
    <row r="64">
      <c r="A64" s="324" t="s">
        <v>5235</v>
      </c>
      <c r="B64" s="117" t="s">
        <v>5236</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5237</v>
      </c>
      <c r="F64" s="117" t="s">
        <v>5238</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5239</v>
      </c>
      <c r="R64" s="329" t="s">
        <v>5240</v>
      </c>
      <c r="S64" s="17"/>
      <c r="T64" s="17"/>
      <c r="U64" s="17"/>
      <c r="V64" s="17"/>
      <c r="W64" s="17"/>
      <c r="X64" s="17"/>
      <c r="Y64" s="17"/>
      <c r="Z64" s="17"/>
    </row>
    <row r="65">
      <c r="A65" s="324" t="s">
        <v>5241</v>
      </c>
      <c r="B65" s="117" t="s">
        <v>5242</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5243</v>
      </c>
      <c r="F65" s="117" t="s">
        <v>5244</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5245</v>
      </c>
      <c r="R65" s="329" t="s">
        <v>5246</v>
      </c>
      <c r="S65" s="17"/>
      <c r="T65" s="17"/>
      <c r="U65" s="17"/>
      <c r="V65" s="17"/>
      <c r="W65" s="17"/>
      <c r="X65" s="17"/>
      <c r="Y65" s="17"/>
      <c r="Z65" s="17"/>
    </row>
    <row r="66">
      <c r="A66" s="324" t="s">
        <v>5247</v>
      </c>
      <c r="B66" s="117" t="s">
        <v>5248</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5249</v>
      </c>
      <c r="F66" s="117" t="s">
        <v>5250</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5251</v>
      </c>
      <c r="R66" s="329" t="s">
        <v>5252</v>
      </c>
      <c r="S66" s="17"/>
      <c r="T66" s="17"/>
      <c r="U66" s="17"/>
      <c r="V66" s="17"/>
      <c r="W66" s="17"/>
      <c r="X66" s="17"/>
      <c r="Y66" s="17"/>
      <c r="Z66" s="17"/>
    </row>
    <row r="67">
      <c r="A67" s="324" t="s">
        <v>5253</v>
      </c>
      <c r="B67" s="117" t="s">
        <v>5254</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5255</v>
      </c>
      <c r="F67" s="117" t="s">
        <v>5256</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5257</v>
      </c>
      <c r="R67" s="329" t="s">
        <v>5258</v>
      </c>
      <c r="S67" s="17"/>
      <c r="T67" s="17"/>
      <c r="U67" s="17"/>
      <c r="V67" s="17"/>
      <c r="W67" s="17"/>
      <c r="X67" s="17"/>
      <c r="Y67" s="17"/>
      <c r="Z67" s="17"/>
    </row>
    <row r="68">
      <c r="A68" s="324" t="s">
        <v>5259</v>
      </c>
      <c r="B68" s="117" t="s">
        <v>5260</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5261</v>
      </c>
      <c r="F68" s="117" t="s">
        <v>5262</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5263</v>
      </c>
      <c r="R68" s="329" t="s">
        <v>5264</v>
      </c>
      <c r="S68" s="17"/>
      <c r="T68" s="17"/>
      <c r="U68" s="17"/>
      <c r="V68" s="17"/>
      <c r="W68" s="17"/>
      <c r="X68" s="17"/>
      <c r="Y68" s="17"/>
      <c r="Z68" s="17"/>
    </row>
    <row r="69">
      <c r="A69" s="324" t="s">
        <v>5265</v>
      </c>
      <c r="B69" s="117" t="s">
        <v>5266</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5267</v>
      </c>
      <c r="F69" s="117" t="s">
        <v>5268</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5269</v>
      </c>
      <c r="R69" s="329" t="s">
        <v>5270</v>
      </c>
      <c r="S69" s="17"/>
      <c r="T69" s="17"/>
      <c r="U69" s="17"/>
      <c r="V69" s="17"/>
      <c r="W69" s="17"/>
      <c r="X69" s="17"/>
      <c r="Y69" s="17"/>
      <c r="Z69" s="17"/>
    </row>
    <row r="70">
      <c r="A70" s="324" t="s">
        <v>5271</v>
      </c>
      <c r="B70" s="117" t="s">
        <v>5272</v>
      </c>
      <c r="C70" s="326" t="str">
        <f>IFERROR(__xludf.DUMMYFUNCTION("GOOGLETRANSLATE(A70,""zh-tw"",""ja"")"),"シャープブレードリング")</f>
        <v>シャープブレードリング</v>
      </c>
      <c r="D70" s="121" t="str">
        <f>IFERROR(__xludf.DUMMYFUNCTION("GOOGLETRANSLATE(B70,""zh-tw"",""ja"")"),"物理攻撃力+15%")</f>
        <v>物理攻撃力+15%</v>
      </c>
      <c r="E70" s="324" t="s">
        <v>5273</v>
      </c>
      <c r="F70" s="117" t="s">
        <v>5274</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5275</v>
      </c>
      <c r="R70" s="329" t="s">
        <v>5276</v>
      </c>
      <c r="S70" s="17"/>
      <c r="T70" s="17"/>
      <c r="U70" s="17"/>
      <c r="V70" s="17"/>
      <c r="W70" s="17"/>
      <c r="X70" s="17"/>
      <c r="Y70" s="17"/>
      <c r="Z70" s="17"/>
    </row>
    <row r="71">
      <c r="A71" s="324" t="s">
        <v>5277</v>
      </c>
      <c r="B71" s="117" t="s">
        <v>5278</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5279</v>
      </c>
      <c r="F71" s="117" t="s">
        <v>5280</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5279</v>
      </c>
      <c r="R71" s="329" t="s">
        <v>5281</v>
      </c>
      <c r="S71" s="17"/>
      <c r="T71" s="17"/>
      <c r="U71" s="17"/>
      <c r="V71" s="17"/>
      <c r="W71" s="17"/>
      <c r="X71" s="17"/>
      <c r="Y71" s="17"/>
      <c r="Z71" s="17"/>
    </row>
    <row r="72">
      <c r="A72" s="324" t="s">
        <v>5282</v>
      </c>
      <c r="B72" s="117" t="s">
        <v>5283</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5284</v>
      </c>
      <c r="F72" s="117" t="s">
        <v>5285</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5286</v>
      </c>
      <c r="R72" s="329" t="s">
        <v>5287</v>
      </c>
      <c r="S72" s="17"/>
      <c r="T72" s="17"/>
      <c r="U72" s="17"/>
      <c r="V72" s="17"/>
      <c r="W72" s="17"/>
      <c r="X72" s="17"/>
      <c r="Y72" s="17"/>
      <c r="Z72" s="17"/>
    </row>
    <row r="73">
      <c r="A73" s="324" t="s">
        <v>5288</v>
      </c>
      <c r="B73" s="117" t="s">
        <v>5289</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5290</v>
      </c>
      <c r="F73" s="117" t="s">
        <v>5291</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5292</v>
      </c>
      <c r="R73" s="329" t="s">
        <v>5293</v>
      </c>
      <c r="S73" s="17"/>
      <c r="T73" s="17"/>
      <c r="U73" s="17"/>
      <c r="V73" s="17"/>
      <c r="W73" s="17"/>
      <c r="X73" s="17"/>
      <c r="Y73" s="17"/>
      <c r="Z73" s="17"/>
    </row>
    <row r="74">
      <c r="A74" s="324" t="s">
        <v>5294</v>
      </c>
      <c r="B74" s="117" t="s">
        <v>5295</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5296</v>
      </c>
      <c r="F74" s="117" t="s">
        <v>5297</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5298</v>
      </c>
      <c r="R74" s="329" t="s">
        <v>5299</v>
      </c>
      <c r="S74" s="17"/>
      <c r="T74" s="17"/>
      <c r="U74" s="17"/>
      <c r="V74" s="17"/>
      <c r="W74" s="17"/>
      <c r="X74" s="17"/>
      <c r="Y74" s="17"/>
      <c r="Z74" s="17"/>
    </row>
    <row r="75">
      <c r="A75" s="330" t="s">
        <v>4172</v>
      </c>
      <c r="B75" s="117" t="s">
        <v>5300</v>
      </c>
      <c r="C75" s="337" t="s">
        <v>5301</v>
      </c>
      <c r="D75" s="178" t="s">
        <v>5302</v>
      </c>
      <c r="E75" s="324" t="s">
        <v>4175</v>
      </c>
      <c r="F75" s="117" t="s">
        <v>5303</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4178</v>
      </c>
      <c r="P75" s="117" t="s">
        <v>5304</v>
      </c>
      <c r="Q75" s="328" t="s">
        <v>4181</v>
      </c>
      <c r="R75" s="329" t="s">
        <v>5305</v>
      </c>
      <c r="S75" s="17"/>
      <c r="T75" s="17"/>
      <c r="U75" s="17"/>
      <c r="V75" s="17"/>
      <c r="W75" s="17"/>
      <c r="X75" s="17"/>
      <c r="Y75" s="17"/>
      <c r="Z75" s="17"/>
    </row>
    <row r="76">
      <c r="A76" s="326" t="s">
        <v>4184</v>
      </c>
      <c r="B76" s="117" t="s">
        <v>5306</v>
      </c>
      <c r="C76" s="326" t="s">
        <v>4184</v>
      </c>
      <c r="D76" s="178" t="s">
        <v>5307</v>
      </c>
      <c r="E76" s="324" t="s">
        <v>4186</v>
      </c>
      <c r="F76" s="117" t="s">
        <v>5308</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4188</v>
      </c>
      <c r="P76" s="117" t="s">
        <v>5309</v>
      </c>
      <c r="Q76" s="343" t="s">
        <v>4190</v>
      </c>
      <c r="R76" s="329" t="s">
        <v>5310</v>
      </c>
      <c r="S76" s="17"/>
      <c r="T76" s="17"/>
      <c r="U76" s="17"/>
      <c r="V76" s="17"/>
      <c r="W76" s="17"/>
      <c r="X76" s="17"/>
      <c r="Y76" s="17"/>
      <c r="Z76" s="17"/>
    </row>
    <row r="77">
      <c r="A77" s="326" t="s">
        <v>5311</v>
      </c>
      <c r="B77" s="117" t="s">
        <v>5312</v>
      </c>
      <c r="C77" s="337" t="s">
        <v>5313</v>
      </c>
      <c r="D77" s="178" t="s">
        <v>5314</v>
      </c>
      <c r="E77" s="324" t="s">
        <v>5315</v>
      </c>
      <c r="F77" s="117" t="s">
        <v>5316</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5317</v>
      </c>
      <c r="P77" s="117" t="s">
        <v>5318</v>
      </c>
      <c r="Q77" s="343" t="s">
        <v>5319</v>
      </c>
      <c r="R77" s="329" t="s">
        <v>5320</v>
      </c>
      <c r="S77" s="17"/>
      <c r="T77" s="17"/>
      <c r="U77" s="17"/>
      <c r="V77" s="17"/>
      <c r="W77" s="17"/>
      <c r="X77" s="17"/>
      <c r="Y77" s="17"/>
      <c r="Z77" s="17"/>
    </row>
    <row r="78">
      <c r="A78" s="324" t="s">
        <v>5321</v>
      </c>
      <c r="B78" s="117" t="s">
        <v>5322</v>
      </c>
      <c r="C78" s="337" t="s">
        <v>5323</v>
      </c>
      <c r="D78" s="178" t="s">
        <v>5324</v>
      </c>
      <c r="E78" s="324" t="s">
        <v>5325</v>
      </c>
      <c r="F78" s="117" t="s">
        <v>5326</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5327</v>
      </c>
      <c r="P78" s="117" t="s">
        <v>5328</v>
      </c>
      <c r="Q78" s="328" t="s">
        <v>5325</v>
      </c>
      <c r="R78" s="329" t="s">
        <v>5329</v>
      </c>
      <c r="S78" s="17"/>
      <c r="T78" s="17"/>
      <c r="U78" s="17"/>
      <c r="V78" s="17"/>
      <c r="W78" s="17"/>
      <c r="X78" s="17"/>
      <c r="Y78" s="17"/>
      <c r="Z78" s="17"/>
    </row>
    <row r="79">
      <c r="A79" s="324" t="s">
        <v>5330</v>
      </c>
      <c r="B79" s="117" t="s">
        <v>5331</v>
      </c>
      <c r="C79" s="339"/>
      <c r="D79" s="338"/>
      <c r="E79" s="324" t="s">
        <v>5332</v>
      </c>
      <c r="F79" s="117" t="s">
        <v>5333</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5334</v>
      </c>
      <c r="R79" s="314" t="s">
        <v>5335</v>
      </c>
      <c r="S79" s="17"/>
      <c r="T79" s="17"/>
      <c r="U79" s="17"/>
      <c r="V79" s="17"/>
      <c r="W79" s="17"/>
      <c r="X79" s="17"/>
      <c r="Y79" s="17"/>
      <c r="Z79" s="17"/>
    </row>
    <row r="80">
      <c r="A80" s="324" t="s">
        <v>5336</v>
      </c>
      <c r="B80" s="117" t="s">
        <v>5337</v>
      </c>
      <c r="C80" s="339"/>
      <c r="D80" s="338"/>
      <c r="E80" s="324" t="s">
        <v>5338</v>
      </c>
      <c r="F80" s="117" t="s">
        <v>5339</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5340</v>
      </c>
      <c r="R80" s="314" t="s">
        <v>5341</v>
      </c>
      <c r="S80" s="17"/>
      <c r="T80" s="17"/>
      <c r="U80" s="17"/>
      <c r="V80" s="17"/>
      <c r="W80" s="17"/>
      <c r="X80" s="17"/>
      <c r="Y80" s="17"/>
      <c r="Z80" s="17"/>
    </row>
    <row r="81">
      <c r="A81" s="324" t="s">
        <v>5342</v>
      </c>
      <c r="B81" s="117" t="s">
        <v>5343</v>
      </c>
      <c r="C81" s="339"/>
      <c r="D81" s="338"/>
      <c r="E81" s="324" t="s">
        <v>5344</v>
      </c>
      <c r="F81" s="117" t="s">
        <v>5345</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황금 손가락")</f>
        <v>백연의 황금 손가락</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5346</v>
      </c>
      <c r="R81" s="314" t="s">
        <v>5347</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49" t="s">
        <v>5348</v>
      </c>
      <c r="S1" s="292"/>
      <c r="T1" s="292"/>
      <c r="U1" s="292"/>
      <c r="V1" s="292"/>
    </row>
    <row r="2">
      <c r="A2" s="350" t="s">
        <v>5349</v>
      </c>
      <c r="C2" s="350" t="str">
        <f>IFERROR(__xludf.DUMMYFUNCTION("GOOGLETRANSLATE(A2,""zh-tw"",""ja"")"),"消耗品のみ記録されます")</f>
        <v>消耗品のみ記録されます</v>
      </c>
      <c r="E2" s="350" t="s">
        <v>5350</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5351</v>
      </c>
      <c r="Q2" s="352" t="s">
        <v>5352</v>
      </c>
      <c r="S2" s="353"/>
      <c r="T2" s="353"/>
      <c r="U2" s="353"/>
      <c r="V2" s="353"/>
    </row>
    <row r="3">
      <c r="A3" s="319" t="s">
        <v>5353</v>
      </c>
      <c r="B3" s="72" t="s">
        <v>5354</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5355</v>
      </c>
      <c r="P3" s="72" t="s">
        <v>5356</v>
      </c>
      <c r="Q3" s="354" t="s">
        <v>5357</v>
      </c>
      <c r="R3" s="355" t="s">
        <v>5358</v>
      </c>
      <c r="S3" s="353"/>
      <c r="T3" s="353"/>
      <c r="U3" s="353"/>
      <c r="V3" s="353"/>
    </row>
    <row r="4">
      <c r="A4" s="324" t="s">
        <v>5359</v>
      </c>
      <c r="B4" s="117" t="s">
        <v>5360</v>
      </c>
      <c r="C4" s="324" t="s">
        <v>5361</v>
      </c>
      <c r="D4" s="117" t="s">
        <v>5362</v>
      </c>
      <c r="E4" s="324" t="s">
        <v>5363</v>
      </c>
      <c r="F4" s="117" t="s">
        <v>5364</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5365</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5366</v>
      </c>
      <c r="P4" s="117" t="s">
        <v>5367</v>
      </c>
      <c r="Q4" s="331" t="s">
        <v>5368</v>
      </c>
      <c r="R4" s="123" t="s">
        <v>5369</v>
      </c>
      <c r="S4" s="17"/>
      <c r="T4" s="17"/>
      <c r="U4" s="17"/>
      <c r="V4" s="17"/>
    </row>
    <row r="5">
      <c r="A5" s="324" t="s">
        <v>5370</v>
      </c>
      <c r="B5" s="117" t="s">
        <v>5371</v>
      </c>
      <c r="C5" s="324" t="s">
        <v>5372</v>
      </c>
      <c r="D5" s="117" t="s">
        <v>5373</v>
      </c>
      <c r="E5" s="324" t="s">
        <v>5374</v>
      </c>
      <c r="F5" s="117" t="s">
        <v>5375</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5376</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5377</v>
      </c>
      <c r="P5" s="117" t="s">
        <v>5378</v>
      </c>
      <c r="Q5" s="331" t="s">
        <v>5379</v>
      </c>
      <c r="R5" s="123" t="s">
        <v>5380</v>
      </c>
      <c r="S5" s="17"/>
      <c r="T5" s="17"/>
      <c r="U5" s="17"/>
      <c r="V5" s="17"/>
    </row>
    <row r="6">
      <c r="A6" s="324" t="s">
        <v>5381</v>
      </c>
      <c r="B6" s="117" t="s">
        <v>5382</v>
      </c>
      <c r="C6" s="324" t="s">
        <v>5383</v>
      </c>
      <c r="D6" s="117" t="s">
        <v>5384</v>
      </c>
      <c r="E6" s="324" t="s">
        <v>5385</v>
      </c>
      <c r="F6" s="117" t="s">
        <v>5386</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5387</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5388</v>
      </c>
      <c r="P6" s="117" t="s">
        <v>5389</v>
      </c>
      <c r="Q6" s="331" t="s">
        <v>5390</v>
      </c>
      <c r="R6" s="123" t="s">
        <v>5391</v>
      </c>
      <c r="S6" s="17"/>
      <c r="T6" s="17"/>
      <c r="U6" s="17"/>
      <c r="V6" s="17"/>
    </row>
    <row r="7">
      <c r="A7" s="324" t="s">
        <v>5392</v>
      </c>
      <c r="B7" s="117" t="s">
        <v>5393</v>
      </c>
      <c r="C7" s="324" t="s">
        <v>5394</v>
      </c>
      <c r="D7" s="117" t="s">
        <v>5395</v>
      </c>
      <c r="E7" s="324" t="s">
        <v>5396</v>
      </c>
      <c r="F7" s="117" t="s">
        <v>5397</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5398</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5399</v>
      </c>
      <c r="P7" s="117" t="s">
        <v>5400</v>
      </c>
      <c r="Q7" s="331" t="s">
        <v>5401</v>
      </c>
      <c r="R7" s="123" t="s">
        <v>5402</v>
      </c>
      <c r="S7" s="17"/>
      <c r="T7" s="17"/>
      <c r="U7" s="17"/>
      <c r="V7" s="17"/>
    </row>
    <row r="8">
      <c r="A8" s="324" t="s">
        <v>5403</v>
      </c>
      <c r="B8" s="117" t="s">
        <v>5404</v>
      </c>
      <c r="C8" s="324" t="s">
        <v>5405</v>
      </c>
      <c r="D8" s="117" t="s">
        <v>5406</v>
      </c>
      <c r="E8" s="324" t="s">
        <v>5407</v>
      </c>
      <c r="F8" s="117" t="s">
        <v>5408</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5409</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5410</v>
      </c>
      <c r="P8" s="117" t="s">
        <v>5411</v>
      </c>
      <c r="Q8" s="331" t="s">
        <v>5412</v>
      </c>
      <c r="R8" s="123" t="s">
        <v>5413</v>
      </c>
      <c r="S8" s="17"/>
      <c r="T8" s="17"/>
      <c r="U8" s="17"/>
      <c r="V8" s="17"/>
    </row>
    <row r="9">
      <c r="A9" s="324" t="s">
        <v>5414</v>
      </c>
      <c r="B9" s="117" t="s">
        <v>5415</v>
      </c>
      <c r="C9" s="324" t="s">
        <v>5416</v>
      </c>
      <c r="D9" s="117" t="s">
        <v>5417</v>
      </c>
      <c r="E9" s="324" t="s">
        <v>5418</v>
      </c>
      <c r="F9" s="117" t="s">
        <v>5419</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5420</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5421</v>
      </c>
      <c r="P9" s="117" t="s">
        <v>5422</v>
      </c>
      <c r="Q9" s="331" t="s">
        <v>5423</v>
      </c>
      <c r="R9" s="123" t="s">
        <v>5424</v>
      </c>
      <c r="S9" s="17"/>
      <c r="T9" s="17"/>
      <c r="U9" s="17"/>
      <c r="V9" s="17"/>
    </row>
    <row r="10">
      <c r="A10" s="324" t="s">
        <v>5425</v>
      </c>
      <c r="B10" s="117" t="s">
        <v>5426</v>
      </c>
      <c r="C10" s="324" t="s">
        <v>5427</v>
      </c>
      <c r="D10" s="117" t="s">
        <v>5428</v>
      </c>
      <c r="E10" s="324" t="s">
        <v>5429</v>
      </c>
      <c r="F10" s="117" t="s">
        <v>5430</v>
      </c>
      <c r="G10" s="324" t="str">
        <f>IFERROR(__xludf.DUMMYFUNCTION("GOOGLETRANSLATE(A10,""zh-tw"",""zh"")"),"逆流可乐")</f>
        <v>逆流可乐</v>
      </c>
      <c r="H10" s="117" t="str">
        <f>IFERROR(__xludf.DUMMYFUNCTION("GOOGLETRANSLATE(B10,""zh-tw"",""zh"")"),"(战斗效果未实装)")</f>
        <v>(战斗效果未实装)</v>
      </c>
      <c r="I10" s="324" t="s">
        <v>5429</v>
      </c>
      <c r="J10" s="121" t="str">
        <f>IFERROR(__xludf.DUMMYFUNCTION("GOOGLETRANSLATE(B10,""zh-tw"",""es-MX"")"),"(Efectos de batalla aún no implementados)")</f>
        <v>(Efectos de batalla aún no implementados)</v>
      </c>
      <c r="K10" s="324" t="s">
        <v>5431</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5429</v>
      </c>
      <c r="P10" s="117" t="s">
        <v>5432</v>
      </c>
      <c r="Q10" s="331" t="s">
        <v>5429</v>
      </c>
      <c r="R10" s="123" t="s">
        <v>5433</v>
      </c>
      <c r="S10" s="17"/>
      <c r="T10" s="17"/>
      <c r="U10" s="17"/>
      <c r="V10" s="17"/>
    </row>
    <row r="11">
      <c r="A11" s="324" t="s">
        <v>5434</v>
      </c>
      <c r="B11" s="117" t="s">
        <v>5435</v>
      </c>
      <c r="C11" s="324" t="s">
        <v>5436</v>
      </c>
      <c r="D11" s="117" t="s">
        <v>5437</v>
      </c>
      <c r="E11" s="324" t="s">
        <v>5438</v>
      </c>
      <c r="F11" s="117" t="s">
        <v>5439</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5440</v>
      </c>
      <c r="L11" s="117" t="s">
        <v>5441</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5442</v>
      </c>
      <c r="P11" s="117" t="s">
        <v>5443</v>
      </c>
      <c r="Q11" s="331" t="s">
        <v>5444</v>
      </c>
      <c r="R11" s="123" t="s">
        <v>5445</v>
      </c>
      <c r="S11" s="17"/>
      <c r="T11" s="17"/>
      <c r="U11" s="17"/>
      <c r="V11" s="17"/>
    </row>
    <row r="12">
      <c r="A12" s="324" t="s">
        <v>5446</v>
      </c>
      <c r="B12" s="117" t="s">
        <v>5447</v>
      </c>
      <c r="C12" s="324" t="s">
        <v>5448</v>
      </c>
      <c r="D12" s="117" t="s">
        <v>5449</v>
      </c>
      <c r="E12" s="324" t="s">
        <v>5450</v>
      </c>
      <c r="F12" s="117" t="s">
        <v>5451</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5452</v>
      </c>
      <c r="L12" s="117" t="s">
        <v>5453</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5454</v>
      </c>
      <c r="P12" s="117" t="s">
        <v>5455</v>
      </c>
      <c r="Q12" s="331" t="s">
        <v>5456</v>
      </c>
      <c r="R12" s="123" t="s">
        <v>5457</v>
      </c>
      <c r="S12" s="17"/>
      <c r="T12" s="17"/>
      <c r="U12" s="17"/>
      <c r="V12" s="17"/>
    </row>
    <row r="13">
      <c r="A13" s="324" t="s">
        <v>5458</v>
      </c>
      <c r="B13" s="117" t="s">
        <v>5459</v>
      </c>
      <c r="C13" s="324" t="s">
        <v>5460</v>
      </c>
      <c r="D13" s="117" t="s">
        <v>593</v>
      </c>
      <c r="E13" s="324" t="s">
        <v>5461</v>
      </c>
      <c r="F13" s="117" t="s">
        <v>5462</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5463</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5464</v>
      </c>
      <c r="P13" s="117" t="s">
        <v>2301</v>
      </c>
      <c r="Q13" s="331" t="s">
        <v>5465</v>
      </c>
      <c r="R13" s="123" t="s">
        <v>5466</v>
      </c>
      <c r="S13" s="17"/>
      <c r="T13" s="17"/>
      <c r="U13" s="17"/>
      <c r="V13" s="17"/>
    </row>
    <row r="14">
      <c r="A14" s="324" t="s">
        <v>5467</v>
      </c>
      <c r="B14" s="117" t="s">
        <v>5468</v>
      </c>
      <c r="C14" s="324" t="s">
        <v>5469</v>
      </c>
      <c r="D14" s="117" t="s">
        <v>5470</v>
      </c>
      <c r="E14" s="324" t="s">
        <v>5471</v>
      </c>
      <c r="F14" s="117" t="s">
        <v>5472</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5473</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5474</v>
      </c>
      <c r="P14" s="117" t="s">
        <v>5475</v>
      </c>
      <c r="Q14" s="331" t="s">
        <v>5476</v>
      </c>
      <c r="R14" s="123" t="s">
        <v>5477</v>
      </c>
      <c r="S14" s="17"/>
      <c r="T14" s="17"/>
      <c r="U14" s="17"/>
      <c r="V14" s="17"/>
    </row>
    <row r="15">
      <c r="A15" s="324" t="s">
        <v>5478</v>
      </c>
      <c r="B15" s="117" t="s">
        <v>5479</v>
      </c>
      <c r="C15" s="324" t="s">
        <v>5480</v>
      </c>
      <c r="D15" s="117" t="s">
        <v>5481</v>
      </c>
      <c r="E15" s="324" t="s">
        <v>5482</v>
      </c>
      <c r="F15" s="117" t="s">
        <v>5483</v>
      </c>
      <c r="G15" s="324" t="str">
        <f>IFERROR(__xludf.DUMMYFUNCTION("GOOGLETRANSLATE(A15,""zh-tw"",""zh"")"),"卢恩符文A")</f>
        <v>卢恩符文A</v>
      </c>
      <c r="H15" s="117" t="s">
        <v>5484</v>
      </c>
      <c r="I15" s="326" t="str">
        <f>IFERROR(__xludf.DUMMYFUNCTION("GOOGLETRANSLATE(A15,""zh-tw"",""es-MX"")"),"Runa A")</f>
        <v>Runa A</v>
      </c>
      <c r="J15" s="121" t="str">
        <f>IFERROR(__xludf.DUMMYFUNCTION("GOOGLETRANSLATE(B15,""zh-tw"",""es-MX"")"),"Dejar constancia escrita")</f>
        <v>Dejar constancia escrita</v>
      </c>
      <c r="K15" s="324" t="s">
        <v>5485</v>
      </c>
      <c r="L15" s="117" t="s">
        <v>5486</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5487</v>
      </c>
      <c r="P15" s="117" t="s">
        <v>5488</v>
      </c>
      <c r="Q15" s="331" t="s">
        <v>5482</v>
      </c>
      <c r="R15" s="123" t="s">
        <v>5489</v>
      </c>
      <c r="S15" s="17"/>
      <c r="T15" s="17"/>
      <c r="U15" s="17"/>
      <c r="V15" s="17"/>
    </row>
    <row r="16">
      <c r="A16" s="324" t="s">
        <v>5490</v>
      </c>
      <c r="B16" s="117" t="s">
        <v>5491</v>
      </c>
      <c r="C16" s="324" t="s">
        <v>5492</v>
      </c>
      <c r="D16" s="117" t="s">
        <v>5493</v>
      </c>
      <c r="E16" s="324" t="s">
        <v>5494</v>
      </c>
      <c r="F16" s="117" t="s">
        <v>5495</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5496</v>
      </c>
      <c r="L16" s="117" t="s">
        <v>5497</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5498</v>
      </c>
      <c r="P16" s="117" t="s">
        <v>5499</v>
      </c>
      <c r="Q16" s="331" t="s">
        <v>5494</v>
      </c>
      <c r="R16" s="123" t="s">
        <v>5500</v>
      </c>
      <c r="S16" s="17"/>
      <c r="T16" s="17"/>
      <c r="U16" s="17"/>
      <c r="V16" s="17"/>
    </row>
    <row r="17">
      <c r="A17" s="324" t="s">
        <v>5501</v>
      </c>
      <c r="B17" s="117" t="s">
        <v>5502</v>
      </c>
      <c r="C17" s="324" t="s">
        <v>5503</v>
      </c>
      <c r="D17" s="117" t="s">
        <v>5504</v>
      </c>
      <c r="E17" s="324" t="s">
        <v>5505</v>
      </c>
      <c r="F17" s="117" t="s">
        <v>5506</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5507</v>
      </c>
      <c r="L17" s="117" t="s">
        <v>5508</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5509</v>
      </c>
      <c r="P17" s="117" t="s">
        <v>5510</v>
      </c>
      <c r="Q17" s="331" t="s">
        <v>5505</v>
      </c>
      <c r="R17" s="123" t="s">
        <v>5511</v>
      </c>
      <c r="S17" s="17"/>
      <c r="T17" s="17"/>
      <c r="U17" s="17"/>
      <c r="V17" s="17"/>
    </row>
    <row r="18">
      <c r="A18" s="324" t="s">
        <v>5512</v>
      </c>
      <c r="B18" s="117" t="s">
        <v>5513</v>
      </c>
      <c r="C18" s="324" t="s">
        <v>5514</v>
      </c>
      <c r="D18" s="117" t="s">
        <v>5515</v>
      </c>
      <c r="E18" s="324" t="s">
        <v>5516</v>
      </c>
      <c r="F18" s="117" t="s">
        <v>5517</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5518</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5519</v>
      </c>
      <c r="P18" s="117" t="s">
        <v>5520</v>
      </c>
      <c r="Q18" s="331" t="s">
        <v>5516</v>
      </c>
      <c r="R18" s="123" t="s">
        <v>5521</v>
      </c>
      <c r="S18" s="17"/>
      <c r="T18" s="17"/>
      <c r="U18" s="17"/>
      <c r="V18" s="17"/>
    </row>
    <row r="19">
      <c r="A19" s="324" t="s">
        <v>5522</v>
      </c>
      <c r="B19" s="117" t="s">
        <v>5523</v>
      </c>
      <c r="C19" s="324" t="s">
        <v>5524</v>
      </c>
      <c r="D19" s="117" t="s">
        <v>5525</v>
      </c>
      <c r="E19" s="324" t="s">
        <v>5526</v>
      </c>
      <c r="F19" s="117" t="s">
        <v>5527</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5528</v>
      </c>
      <c r="L19" s="309" t="s">
        <v>5529</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5530</v>
      </c>
      <c r="P19" s="117" t="s">
        <v>5531</v>
      </c>
      <c r="Q19" s="331" t="s">
        <v>5526</v>
      </c>
      <c r="R19" s="123" t="s">
        <v>5527</v>
      </c>
      <c r="S19" s="17"/>
      <c r="T19" s="17"/>
      <c r="U19" s="17"/>
      <c r="V19" s="17"/>
    </row>
    <row r="20">
      <c r="A20" s="324" t="s">
        <v>5532</v>
      </c>
      <c r="B20" s="117" t="s">
        <v>5533</v>
      </c>
      <c r="C20" s="324" t="s">
        <v>5534</v>
      </c>
      <c r="D20" s="117" t="s">
        <v>5535</v>
      </c>
      <c r="E20" s="324" t="s">
        <v>5536</v>
      </c>
      <c r="F20" s="117" t="s">
        <v>5537</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5538</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5539</v>
      </c>
      <c r="P20" s="117" t="s">
        <v>5540</v>
      </c>
      <c r="Q20" s="331" t="s">
        <v>5536</v>
      </c>
      <c r="R20" s="123" t="s">
        <v>5541</v>
      </c>
      <c r="S20" s="17"/>
      <c r="T20" s="17"/>
      <c r="U20" s="17"/>
      <c r="V20" s="17"/>
    </row>
    <row r="21">
      <c r="A21" s="324" t="s">
        <v>5542</v>
      </c>
      <c r="B21" s="117" t="s">
        <v>5543</v>
      </c>
      <c r="C21" s="324" t="s">
        <v>5544</v>
      </c>
      <c r="D21" s="117" t="s">
        <v>5545</v>
      </c>
      <c r="E21" s="324" t="s">
        <v>5546</v>
      </c>
      <c r="F21" s="117" t="s">
        <v>5547</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5548</v>
      </c>
      <c r="M21" s="326" t="str">
        <f>IFERROR(__xludf.DUMMYFUNCTION("GOOGLETRANSLATE(A21,""zh-tw"",""ru"")"),"император")</f>
        <v>император</v>
      </c>
      <c r="N21" s="121" t="str">
        <f>IFERROR(__xludf.DUMMYFUNCTION("GOOGLETRANSLATE(B21,""zh-tw"",""ru"")"),"Рев Дракона")</f>
        <v>Рев Дракона</v>
      </c>
      <c r="O21" s="324" t="s">
        <v>5549</v>
      </c>
      <c r="P21" s="117" t="s">
        <v>5550</v>
      </c>
      <c r="Q21" s="331" t="s">
        <v>5546</v>
      </c>
      <c r="R21" s="123" t="s">
        <v>5551</v>
      </c>
      <c r="S21" s="17"/>
      <c r="T21" s="17"/>
      <c r="U21" s="17"/>
      <c r="V21" s="17"/>
    </row>
    <row r="22">
      <c r="A22" s="324" t="s">
        <v>5552</v>
      </c>
      <c r="B22" s="117" t="s">
        <v>5553</v>
      </c>
      <c r="C22" s="324" t="str">
        <f>IFERROR(__xludf.DUMMYFUNCTION("GOOGLETRANSLATE(A22,""zh-tw"",""ja"")"),"星")</f>
        <v>星</v>
      </c>
      <c r="D22" s="117" t="s">
        <v>5554</v>
      </c>
      <c r="E22" s="324" t="s">
        <v>5555</v>
      </c>
      <c r="F22" s="117" t="s">
        <v>5556</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5557</v>
      </c>
      <c r="M22" s="326" t="str">
        <f>IFERROR(__xludf.DUMMYFUNCTION("GOOGLETRANSLATE(A22,""zh-tw"",""ru"")"),"звезда")</f>
        <v>звезда</v>
      </c>
      <c r="N22" s="121" t="str">
        <f>IFERROR(__xludf.DUMMYFUNCTION("GOOGLETRANSLATE(B22,""zh-tw"",""ru"")"),"Звездные Врата")</f>
        <v>Звездные Врата</v>
      </c>
      <c r="O22" s="324" t="s">
        <v>5558</v>
      </c>
      <c r="P22" s="117" t="s">
        <v>5559</v>
      </c>
      <c r="Q22" s="331" t="s">
        <v>5555</v>
      </c>
      <c r="R22" s="123" t="s">
        <v>5560</v>
      </c>
      <c r="S22" s="17"/>
      <c r="T22" s="17"/>
      <c r="U22" s="17"/>
      <c r="V22" s="17"/>
    </row>
    <row r="23">
      <c r="A23" s="324" t="s">
        <v>5561</v>
      </c>
      <c r="B23" s="117" t="s">
        <v>5562</v>
      </c>
      <c r="C23" s="324" t="s">
        <v>5563</v>
      </c>
      <c r="D23" s="117" t="s">
        <v>5564</v>
      </c>
      <c r="E23" s="324" t="s">
        <v>5565</v>
      </c>
      <c r="F23" s="117" t="s">
        <v>5566</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5567</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5568</v>
      </c>
      <c r="P23" s="117" t="s">
        <v>5569</v>
      </c>
      <c r="Q23" s="331" t="s">
        <v>5565</v>
      </c>
      <c r="R23" s="123" t="s">
        <v>5570</v>
      </c>
      <c r="S23" s="17"/>
      <c r="T23" s="17"/>
      <c r="U23" s="17"/>
      <c r="V23" s="17"/>
    </row>
    <row r="24">
      <c r="A24" s="324" t="s">
        <v>5571</v>
      </c>
      <c r="B24" s="117" t="s">
        <v>5572</v>
      </c>
      <c r="C24" s="324" t="s">
        <v>5573</v>
      </c>
      <c r="D24" s="117" t="s">
        <v>5574</v>
      </c>
      <c r="E24" s="324" t="s">
        <v>5575</v>
      </c>
      <c r="F24" s="117" t="s">
        <v>5576</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5577</v>
      </c>
      <c r="L24" s="117" t="s">
        <v>5578</v>
      </c>
      <c r="M24" s="326" t="str">
        <f>IFERROR(__xludf.DUMMYFUNCTION("GOOGLETRANSLATE(A24,""zh-tw"",""ru"")"),"Жрица")</f>
        <v>Жрица</v>
      </c>
      <c r="N24" s="121" t="str">
        <f>IFERROR(__xludf.DUMMYFUNCTION("GOOGLETRANSLATE(B24,""zh-tw"",""ru"")"),"Церковь Призыва")</f>
        <v>Церковь Призыва</v>
      </c>
      <c r="O24" s="324" t="s">
        <v>5579</v>
      </c>
      <c r="P24" s="117" t="s">
        <v>5580</v>
      </c>
      <c r="Q24" s="331" t="s">
        <v>5575</v>
      </c>
      <c r="R24" s="123" t="s">
        <v>5581</v>
      </c>
      <c r="S24" s="17"/>
      <c r="T24" s="17"/>
      <c r="U24" s="17"/>
      <c r="V24" s="17"/>
    </row>
    <row r="25">
      <c r="A25" s="324" t="s">
        <v>5582</v>
      </c>
      <c r="B25" s="117" t="s">
        <v>5583</v>
      </c>
      <c r="C25" s="324" t="s">
        <v>5584</v>
      </c>
      <c r="D25" s="117" t="s">
        <v>5585</v>
      </c>
      <c r="E25" s="324" t="s">
        <v>5586</v>
      </c>
      <c r="F25" s="117" t="s">
        <v>5587</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5588</v>
      </c>
      <c r="L25" s="117" t="s">
        <v>5589</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5590</v>
      </c>
      <c r="P25" s="117" t="s">
        <v>5591</v>
      </c>
      <c r="Q25" s="331" t="s">
        <v>5586</v>
      </c>
      <c r="R25" s="123" t="s">
        <v>5592</v>
      </c>
      <c r="S25" s="17"/>
      <c r="T25" s="17"/>
      <c r="U25" s="17"/>
      <c r="V25" s="17"/>
    </row>
    <row r="26">
      <c r="A26" s="324" t="s">
        <v>5593</v>
      </c>
      <c r="B26" s="117" t="s">
        <v>5594</v>
      </c>
      <c r="C26" s="324" t="s">
        <v>5595</v>
      </c>
      <c r="D26" s="117" t="s">
        <v>5596</v>
      </c>
      <c r="E26" s="324" t="s">
        <v>5597</v>
      </c>
      <c r="F26" s="117" t="s">
        <v>5598</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5599</v>
      </c>
      <c r="M26" s="326" t="str">
        <f>IFERROR(__xludf.DUMMYFUNCTION("GOOGLETRANSLATE(A26,""zh-tw"",""ru"")"),"мир")</f>
        <v>мир</v>
      </c>
      <c r="N26" s="121" t="str">
        <f>IFERROR(__xludf.DUMMYFUNCTION("GOOGLETRANSLATE(B26,""zh-tw"",""ru"")"),"Remake Venue")</f>
        <v>Remake Venue</v>
      </c>
      <c r="O26" s="324" t="s">
        <v>5600</v>
      </c>
      <c r="P26" s="117" t="s">
        <v>5601</v>
      </c>
      <c r="Q26" s="331" t="s">
        <v>5597</v>
      </c>
      <c r="R26" s="123" t="s">
        <v>5602</v>
      </c>
      <c r="S26" s="17"/>
      <c r="T26" s="17"/>
      <c r="U26" s="17"/>
      <c r="V26" s="17"/>
    </row>
    <row r="27">
      <c r="A27" s="324" t="s">
        <v>5603</v>
      </c>
      <c r="B27" s="117" t="s">
        <v>5604</v>
      </c>
      <c r="C27" s="337" t="s">
        <v>5605</v>
      </c>
      <c r="D27" s="338" t="str">
        <f>IFERROR(__xludf.DUMMYFUNCTION("GOOGLETRANSLATE(B27,""zh-tw"",""ja"")"),"一定期間内に1回復活できる")</f>
        <v>一定期間内に1回復活できる</v>
      </c>
      <c r="E27" s="324" t="s">
        <v>5606</v>
      </c>
      <c r="F27" s="117" t="s">
        <v>5607</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5608</v>
      </c>
      <c r="L27" s="117" t="s">
        <v>5609</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5610</v>
      </c>
      <c r="P27" s="117" t="s">
        <v>5611</v>
      </c>
      <c r="Q27" s="331" t="s">
        <v>5606</v>
      </c>
      <c r="R27" s="123" t="s">
        <v>5612</v>
      </c>
      <c r="S27" s="17"/>
      <c r="T27" s="17"/>
      <c r="U27" s="17"/>
      <c r="V27" s="17"/>
    </row>
    <row r="28">
      <c r="A28" s="330" t="s">
        <v>5613</v>
      </c>
      <c r="B28" s="117" t="s">
        <v>5614</v>
      </c>
      <c r="C28" s="330" t="s">
        <v>5615</v>
      </c>
      <c r="D28" s="117" t="s">
        <v>5616</v>
      </c>
      <c r="E28" s="330" t="s">
        <v>5617</v>
      </c>
      <c r="F28" s="105" t="s">
        <v>5618</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5619</v>
      </c>
      <c r="P28" s="117" t="s">
        <v>5620</v>
      </c>
      <c r="Q28" s="331" t="s">
        <v>5617</v>
      </c>
      <c r="R28" s="123" t="s">
        <v>5621</v>
      </c>
      <c r="S28" s="17"/>
      <c r="T28" s="17"/>
      <c r="U28" s="17"/>
      <c r="V28" s="17"/>
    </row>
    <row r="29">
      <c r="A29" s="324" t="s">
        <v>5622</v>
      </c>
      <c r="B29" s="117" t="s">
        <v>5623</v>
      </c>
      <c r="C29" s="324" t="str">
        <f>IFERROR(__xludf.DUMMYFUNCTION("GOOGLETRANSLATE(A29,""zh-tw"",""ja"")"),"ジャック・ボム")</f>
        <v>ジャック・ボム</v>
      </c>
      <c r="D29" s="117" t="s">
        <v>5624</v>
      </c>
      <c r="E29" s="324" t="s">
        <v>5625</v>
      </c>
      <c r="F29" s="117" t="s">
        <v>5626</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5627</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5628</v>
      </c>
      <c r="P29" s="117" t="s">
        <v>5629</v>
      </c>
      <c r="Q29" s="331" t="s">
        <v>5625</v>
      </c>
      <c r="R29" s="123" t="s">
        <v>5630</v>
      </c>
      <c r="S29" s="17"/>
      <c r="T29" s="17"/>
      <c r="U29" s="17"/>
      <c r="V29" s="17"/>
    </row>
    <row r="30">
      <c r="A30" s="324" t="s">
        <v>5631</v>
      </c>
      <c r="B30" s="117" t="s">
        <v>5632</v>
      </c>
      <c r="C30" s="324" t="s">
        <v>5633</v>
      </c>
      <c r="D30" s="117" t="s">
        <v>5634</v>
      </c>
      <c r="E30" s="324" t="s">
        <v>5635</v>
      </c>
      <c r="F30" s="117" t="s">
        <v>5636</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5637</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5638</v>
      </c>
      <c r="P30" s="117" t="s">
        <v>5639</v>
      </c>
      <c r="Q30" s="331" t="s">
        <v>5635</v>
      </c>
      <c r="R30" s="123" t="s">
        <v>5640</v>
      </c>
      <c r="S30" s="17"/>
      <c r="T30" s="17"/>
      <c r="U30" s="17"/>
      <c r="V30" s="17"/>
    </row>
    <row r="31">
      <c r="A31" s="324" t="s">
        <v>5641</v>
      </c>
      <c r="B31" s="117" t="s">
        <v>5642</v>
      </c>
      <c r="C31" s="324" t="s">
        <v>5643</v>
      </c>
      <c r="D31" s="117" t="s">
        <v>5644</v>
      </c>
      <c r="E31" s="324" t="s">
        <v>5645</v>
      </c>
      <c r="F31" s="117" t="s">
        <v>5646</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5647</v>
      </c>
      <c r="L31" s="117" t="s">
        <v>5648</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5649</v>
      </c>
      <c r="P31" s="117" t="s">
        <v>5650</v>
      </c>
      <c r="Q31" s="331" t="s">
        <v>5645</v>
      </c>
      <c r="R31" s="123" t="s">
        <v>5651</v>
      </c>
      <c r="S31" s="17"/>
      <c r="T31" s="17"/>
      <c r="U31" s="17"/>
      <c r="V31" s="17"/>
    </row>
    <row r="32">
      <c r="A32" s="324" t="s">
        <v>5652</v>
      </c>
      <c r="B32" s="117" t="s">
        <v>5653</v>
      </c>
      <c r="C32" s="324" t="str">
        <f>IFERROR(__xludf.DUMMYFUNCTION("GOOGLETRANSLATE(A32,""zh-tw"",""ja"")"),"密封された時計")</f>
        <v>密封された時計</v>
      </c>
      <c r="D32" s="117" t="s">
        <v>5654</v>
      </c>
      <c r="E32" s="324" t="s">
        <v>5655</v>
      </c>
      <c r="F32" s="117" t="s">
        <v>5656</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5657</v>
      </c>
      <c r="L32" s="117" t="s">
        <v>5658</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5659</v>
      </c>
      <c r="P32" s="117" t="s">
        <v>5660</v>
      </c>
      <c r="Q32" s="331" t="s">
        <v>5661</v>
      </c>
      <c r="R32" s="123" t="s">
        <v>5662</v>
      </c>
      <c r="S32" s="17"/>
      <c r="T32" s="17"/>
      <c r="U32" s="17"/>
      <c r="V32" s="17"/>
    </row>
    <row r="33">
      <c r="A33" s="324" t="s">
        <v>5663</v>
      </c>
      <c r="B33" s="117" t="s">
        <v>5664</v>
      </c>
      <c r="C33" s="324" t="str">
        <f>IFERROR(__xludf.DUMMYFUNCTION("GOOGLETRANSLATE(A33,""zh-tw"",""ja"")"),"寿司プリン")</f>
        <v>寿司プリン</v>
      </c>
      <c r="D33" s="117" t="s">
        <v>5665</v>
      </c>
      <c r="E33" s="324" t="s">
        <v>5666</v>
      </c>
      <c r="F33" s="117" t="s">
        <v>5667</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5666</v>
      </c>
      <c r="P33" s="117" t="s">
        <v>5668</v>
      </c>
      <c r="Q33" s="331" t="s">
        <v>5666</v>
      </c>
      <c r="R33" s="123" t="s">
        <v>5669</v>
      </c>
      <c r="S33" s="17"/>
      <c r="T33" s="17"/>
      <c r="U33" s="17"/>
      <c r="V33" s="17"/>
    </row>
    <row r="34">
      <c r="A34" s="324" t="s">
        <v>5670</v>
      </c>
      <c r="B34" s="117" t="s">
        <v>5671</v>
      </c>
      <c r="C34" s="324" t="str">
        <f>IFERROR(__xludf.DUMMYFUNCTION("GOOGLETRANSLATE(A34,""zh-tw"",""ja"")"),"ポラロイド 1～35")</f>
        <v>ポラロイド 1～35</v>
      </c>
      <c r="D34" s="117" t="s">
        <v>5672</v>
      </c>
      <c r="E34" s="324" t="s">
        <v>5673</v>
      </c>
      <c r="F34" s="117" t="s">
        <v>5674</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5675</v>
      </c>
      <c r="P34" s="117" t="s">
        <v>5676</v>
      </c>
      <c r="Q34" s="331" t="s">
        <v>5673</v>
      </c>
      <c r="R34" s="123" t="s">
        <v>5677</v>
      </c>
      <c r="S34" s="17"/>
      <c r="T34" s="17"/>
      <c r="U34" s="17"/>
      <c r="V34" s="17"/>
    </row>
    <row r="35">
      <c r="A35" s="324" t="s">
        <v>5678</v>
      </c>
      <c r="B35" s="117" t="s">
        <v>5679</v>
      </c>
      <c r="C35" s="324" t="s">
        <v>5680</v>
      </c>
      <c r="D35" s="117" t="s">
        <v>5681</v>
      </c>
      <c r="E35" s="324" t="s">
        <v>5682</v>
      </c>
      <c r="F35" s="117" t="s">
        <v>5683</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5684</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5685</v>
      </c>
      <c r="P35" s="117" t="s">
        <v>5686</v>
      </c>
      <c r="Q35" s="331" t="s">
        <v>5687</v>
      </c>
      <c r="R35" s="123" t="s">
        <v>5688</v>
      </c>
      <c r="S35" s="17"/>
      <c r="T35" s="17"/>
      <c r="U35" s="17"/>
      <c r="V35" s="17"/>
    </row>
    <row r="36">
      <c r="A36" s="324" t="s">
        <v>5689</v>
      </c>
      <c r="B36" s="117" t="s">
        <v>5690</v>
      </c>
      <c r="C36" s="324" t="s">
        <v>5691</v>
      </c>
      <c r="D36" s="117" t="s">
        <v>5692</v>
      </c>
      <c r="E36" s="324" t="s">
        <v>5693</v>
      </c>
      <c r="F36" s="117" t="s">
        <v>5694</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5695</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5696</v>
      </c>
      <c r="P36" s="117" t="s">
        <v>5697</v>
      </c>
      <c r="Q36" s="331" t="s">
        <v>5698</v>
      </c>
      <c r="R36" s="123" t="s">
        <v>5699</v>
      </c>
      <c r="S36" s="17"/>
      <c r="T36" s="17"/>
      <c r="U36" s="17"/>
      <c r="V36" s="17"/>
    </row>
    <row r="37">
      <c r="A37" s="324" t="s">
        <v>5700</v>
      </c>
      <c r="B37" s="117" t="s">
        <v>5690</v>
      </c>
      <c r="C37" s="324" t="s">
        <v>5701</v>
      </c>
      <c r="D37" s="117" t="s">
        <v>5702</v>
      </c>
      <c r="E37" s="324" t="s">
        <v>5703</v>
      </c>
      <c r="F37" s="117" t="s">
        <v>5694</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5684</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5685</v>
      </c>
      <c r="P37" s="117" t="s">
        <v>5686</v>
      </c>
      <c r="Q37" s="331" t="s">
        <v>5704</v>
      </c>
      <c r="R37" s="123" t="s">
        <v>5699</v>
      </c>
      <c r="S37" s="17"/>
      <c r="T37" s="17"/>
      <c r="U37" s="17"/>
      <c r="V37" s="17"/>
    </row>
    <row r="38">
      <c r="A38" s="324" t="s">
        <v>5705</v>
      </c>
      <c r="B38" s="117" t="s">
        <v>5706</v>
      </c>
      <c r="C38" s="324" t="s">
        <v>5707</v>
      </c>
      <c r="D38" s="117" t="s">
        <v>5708</v>
      </c>
      <c r="E38" s="324" t="s">
        <v>5709</v>
      </c>
      <c r="F38" s="117" t="s">
        <v>5710</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5695</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5696</v>
      </c>
      <c r="P38" s="117" t="s">
        <v>5697</v>
      </c>
      <c r="Q38" s="331" t="s">
        <v>5711</v>
      </c>
      <c r="R38" s="123" t="s">
        <v>5712</v>
      </c>
      <c r="S38" s="17"/>
      <c r="T38" s="17"/>
      <c r="U38" s="17"/>
      <c r="V38" s="17"/>
    </row>
    <row r="39">
      <c r="A39" s="330" t="s">
        <v>5713</v>
      </c>
      <c r="B39" s="121" t="s">
        <v>5714</v>
      </c>
      <c r="C39" s="326" t="s">
        <v>5715</v>
      </c>
      <c r="D39" s="121" t="s">
        <v>5716</v>
      </c>
      <c r="E39" s="326" t="s">
        <v>5717</v>
      </c>
      <c r="F39" s="121" t="s">
        <v>5718</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5719</v>
      </c>
      <c r="P39" s="117" t="s">
        <v>5720</v>
      </c>
      <c r="Q39" s="331" t="s">
        <v>5721</v>
      </c>
      <c r="R39" s="120" t="s">
        <v>5722</v>
      </c>
      <c r="S39" s="17"/>
      <c r="T39" s="17"/>
      <c r="U39" s="17"/>
      <c r="V39" s="17"/>
    </row>
    <row r="40">
      <c r="A40" s="324" t="s">
        <v>5723</v>
      </c>
      <c r="B40" s="117" t="s">
        <v>5724</v>
      </c>
      <c r="C40" s="324" t="s">
        <v>5725</v>
      </c>
      <c r="D40" s="117" t="s">
        <v>5726</v>
      </c>
      <c r="E40" s="324" t="s">
        <v>5727</v>
      </c>
      <c r="F40" s="117" t="s">
        <v>5728</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5729</v>
      </c>
      <c r="P40" s="117" t="s">
        <v>5730</v>
      </c>
      <c r="Q40" s="331" t="s">
        <v>5731</v>
      </c>
      <c r="R40" s="123" t="s">
        <v>5732</v>
      </c>
      <c r="S40" s="17"/>
      <c r="T40" s="17"/>
      <c r="U40" s="17"/>
      <c r="V40" s="17"/>
    </row>
    <row r="41">
      <c r="A41" s="330" t="s">
        <v>5733</v>
      </c>
      <c r="B41" s="121" t="s">
        <v>5734</v>
      </c>
      <c r="C41" s="326" t="s">
        <v>5735</v>
      </c>
      <c r="D41" s="121" t="s">
        <v>5736</v>
      </c>
      <c r="E41" s="326" t="s">
        <v>5737</v>
      </c>
      <c r="F41" s="121" t="s">
        <v>5738</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5737</v>
      </c>
      <c r="P41" s="121" t="s">
        <v>5738</v>
      </c>
      <c r="Q41" s="331" t="s">
        <v>5737</v>
      </c>
      <c r="R41" s="176" t="s">
        <v>5739</v>
      </c>
      <c r="S41" s="17"/>
      <c r="T41" s="17"/>
      <c r="U41" s="17"/>
      <c r="V41" s="17"/>
    </row>
    <row r="42">
      <c r="A42" s="324" t="s">
        <v>5740</v>
      </c>
      <c r="B42" s="117" t="s">
        <v>5741</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5742</v>
      </c>
      <c r="F42" s="117" t="s">
        <v>5743</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hay forma de canjearlos.
(Gemas)")</f>
        <v>Actualmente no hay forma de canjearlos.
(Gemas)</v>
      </c>
      <c r="K42" s="326" t="str">
        <f>IFERROR(__xludf.DUMMYFUNCTION("GOOGLETRANSLATE(A42,""zh-tw"",""KO"")"),"푸른 휘석")</f>
        <v>푸른 휘석</v>
      </c>
      <c r="L42" s="117" t="s">
        <v>5695</v>
      </c>
      <c r="M42" s="326"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5" t="s">
        <v>5744</v>
      </c>
      <c r="P42" s="309" t="s">
        <v>5745</v>
      </c>
      <c r="Q42" s="345" t="s">
        <v>5746</v>
      </c>
      <c r="R42" s="123" t="s">
        <v>5747</v>
      </c>
      <c r="S42" s="17"/>
      <c r="T42" s="17"/>
      <c r="U42" s="17"/>
      <c r="V42" s="17"/>
    </row>
    <row r="43">
      <c r="A43" s="324" t="s">
        <v>5748</v>
      </c>
      <c r="B43" s="117" t="s">
        <v>5741</v>
      </c>
      <c r="C43" s="326"/>
      <c r="D43" s="121"/>
      <c r="E43" s="324" t="s">
        <v>5749</v>
      </c>
      <c r="F43" s="117" t="s">
        <v>2282</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hay forma de canjearlos.
(Gemas)")</f>
        <v>Actualmente no hay forma de canjearlos.
(Gemas)</v>
      </c>
      <c r="K43" s="326" t="str">
        <f>IFERROR(__xludf.DUMMYFUNCTION("GOOGLETRANSLATE(A43,""zh-tw"",""KO"")"),"파이어스톤")</f>
        <v>파이어스톤</v>
      </c>
      <c r="L43" s="117" t="s">
        <v>5695</v>
      </c>
      <c r="M43" s="326"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4" t="s">
        <v>5750</v>
      </c>
      <c r="P43" s="117" t="s">
        <v>5751</v>
      </c>
      <c r="Q43" s="345" t="s">
        <v>5752</v>
      </c>
      <c r="R43" s="123" t="s">
        <v>3020</v>
      </c>
      <c r="S43" s="17"/>
      <c r="T43" s="17"/>
      <c r="U43" s="17"/>
      <c r="V43" s="17"/>
    </row>
    <row r="44">
      <c r="A44" s="330" t="s">
        <v>5753</v>
      </c>
      <c r="B44" s="121" t="s">
        <v>5754</v>
      </c>
      <c r="C44" s="326"/>
      <c r="D44" s="121"/>
      <c r="E44" s="324" t="s">
        <v>5755</v>
      </c>
      <c r="F44" s="117" t="s">
        <v>5756</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5695</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5757</v>
      </c>
      <c r="P44" s="117" t="s">
        <v>5758</v>
      </c>
      <c r="Q44" s="345" t="s">
        <v>5759</v>
      </c>
      <c r="R44" s="120" t="s">
        <v>5760</v>
      </c>
      <c r="S44" s="17"/>
      <c r="T44" s="17"/>
      <c r="U44" s="17"/>
      <c r="V44" s="17"/>
    </row>
    <row r="45">
      <c r="A45" s="324" t="s">
        <v>5761</v>
      </c>
      <c r="B45" s="117" t="s">
        <v>5762</v>
      </c>
      <c r="C45" s="326"/>
      <c r="D45" s="121"/>
      <c r="E45" s="324" t="s">
        <v>5763</v>
      </c>
      <c r="F45" s="117" t="s">
        <v>5764</v>
      </c>
      <c r="G45" s="326"/>
      <c r="H45" s="121"/>
      <c r="I45" s="357"/>
      <c r="J45" s="141"/>
      <c r="K45" s="357"/>
      <c r="L45" s="141"/>
      <c r="M45" s="326"/>
      <c r="N45" s="121"/>
      <c r="O45" s="324" t="s">
        <v>5763</v>
      </c>
      <c r="P45" s="120" t="s">
        <v>5765</v>
      </c>
      <c r="Q45" s="337" t="s">
        <v>5763</v>
      </c>
      <c r="R45" s="120" t="s">
        <v>5766</v>
      </c>
      <c r="S45" s="17"/>
      <c r="T45" s="17"/>
      <c r="U45" s="17"/>
      <c r="V45" s="17"/>
    </row>
    <row r="46">
      <c r="A46" s="324" t="s">
        <v>5767</v>
      </c>
      <c r="B46" s="117" t="s">
        <v>5768</v>
      </c>
      <c r="C46" s="326"/>
      <c r="D46" s="121"/>
      <c r="E46" s="324" t="s">
        <v>5769</v>
      </c>
      <c r="F46" s="117" t="s">
        <v>5770</v>
      </c>
      <c r="G46" s="326"/>
      <c r="H46" s="121"/>
      <c r="I46" s="357"/>
      <c r="J46" s="141"/>
      <c r="K46" s="357"/>
      <c r="L46" s="141"/>
      <c r="M46" s="326"/>
      <c r="N46" s="121"/>
      <c r="O46" s="324" t="s">
        <v>5771</v>
      </c>
      <c r="P46" s="120" t="s">
        <v>5772</v>
      </c>
      <c r="Q46" s="337" t="s">
        <v>5773</v>
      </c>
      <c r="R46" s="120" t="s">
        <v>5774</v>
      </c>
      <c r="S46" s="17"/>
      <c r="T46" s="17"/>
      <c r="U46" s="17"/>
      <c r="V46" s="17"/>
    </row>
    <row r="47">
      <c r="A47" s="324" t="s">
        <v>5775</v>
      </c>
      <c r="B47" s="117" t="s">
        <v>5776</v>
      </c>
      <c r="C47" s="326"/>
      <c r="D47" s="121"/>
      <c r="E47" s="324" t="s">
        <v>5777</v>
      </c>
      <c r="F47" s="117" t="s">
        <v>5778</v>
      </c>
      <c r="G47" s="326"/>
      <c r="H47" s="121"/>
      <c r="I47" s="357"/>
      <c r="J47" s="141"/>
      <c r="K47" s="357"/>
      <c r="L47" s="141"/>
      <c r="M47" s="326"/>
      <c r="N47" s="121"/>
      <c r="O47" s="324" t="s">
        <v>5779</v>
      </c>
      <c r="P47" s="120" t="s">
        <v>5780</v>
      </c>
      <c r="Q47" s="337" t="s">
        <v>5781</v>
      </c>
      <c r="R47" s="120" t="s">
        <v>5782</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5783</v>
      </c>
      <c r="B1" s="359" t="s">
        <v>236</v>
      </c>
      <c r="C1" s="360" t="s">
        <v>5784</v>
      </c>
      <c r="F1" s="119" t="s">
        <v>5785</v>
      </c>
      <c r="G1" s="359" t="s">
        <v>236</v>
      </c>
      <c r="H1" s="361" t="s">
        <v>5786</v>
      </c>
      <c r="K1" s="119" t="s">
        <v>5787</v>
      </c>
      <c r="L1" s="359" t="s">
        <v>236</v>
      </c>
      <c r="M1" s="361" t="s">
        <v>5788</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5789</v>
      </c>
      <c r="AK1" s="359" t="s">
        <v>236</v>
      </c>
      <c r="AL1" s="360" t="s">
        <v>5790</v>
      </c>
      <c r="AO1" s="363" t="s">
        <v>5791</v>
      </c>
      <c r="AP1" s="364" t="s">
        <v>236</v>
      </c>
      <c r="AQ1" s="141" t="s">
        <v>5792</v>
      </c>
    </row>
    <row r="2" ht="75.0" customHeight="1">
      <c r="A2" s="119" t="s">
        <v>5793</v>
      </c>
      <c r="B2" s="359" t="s">
        <v>757</v>
      </c>
      <c r="F2" s="119" t="s">
        <v>5794</v>
      </c>
      <c r="G2" s="359" t="s">
        <v>757</v>
      </c>
      <c r="K2" s="119" t="s">
        <v>5795</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5796</v>
      </c>
      <c r="AK2" s="359" t="s">
        <v>757</v>
      </c>
      <c r="AO2" s="175" t="s">
        <v>5797</v>
      </c>
      <c r="AP2" s="365" t="s">
        <v>757</v>
      </c>
    </row>
    <row r="3">
      <c r="A3" s="366" t="s">
        <v>5798</v>
      </c>
      <c r="B3" s="367" t="s">
        <v>5354</v>
      </c>
      <c r="F3" s="366" t="str">
        <f>IFERROR(__xludf.DUMMYFUNCTION("GOOGLETRANSLATE(A3,""zh-tw"",""ja"")"),"料理名")</f>
        <v>料理名</v>
      </c>
      <c r="G3" s="367" t="str">
        <f>IFERROR(__xludf.DUMMYFUNCTION("GOOGLETRANSLATE(B3,""zh-tw"",""ja"")"),"効果")</f>
        <v>効果</v>
      </c>
      <c r="K3" s="366" t="s">
        <v>5799</v>
      </c>
      <c r="L3" s="367" t="s">
        <v>5800</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5801</v>
      </c>
      <c r="AK3" s="368" t="s">
        <v>5802</v>
      </c>
      <c r="AO3" s="370" t="s">
        <v>5803</v>
      </c>
      <c r="AP3" s="371" t="s">
        <v>4210</v>
      </c>
    </row>
    <row r="4">
      <c r="A4" s="372" t="s">
        <v>5804</v>
      </c>
      <c r="B4" s="373"/>
      <c r="C4" s="114" t="s">
        <v>5805</v>
      </c>
      <c r="D4" s="127"/>
      <c r="E4" s="127"/>
      <c r="F4" s="372" t="s">
        <v>5806</v>
      </c>
      <c r="G4" s="373"/>
      <c r="H4" s="114" t="s">
        <v>5807</v>
      </c>
      <c r="I4" s="127"/>
      <c r="J4" s="127"/>
      <c r="K4" s="374" t="s">
        <v>5808</v>
      </c>
      <c r="L4" s="373"/>
      <c r="M4" s="117" t="s">
        <v>5809</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5810</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5811</v>
      </c>
      <c r="AK4" s="368"/>
      <c r="AL4" s="117" t="s">
        <v>5812</v>
      </c>
      <c r="AM4" s="121"/>
      <c r="AN4" s="121"/>
      <c r="AO4" s="139" t="s">
        <v>5813</v>
      </c>
      <c r="AP4" s="182"/>
      <c r="AQ4" s="176" t="s">
        <v>5814</v>
      </c>
      <c r="AR4" s="141"/>
      <c r="AS4" s="141"/>
    </row>
    <row r="5">
      <c r="A5" s="372" t="s">
        <v>5815</v>
      </c>
      <c r="B5" s="373"/>
      <c r="C5" s="114" t="s">
        <v>5816</v>
      </c>
      <c r="D5" s="114" t="s">
        <v>5817</v>
      </c>
      <c r="E5" s="127"/>
      <c r="F5" s="372" t="s">
        <v>5818</v>
      </c>
      <c r="G5" s="373"/>
      <c r="H5" s="114" t="s">
        <v>5819</v>
      </c>
      <c r="I5" s="114" t="s">
        <v>5820</v>
      </c>
      <c r="J5" s="127"/>
      <c r="K5" s="376" t="s">
        <v>5821</v>
      </c>
      <c r="L5" s="373"/>
      <c r="M5" s="117" t="s">
        <v>5822</v>
      </c>
      <c r="N5" s="117" t="s">
        <v>5823</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5824</v>
      </c>
      <c r="AD5" s="121"/>
      <c r="AE5" s="372" t="str">
        <f>IFERROR(__xludf.DUMMYFUNCTION("GOOGLETRANSLATE(A5,""zh-tw"",""ru"")"),"рис карри")</f>
        <v>рис карри</v>
      </c>
      <c r="AF5" s="367"/>
      <c r="AG5" s="114" t="str">
        <f>IFERROR(__xludf.DUMMYFUNCTION("GOOGLETRANSLATE(C5,""zh-tw"",""ru"")"),"Белый рис")</f>
        <v>Белый рис</v>
      </c>
      <c r="AH5" s="114" t="str">
        <f>IFERROR(__xludf.DUMMYFUNCTION("GOOGLETRANSLATE(D5,""zh-tw"",""ru"")"),"Кубики карри")</f>
        <v>Кубики карри</v>
      </c>
      <c r="AI5" s="114"/>
      <c r="AJ5" s="101" t="s">
        <v>5825</v>
      </c>
      <c r="AK5" s="368"/>
      <c r="AL5" s="117" t="s">
        <v>5826</v>
      </c>
      <c r="AM5" s="117" t="s">
        <v>5827</v>
      </c>
      <c r="AN5" s="121"/>
      <c r="AO5" s="139" t="s">
        <v>5828</v>
      </c>
      <c r="AP5" s="182"/>
      <c r="AQ5" s="176" t="s">
        <v>5829</v>
      </c>
      <c r="AR5" s="176" t="s">
        <v>5830</v>
      </c>
      <c r="AS5" s="141"/>
    </row>
    <row r="6">
      <c r="A6" s="372" t="s">
        <v>5831</v>
      </c>
      <c r="B6" s="373"/>
      <c r="C6" s="114" t="s">
        <v>5832</v>
      </c>
      <c r="D6" s="114" t="s">
        <v>5833</v>
      </c>
      <c r="E6" s="127"/>
      <c r="F6" s="372" t="s">
        <v>5834</v>
      </c>
      <c r="G6" s="373"/>
      <c r="H6" s="114" t="s">
        <v>5835</v>
      </c>
      <c r="I6" s="114" t="s">
        <v>5836</v>
      </c>
      <c r="J6" s="127"/>
      <c r="K6" s="374" t="s">
        <v>5837</v>
      </c>
      <c r="L6" s="373"/>
      <c r="M6" s="117" t="s">
        <v>5838</v>
      </c>
      <c r="N6" s="117" t="s">
        <v>5839</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5840</v>
      </c>
      <c r="AK6" s="368"/>
      <c r="AL6" s="117" t="s">
        <v>5841</v>
      </c>
      <c r="AM6" s="117" t="s">
        <v>5842</v>
      </c>
      <c r="AN6" s="121"/>
      <c r="AO6" s="139" t="s">
        <v>5843</v>
      </c>
      <c r="AP6" s="182"/>
      <c r="AQ6" s="176" t="s">
        <v>5844</v>
      </c>
      <c r="AR6" s="176" t="s">
        <v>5845</v>
      </c>
      <c r="AS6" s="141"/>
    </row>
    <row r="7">
      <c r="A7" s="372" t="s">
        <v>5846</v>
      </c>
      <c r="B7" s="373"/>
      <c r="C7" s="114" t="s">
        <v>5832</v>
      </c>
      <c r="D7" s="127"/>
      <c r="E7" s="127"/>
      <c r="F7" s="372" t="s">
        <v>5847</v>
      </c>
      <c r="G7" s="373"/>
      <c r="H7" s="114" t="s">
        <v>5835</v>
      </c>
      <c r="I7" s="127"/>
      <c r="J7" s="127"/>
      <c r="K7" s="374" t="s">
        <v>5848</v>
      </c>
      <c r="L7" s="373"/>
      <c r="M7" s="117" t="s">
        <v>5838</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5849</v>
      </c>
      <c r="AK7" s="368"/>
      <c r="AL7" s="117" t="s">
        <v>5841</v>
      </c>
      <c r="AM7" s="121"/>
      <c r="AN7" s="121"/>
      <c r="AO7" s="139" t="s">
        <v>5850</v>
      </c>
      <c r="AP7" s="182"/>
      <c r="AQ7" s="176" t="s">
        <v>5844</v>
      </c>
      <c r="AR7" s="141"/>
      <c r="AS7" s="141"/>
    </row>
    <row r="8">
      <c r="A8" s="372" t="s">
        <v>5851</v>
      </c>
      <c r="B8" s="373"/>
      <c r="C8" s="114" t="s">
        <v>5852</v>
      </c>
      <c r="F8" s="372" t="s">
        <v>5853</v>
      </c>
      <c r="G8" s="373"/>
      <c r="H8" s="114" t="s">
        <v>593</v>
      </c>
      <c r="I8" s="127"/>
      <c r="J8" s="127"/>
      <c r="K8" s="374" t="s">
        <v>5854</v>
      </c>
      <c r="L8" s="373"/>
      <c r="M8" s="117" t="s">
        <v>5855</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5856</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5857</v>
      </c>
      <c r="AK8" s="368"/>
      <c r="AL8" s="117" t="s">
        <v>5858</v>
      </c>
      <c r="AO8" s="139" t="s">
        <v>5859</v>
      </c>
      <c r="AP8" s="182"/>
      <c r="AQ8" s="176" t="s">
        <v>5860</v>
      </c>
      <c r="AR8" s="141"/>
      <c r="AS8" s="141"/>
    </row>
    <row r="9">
      <c r="A9" s="372" t="s">
        <v>5861</v>
      </c>
      <c r="B9" s="373"/>
      <c r="C9" s="114" t="s">
        <v>5862</v>
      </c>
      <c r="D9" s="127"/>
      <c r="E9" s="127"/>
      <c r="F9" s="372" t="s">
        <v>5863</v>
      </c>
      <c r="G9" s="373"/>
      <c r="H9" s="114" t="s">
        <v>5862</v>
      </c>
      <c r="I9" s="127"/>
      <c r="J9" s="127"/>
      <c r="K9" s="374" t="s">
        <v>5864</v>
      </c>
      <c r="L9" s="373"/>
      <c r="M9" s="117" t="s">
        <v>5865</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5866</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5867</v>
      </c>
      <c r="AK9" s="368"/>
      <c r="AL9" s="117" t="s">
        <v>5868</v>
      </c>
      <c r="AM9" s="121"/>
      <c r="AN9" s="121"/>
      <c r="AO9" s="139" t="s">
        <v>5869</v>
      </c>
      <c r="AP9" s="182"/>
      <c r="AQ9" s="176" t="s">
        <v>5870</v>
      </c>
      <c r="AR9" s="141"/>
      <c r="AS9" s="141"/>
    </row>
    <row r="10">
      <c r="A10" s="372" t="s">
        <v>5871</v>
      </c>
      <c r="B10" s="373"/>
      <c r="C10" s="114" t="s">
        <v>3850</v>
      </c>
      <c r="D10" s="114" t="s">
        <v>3850</v>
      </c>
      <c r="E10" s="114" t="s">
        <v>3850</v>
      </c>
      <c r="F10" s="372" t="s">
        <v>5872</v>
      </c>
      <c r="G10" s="373"/>
      <c r="H10" s="114" t="s">
        <v>5873</v>
      </c>
      <c r="I10" s="114" t="s">
        <v>5873</v>
      </c>
      <c r="J10" s="114" t="s">
        <v>5873</v>
      </c>
      <c r="K10" s="374" t="s">
        <v>5874</v>
      </c>
      <c r="L10" s="373"/>
      <c r="M10" s="117" t="s">
        <v>3855</v>
      </c>
      <c r="N10" s="117" t="s">
        <v>3855</v>
      </c>
      <c r="O10" s="117" t="s">
        <v>3855</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5875</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5876</v>
      </c>
      <c r="AK10" s="368"/>
      <c r="AL10" s="117" t="s">
        <v>5877</v>
      </c>
      <c r="AM10" s="117" t="s">
        <v>5877</v>
      </c>
      <c r="AN10" s="117" t="s">
        <v>5877</v>
      </c>
      <c r="AO10" s="139" t="s">
        <v>5878</v>
      </c>
      <c r="AP10" s="182"/>
      <c r="AQ10" s="176" t="s">
        <v>3863</v>
      </c>
      <c r="AR10" s="176" t="s">
        <v>3863</v>
      </c>
      <c r="AS10" s="176" t="s">
        <v>3863</v>
      </c>
    </row>
    <row r="11">
      <c r="A11" s="377" t="s">
        <v>5879</v>
      </c>
      <c r="B11" s="373"/>
      <c r="C11" s="114" t="s">
        <v>5880</v>
      </c>
      <c r="D11" s="114" t="s">
        <v>4027</v>
      </c>
      <c r="E11" s="127"/>
      <c r="F11" s="372" t="s">
        <v>5881</v>
      </c>
      <c r="G11" s="373"/>
      <c r="H11" s="114" t="s">
        <v>5882</v>
      </c>
      <c r="I11" s="114" t="s">
        <v>5883</v>
      </c>
      <c r="J11" s="127"/>
      <c r="K11" s="374" t="s">
        <v>5884</v>
      </c>
      <c r="L11" s="373"/>
      <c r="M11" s="117" t="s">
        <v>5885</v>
      </c>
      <c r="N11" s="117" t="s">
        <v>4029</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5886</v>
      </c>
      <c r="AA11" s="368"/>
      <c r="AB11" s="117" t="s">
        <v>5887</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5888</v>
      </c>
      <c r="AK11" s="368"/>
      <c r="AL11" s="117" t="s">
        <v>5889</v>
      </c>
      <c r="AM11" s="117" t="s">
        <v>4032</v>
      </c>
      <c r="AN11" s="121"/>
      <c r="AO11" s="94" t="s">
        <v>5884</v>
      </c>
      <c r="AP11" s="182"/>
      <c r="AQ11" s="176" t="s">
        <v>5890</v>
      </c>
      <c r="AR11" s="176" t="s">
        <v>4034</v>
      </c>
      <c r="AS11" s="141"/>
    </row>
    <row r="12">
      <c r="A12" s="372" t="s">
        <v>5891</v>
      </c>
      <c r="B12" s="373"/>
      <c r="C12" s="114" t="s">
        <v>5816</v>
      </c>
      <c r="D12" s="127"/>
      <c r="E12" s="127"/>
      <c r="F12" s="372" t="s">
        <v>5892</v>
      </c>
      <c r="G12" s="373"/>
      <c r="H12" s="114" t="s">
        <v>5819</v>
      </c>
      <c r="I12" s="127"/>
      <c r="J12" s="127"/>
      <c r="K12" s="374" t="s">
        <v>5893</v>
      </c>
      <c r="L12" s="373"/>
      <c r="M12" s="117" t="s">
        <v>5822</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5894</v>
      </c>
      <c r="AK12" s="368"/>
      <c r="AL12" s="117" t="s">
        <v>5826</v>
      </c>
      <c r="AM12" s="121"/>
      <c r="AN12" s="121"/>
      <c r="AO12" s="139" t="s">
        <v>5895</v>
      </c>
      <c r="AP12" s="182"/>
      <c r="AQ12" s="176" t="s">
        <v>5829</v>
      </c>
      <c r="AR12" s="141"/>
      <c r="AS12" s="141"/>
    </row>
    <row r="13">
      <c r="A13" s="372" t="s">
        <v>5896</v>
      </c>
      <c r="B13" s="373"/>
      <c r="C13" s="114" t="s">
        <v>5816</v>
      </c>
      <c r="D13" s="114" t="s">
        <v>5817</v>
      </c>
      <c r="E13" s="114" t="s">
        <v>5880</v>
      </c>
      <c r="F13" s="372" t="s">
        <v>5897</v>
      </c>
      <c r="G13" s="373"/>
      <c r="H13" s="114" t="s">
        <v>5819</v>
      </c>
      <c r="I13" s="114" t="s">
        <v>5820</v>
      </c>
      <c r="J13" s="114" t="s">
        <v>5882</v>
      </c>
      <c r="K13" s="376" t="s">
        <v>5898</v>
      </c>
      <c r="L13" s="373"/>
      <c r="M13" s="117" t="s">
        <v>5822</v>
      </c>
      <c r="N13" s="117" t="s">
        <v>5823</v>
      </c>
      <c r="O13" s="117" t="s">
        <v>5885</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5899</v>
      </c>
      <c r="AA13" s="368"/>
      <c r="AB13" s="121" t="str">
        <f>IFERROR(__xludf.DUMMYFUNCTION("GOOGLETRANSLATE(C13,""zh-tw"",""KO"")"),"흰쌀")</f>
        <v>흰쌀</v>
      </c>
      <c r="AC13" s="117" t="s">
        <v>5824</v>
      </c>
      <c r="AD13" s="117" t="s">
        <v>5887</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5900</v>
      </c>
      <c r="AK13" s="368"/>
      <c r="AL13" s="117" t="s">
        <v>5826</v>
      </c>
      <c r="AM13" s="117" t="s">
        <v>5827</v>
      </c>
      <c r="AN13" s="117" t="s">
        <v>5889</v>
      </c>
      <c r="AO13" s="139" t="s">
        <v>5901</v>
      </c>
      <c r="AP13" s="182"/>
      <c r="AQ13" s="176" t="s">
        <v>5829</v>
      </c>
      <c r="AR13" s="176" t="s">
        <v>5830</v>
      </c>
      <c r="AS13" s="176" t="s">
        <v>5890</v>
      </c>
    </row>
    <row r="14">
      <c r="A14" s="372" t="s">
        <v>5902</v>
      </c>
      <c r="B14" s="359" t="s">
        <v>236</v>
      </c>
      <c r="C14" s="114" t="s">
        <v>5903</v>
      </c>
      <c r="D14" s="127"/>
      <c r="E14" s="127"/>
      <c r="F14" s="372" t="s">
        <v>5904</v>
      </c>
      <c r="G14" s="359" t="s">
        <v>236</v>
      </c>
      <c r="H14" s="114" t="s">
        <v>5905</v>
      </c>
      <c r="I14" s="127"/>
      <c r="J14" s="127"/>
      <c r="K14" s="374" t="s">
        <v>5906</v>
      </c>
      <c r="L14" s="359" t="s">
        <v>236</v>
      </c>
      <c r="M14" s="117" t="s">
        <v>4055</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5907</v>
      </c>
      <c r="AA14" s="368" t="s">
        <v>236</v>
      </c>
      <c r="AB14" s="117" t="s">
        <v>4057</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5908</v>
      </c>
      <c r="AK14" s="368" t="s">
        <v>236</v>
      </c>
      <c r="AL14" s="117" t="s">
        <v>5909</v>
      </c>
      <c r="AM14" s="121"/>
      <c r="AN14" s="121"/>
      <c r="AO14" s="139" t="s">
        <v>5910</v>
      </c>
      <c r="AP14" s="378" t="s">
        <v>236</v>
      </c>
      <c r="AQ14" s="176" t="s">
        <v>4061</v>
      </c>
      <c r="AR14" s="141"/>
      <c r="AS14" s="141"/>
    </row>
    <row r="15">
      <c r="A15" s="372" t="s">
        <v>5911</v>
      </c>
      <c r="B15" s="359" t="s">
        <v>236</v>
      </c>
      <c r="C15" s="114" t="s">
        <v>5880</v>
      </c>
      <c r="D15" s="127"/>
      <c r="E15" s="127"/>
      <c r="F15" s="372" t="s">
        <v>5912</v>
      </c>
      <c r="G15" s="359" t="s">
        <v>236</v>
      </c>
      <c r="H15" s="114" t="s">
        <v>5882</v>
      </c>
      <c r="I15" s="127"/>
      <c r="J15" s="127"/>
      <c r="K15" s="374" t="s">
        <v>5913</v>
      </c>
      <c r="L15" s="359" t="s">
        <v>236</v>
      </c>
      <c r="M15" s="117" t="s">
        <v>5885</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5887</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5914</v>
      </c>
      <c r="AK15" s="368" t="s">
        <v>236</v>
      </c>
      <c r="AL15" s="117" t="s">
        <v>5889</v>
      </c>
      <c r="AM15" s="121"/>
      <c r="AN15" s="121"/>
      <c r="AO15" s="139" t="s">
        <v>5915</v>
      </c>
      <c r="AP15" s="378" t="s">
        <v>236</v>
      </c>
      <c r="AQ15" s="176" t="s">
        <v>5890</v>
      </c>
      <c r="AR15" s="141"/>
      <c r="AS15" s="141"/>
    </row>
    <row r="16">
      <c r="A16" s="372" t="s">
        <v>5916</v>
      </c>
      <c r="B16" s="359" t="s">
        <v>236</v>
      </c>
      <c r="C16" s="114" t="s">
        <v>5880</v>
      </c>
      <c r="D16" s="114" t="s">
        <v>5880</v>
      </c>
      <c r="E16" s="127"/>
      <c r="F16" s="372" t="s">
        <v>5917</v>
      </c>
      <c r="G16" s="359" t="s">
        <v>236</v>
      </c>
      <c r="H16" s="114" t="s">
        <v>5882</v>
      </c>
      <c r="I16" s="114" t="s">
        <v>5882</v>
      </c>
      <c r="J16" s="127"/>
      <c r="K16" s="374" t="s">
        <v>5918</v>
      </c>
      <c r="L16" s="359" t="s">
        <v>236</v>
      </c>
      <c r="M16" s="117" t="s">
        <v>5885</v>
      </c>
      <c r="N16" s="117" t="s">
        <v>5885</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5919</v>
      </c>
      <c r="AA16" s="368" t="s">
        <v>236</v>
      </c>
      <c r="AB16" s="117" t="s">
        <v>5887</v>
      </c>
      <c r="AC16" s="117" t="s">
        <v>5887</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5920</v>
      </c>
      <c r="AK16" s="368" t="s">
        <v>236</v>
      </c>
      <c r="AL16" s="117" t="s">
        <v>5889</v>
      </c>
      <c r="AM16" s="117" t="s">
        <v>5889</v>
      </c>
      <c r="AN16" s="121"/>
      <c r="AO16" s="139" t="s">
        <v>5921</v>
      </c>
      <c r="AP16" s="378" t="s">
        <v>236</v>
      </c>
      <c r="AQ16" s="176" t="s">
        <v>5890</v>
      </c>
      <c r="AR16" s="176" t="s">
        <v>5890</v>
      </c>
      <c r="AS16" s="141"/>
    </row>
    <row r="17">
      <c r="A17" s="377" t="s">
        <v>5922</v>
      </c>
      <c r="B17" s="359" t="s">
        <v>236</v>
      </c>
      <c r="C17" s="114" t="s">
        <v>5880</v>
      </c>
      <c r="D17" s="114" t="s">
        <v>5880</v>
      </c>
      <c r="E17" s="114" t="s">
        <v>5880</v>
      </c>
      <c r="F17" s="372" t="s">
        <v>5923</v>
      </c>
      <c r="G17" s="359" t="s">
        <v>236</v>
      </c>
      <c r="H17" s="114" t="s">
        <v>5882</v>
      </c>
      <c r="I17" s="114" t="s">
        <v>5882</v>
      </c>
      <c r="J17" s="114" t="s">
        <v>5882</v>
      </c>
      <c r="K17" s="374" t="s">
        <v>5924</v>
      </c>
      <c r="L17" s="359" t="s">
        <v>236</v>
      </c>
      <c r="M17" s="117" t="s">
        <v>5885</v>
      </c>
      <c r="N17" s="117" t="s">
        <v>5885</v>
      </c>
      <c r="O17" s="117" t="s">
        <v>5885</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5925</v>
      </c>
      <c r="AA17" s="368" t="s">
        <v>236</v>
      </c>
      <c r="AB17" s="117" t="s">
        <v>5887</v>
      </c>
      <c r="AC17" s="309" t="s">
        <v>5887</v>
      </c>
      <c r="AD17" s="309" t="s">
        <v>5887</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5926</v>
      </c>
      <c r="AK17" s="368" t="s">
        <v>236</v>
      </c>
      <c r="AL17" s="117" t="s">
        <v>5889</v>
      </c>
      <c r="AM17" s="117" t="s">
        <v>5889</v>
      </c>
      <c r="AN17" s="117" t="s">
        <v>5889</v>
      </c>
      <c r="AO17" s="94" t="s">
        <v>5927</v>
      </c>
      <c r="AP17" s="378" t="s">
        <v>236</v>
      </c>
      <c r="AQ17" s="176" t="s">
        <v>5890</v>
      </c>
      <c r="AR17" s="176" t="s">
        <v>5890</v>
      </c>
      <c r="AS17" s="176" t="s">
        <v>5890</v>
      </c>
    </row>
    <row r="18">
      <c r="A18" s="372" t="s">
        <v>5928</v>
      </c>
      <c r="B18" s="359" t="s">
        <v>236</v>
      </c>
      <c r="C18" s="114" t="s">
        <v>5816</v>
      </c>
      <c r="D18" s="114" t="s">
        <v>5880</v>
      </c>
      <c r="E18" s="127"/>
      <c r="F18" s="372" t="s">
        <v>5929</v>
      </c>
      <c r="G18" s="359" t="s">
        <v>236</v>
      </c>
      <c r="H18" s="114" t="s">
        <v>5819</v>
      </c>
      <c r="I18" s="114" t="s">
        <v>5882</v>
      </c>
      <c r="J18" s="127"/>
      <c r="K18" s="374" t="s">
        <v>5930</v>
      </c>
      <c r="L18" s="359" t="s">
        <v>236</v>
      </c>
      <c r="M18" s="117" t="s">
        <v>5931</v>
      </c>
      <c r="N18" s="117" t="s">
        <v>5885</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5932</v>
      </c>
      <c r="AA18" s="368" t="s">
        <v>236</v>
      </c>
      <c r="AB18" s="121" t="str">
        <f>IFERROR(__xludf.DUMMYFUNCTION("GOOGLETRANSLATE(C18,""zh-tw"",""KO"")"),"흰쌀")</f>
        <v>흰쌀</v>
      </c>
      <c r="AC18" s="117" t="s">
        <v>5887</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5933</v>
      </c>
      <c r="AK18" s="368" t="s">
        <v>236</v>
      </c>
      <c r="AL18" s="117" t="s">
        <v>5826</v>
      </c>
      <c r="AM18" s="117" t="s">
        <v>5889</v>
      </c>
      <c r="AN18" s="121"/>
      <c r="AO18" s="139" t="s">
        <v>5934</v>
      </c>
      <c r="AP18" s="378" t="s">
        <v>236</v>
      </c>
      <c r="AQ18" s="176" t="s">
        <v>5829</v>
      </c>
      <c r="AR18" s="176" t="s">
        <v>5890</v>
      </c>
      <c r="AS18" s="141"/>
    </row>
    <row r="19">
      <c r="A19" s="372" t="s">
        <v>5935</v>
      </c>
      <c r="B19" s="373"/>
      <c r="C19" s="114" t="s">
        <v>5936</v>
      </c>
      <c r="D19" s="127"/>
      <c r="E19" s="127"/>
      <c r="F19" s="372" t="s">
        <v>5937</v>
      </c>
      <c r="G19" s="373"/>
      <c r="H19" s="114" t="s">
        <v>5938</v>
      </c>
      <c r="I19" s="127"/>
      <c r="J19" s="127"/>
      <c r="K19" s="376" t="s">
        <v>5939</v>
      </c>
      <c r="L19" s="373"/>
      <c r="M19" s="117" t="s">
        <v>5940</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5941</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5942</v>
      </c>
      <c r="AK19" s="368"/>
      <c r="AL19" s="117" t="s">
        <v>5943</v>
      </c>
      <c r="AM19" s="121"/>
      <c r="AN19" s="121"/>
      <c r="AO19" s="139" t="s">
        <v>5944</v>
      </c>
      <c r="AP19" s="182"/>
      <c r="AQ19" s="176" t="s">
        <v>5945</v>
      </c>
      <c r="AR19" s="141"/>
      <c r="AS19" s="141"/>
    </row>
    <row r="20">
      <c r="A20" s="372" t="s">
        <v>5946</v>
      </c>
      <c r="B20" s="373"/>
      <c r="C20" s="114" t="s">
        <v>5805</v>
      </c>
      <c r="D20" s="114" t="s">
        <v>3692</v>
      </c>
      <c r="E20" s="127"/>
      <c r="F20" s="372" t="s">
        <v>5947</v>
      </c>
      <c r="G20" s="373"/>
      <c r="H20" s="114" t="s">
        <v>5807</v>
      </c>
      <c r="I20" s="114" t="s">
        <v>5948</v>
      </c>
      <c r="J20" s="127"/>
      <c r="K20" s="374" t="s">
        <v>5949</v>
      </c>
      <c r="L20" s="373"/>
      <c r="M20" s="117" t="s">
        <v>5809</v>
      </c>
      <c r="N20" s="117" t="s">
        <v>3694</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5950</v>
      </c>
      <c r="AA20" s="368"/>
      <c r="AB20" s="117" t="s">
        <v>5810</v>
      </c>
      <c r="AC20" s="117" t="s">
        <v>3696</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5951</v>
      </c>
      <c r="AK20" s="368"/>
      <c r="AL20" s="117" t="s">
        <v>5812</v>
      </c>
      <c r="AM20" s="117" t="s">
        <v>3698</v>
      </c>
      <c r="AN20" s="121"/>
      <c r="AO20" s="139" t="s">
        <v>5952</v>
      </c>
      <c r="AP20" s="182"/>
      <c r="AQ20" s="176" t="s">
        <v>5814</v>
      </c>
      <c r="AR20" s="176" t="s">
        <v>5953</v>
      </c>
      <c r="AS20" s="141"/>
    </row>
    <row r="21">
      <c r="A21" s="372" t="s">
        <v>5954</v>
      </c>
      <c r="B21" s="373"/>
      <c r="C21" s="114" t="s">
        <v>5805</v>
      </c>
      <c r="D21" s="114" t="s">
        <v>5955</v>
      </c>
      <c r="E21" s="127"/>
      <c r="F21" s="372" t="s">
        <v>5956</v>
      </c>
      <c r="G21" s="373"/>
      <c r="H21" s="114" t="s">
        <v>5807</v>
      </c>
      <c r="I21" s="114" t="s">
        <v>5957</v>
      </c>
      <c r="J21" s="127"/>
      <c r="K21" s="374" t="s">
        <v>5958</v>
      </c>
      <c r="L21" s="373"/>
      <c r="M21" s="117" t="s">
        <v>5809</v>
      </c>
      <c r="N21" s="117" t="s">
        <v>5959</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5810</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5960</v>
      </c>
      <c r="AK21" s="368"/>
      <c r="AL21" s="117" t="s">
        <v>5812</v>
      </c>
      <c r="AM21" s="117" t="s">
        <v>5961</v>
      </c>
      <c r="AN21" s="121"/>
      <c r="AO21" s="139" t="s">
        <v>5962</v>
      </c>
      <c r="AP21" s="182"/>
      <c r="AQ21" s="176" t="s">
        <v>5814</v>
      </c>
      <c r="AR21" s="176" t="s">
        <v>5963</v>
      </c>
      <c r="AS21" s="141"/>
    </row>
    <row r="22">
      <c r="A22" s="372" t="s">
        <v>5964</v>
      </c>
      <c r="B22" s="373"/>
      <c r="C22" s="114" t="s">
        <v>5936</v>
      </c>
      <c r="D22" s="114" t="s">
        <v>543</v>
      </c>
      <c r="E22" s="127"/>
      <c r="F22" s="372" t="s">
        <v>5965</v>
      </c>
      <c r="G22" s="373"/>
      <c r="H22" s="114" t="s">
        <v>5807</v>
      </c>
      <c r="I22" s="114" t="s">
        <v>546</v>
      </c>
      <c r="J22" s="127"/>
      <c r="K22" s="374" t="s">
        <v>5966</v>
      </c>
      <c r="L22" s="373"/>
      <c r="M22" s="117" t="s">
        <v>5809</v>
      </c>
      <c r="N22" s="117" t="s">
        <v>5967</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5941</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5968</v>
      </c>
      <c r="AK22" s="368"/>
      <c r="AL22" s="117" t="s">
        <v>5943</v>
      </c>
      <c r="AM22" s="117" t="s">
        <v>5969</v>
      </c>
      <c r="AN22" s="121"/>
      <c r="AO22" s="139" t="s">
        <v>5970</v>
      </c>
      <c r="AP22" s="182"/>
      <c r="AQ22" s="176" t="s">
        <v>5814</v>
      </c>
      <c r="AR22" s="176" t="s">
        <v>5971</v>
      </c>
      <c r="AS22" s="141"/>
    </row>
    <row r="23">
      <c r="A23" s="372" t="s">
        <v>5972</v>
      </c>
      <c r="B23" s="373"/>
      <c r="C23" s="114" t="s">
        <v>5973</v>
      </c>
      <c r="D23" s="127"/>
      <c r="E23" s="127"/>
      <c r="F23" s="372" t="s">
        <v>5974</v>
      </c>
      <c r="G23" s="373"/>
      <c r="H23" s="114" t="s">
        <v>5975</v>
      </c>
      <c r="I23" s="127"/>
      <c r="J23" s="127"/>
      <c r="K23" s="376" t="s">
        <v>5976</v>
      </c>
      <c r="L23" s="373"/>
      <c r="M23" s="117" t="s">
        <v>5977</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5978</v>
      </c>
      <c r="AK23" s="368"/>
      <c r="AL23" s="117" t="s">
        <v>5979</v>
      </c>
      <c r="AM23" s="121"/>
      <c r="AN23" s="121"/>
      <c r="AO23" s="139" t="s">
        <v>5980</v>
      </c>
      <c r="AP23" s="182"/>
      <c r="AQ23" s="176" t="s">
        <v>5981</v>
      </c>
      <c r="AR23" s="141"/>
      <c r="AS23" s="141"/>
    </row>
    <row r="24">
      <c r="A24" s="372" t="s">
        <v>5982</v>
      </c>
      <c r="B24" s="373"/>
      <c r="C24" s="114" t="s">
        <v>5903</v>
      </c>
      <c r="D24" s="114" t="s">
        <v>4027</v>
      </c>
      <c r="E24" s="114" t="s">
        <v>5983</v>
      </c>
      <c r="F24" s="372" t="s">
        <v>5984</v>
      </c>
      <c r="G24" s="373"/>
      <c r="H24" s="114" t="s">
        <v>5905</v>
      </c>
      <c r="I24" s="114" t="s">
        <v>5985</v>
      </c>
      <c r="J24" s="114" t="s">
        <v>5986</v>
      </c>
      <c r="K24" s="374" t="s">
        <v>5987</v>
      </c>
      <c r="L24" s="373"/>
      <c r="M24" s="117" t="s">
        <v>4055</v>
      </c>
      <c r="N24" s="117" t="s">
        <v>4029</v>
      </c>
      <c r="O24" s="117" t="s">
        <v>5988</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4057</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5989</v>
      </c>
      <c r="AK24" s="368"/>
      <c r="AL24" s="117" t="s">
        <v>5909</v>
      </c>
      <c r="AM24" s="117" t="s">
        <v>4032</v>
      </c>
      <c r="AN24" s="117" t="s">
        <v>4032</v>
      </c>
      <c r="AO24" s="139" t="s">
        <v>5990</v>
      </c>
      <c r="AP24" s="182"/>
      <c r="AQ24" s="176" t="s">
        <v>4061</v>
      </c>
      <c r="AR24" s="176" t="s">
        <v>4034</v>
      </c>
      <c r="AS24" s="176" t="s">
        <v>5991</v>
      </c>
    </row>
    <row r="25">
      <c r="A25" s="372" t="s">
        <v>5992</v>
      </c>
      <c r="B25" s="373"/>
      <c r="C25" s="114" t="s">
        <v>5993</v>
      </c>
      <c r="D25" s="127"/>
      <c r="E25" s="127"/>
      <c r="F25" s="372" t="s">
        <v>5994</v>
      </c>
      <c r="G25" s="373"/>
      <c r="H25" s="114" t="s">
        <v>5995</v>
      </c>
      <c r="I25" s="127"/>
      <c r="J25" s="127"/>
      <c r="K25" s="374" t="s">
        <v>5996</v>
      </c>
      <c r="L25" s="373"/>
      <c r="M25" s="117" t="s">
        <v>5997</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5998</v>
      </c>
      <c r="AA25" s="368"/>
      <c r="AB25" s="117" t="s">
        <v>5999</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6000</v>
      </c>
      <c r="AK25" s="368"/>
      <c r="AL25" s="117" t="s">
        <v>6001</v>
      </c>
      <c r="AM25" s="121"/>
      <c r="AN25" s="121"/>
      <c r="AO25" s="139" t="s">
        <v>6002</v>
      </c>
      <c r="AP25" s="182"/>
      <c r="AQ25" s="176" t="s">
        <v>6003</v>
      </c>
      <c r="AR25" s="141"/>
      <c r="AS25" s="141"/>
    </row>
    <row r="26">
      <c r="A26" s="377" t="s">
        <v>6004</v>
      </c>
      <c r="B26" s="373"/>
      <c r="C26" s="114" t="s">
        <v>6005</v>
      </c>
      <c r="D26" s="114" t="s">
        <v>6005</v>
      </c>
      <c r="E26" s="114" t="s">
        <v>6005</v>
      </c>
      <c r="F26" s="372" t="s">
        <v>6006</v>
      </c>
      <c r="G26" s="373"/>
      <c r="H26" s="114" t="s">
        <v>5986</v>
      </c>
      <c r="I26" s="114" t="s">
        <v>5986</v>
      </c>
      <c r="J26" s="114" t="s">
        <v>5986</v>
      </c>
      <c r="K26" s="376" t="s">
        <v>6007</v>
      </c>
      <c r="L26" s="373"/>
      <c r="M26" s="117" t="s">
        <v>5988</v>
      </c>
      <c r="N26" s="117" t="s">
        <v>5988</v>
      </c>
      <c r="O26" s="117" t="s">
        <v>5988</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6008</v>
      </c>
      <c r="AA26" s="368"/>
      <c r="AB26" s="379" t="s">
        <v>6009</v>
      </c>
      <c r="AC26" s="379" t="s">
        <v>6009</v>
      </c>
      <c r="AD26" s="117" t="s">
        <v>6009</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6010</v>
      </c>
      <c r="AK26" s="368"/>
      <c r="AL26" s="117" t="s">
        <v>6011</v>
      </c>
      <c r="AM26" s="117" t="s">
        <v>6011</v>
      </c>
      <c r="AN26" s="117" t="s">
        <v>6011</v>
      </c>
      <c r="AO26" s="94" t="s">
        <v>6012</v>
      </c>
      <c r="AP26" s="182"/>
      <c r="AQ26" s="176" t="s">
        <v>5991</v>
      </c>
      <c r="AR26" s="176" t="s">
        <v>5991</v>
      </c>
      <c r="AS26" s="176" t="s">
        <v>5991</v>
      </c>
    </row>
    <row r="27">
      <c r="A27" s="372" t="s">
        <v>6013</v>
      </c>
      <c r="B27" s="373"/>
      <c r="C27" s="114" t="s">
        <v>4027</v>
      </c>
      <c r="D27" s="127"/>
      <c r="E27" s="127"/>
      <c r="F27" s="372" t="s">
        <v>6014</v>
      </c>
      <c r="G27" s="373"/>
      <c r="H27" s="114" t="s">
        <v>5985</v>
      </c>
      <c r="I27" s="127"/>
      <c r="J27" s="127"/>
      <c r="K27" s="374" t="s">
        <v>6015</v>
      </c>
      <c r="L27" s="373"/>
      <c r="M27" s="117" t="s">
        <v>4029</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6016</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6017</v>
      </c>
      <c r="AK27" s="368"/>
      <c r="AL27" s="117" t="s">
        <v>4032</v>
      </c>
      <c r="AM27" s="121"/>
      <c r="AN27" s="121"/>
      <c r="AO27" s="139" t="s">
        <v>6018</v>
      </c>
      <c r="AP27" s="182"/>
      <c r="AQ27" s="176" t="s">
        <v>4034</v>
      </c>
      <c r="AR27" s="141"/>
      <c r="AS27" s="141"/>
    </row>
    <row r="28">
      <c r="A28" s="372" t="s">
        <v>6019</v>
      </c>
      <c r="B28" s="373"/>
      <c r="C28" s="114" t="s">
        <v>5983</v>
      </c>
      <c r="D28" s="114" t="s">
        <v>6020</v>
      </c>
      <c r="E28" s="127"/>
      <c r="F28" s="372" t="s">
        <v>6021</v>
      </c>
      <c r="G28" s="373"/>
      <c r="H28" s="114" t="s">
        <v>5986</v>
      </c>
      <c r="I28" s="114" t="s">
        <v>6022</v>
      </c>
      <c r="J28" s="127"/>
      <c r="K28" s="374" t="s">
        <v>6023</v>
      </c>
      <c r="L28" s="373"/>
      <c r="M28" s="117" t="s">
        <v>5988</v>
      </c>
      <c r="N28" s="117" t="s">
        <v>3855</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6024</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6025</v>
      </c>
      <c r="AK28" s="368"/>
      <c r="AL28" s="117" t="s">
        <v>6026</v>
      </c>
      <c r="AM28" s="121" t="str">
        <f>IFERROR(__xludf.DUMMYFUNCTION("GOOGLETRANSLATE(D28,""zh-tw"",""de"")"),"Pilze")</f>
        <v>Pilze</v>
      </c>
      <c r="AN28" s="121"/>
      <c r="AO28" s="139" t="s">
        <v>6027</v>
      </c>
      <c r="AP28" s="182"/>
      <c r="AQ28" s="176" t="s">
        <v>5991</v>
      </c>
      <c r="AR28" s="176" t="s">
        <v>3863</v>
      </c>
      <c r="AS28" s="141"/>
    </row>
    <row r="29">
      <c r="A29" s="372" t="s">
        <v>6028</v>
      </c>
      <c r="B29" s="373"/>
      <c r="C29" s="114" t="s">
        <v>6029</v>
      </c>
      <c r="D29" s="127"/>
      <c r="E29" s="127"/>
      <c r="F29" s="372" t="s">
        <v>6030</v>
      </c>
      <c r="G29" s="373"/>
      <c r="H29" s="114" t="s">
        <v>6031</v>
      </c>
      <c r="I29" s="127"/>
      <c r="J29" s="127"/>
      <c r="K29" s="374" t="s">
        <v>6032</v>
      </c>
      <c r="L29" s="373"/>
      <c r="M29" s="117" t="s">
        <v>6033</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6034</v>
      </c>
      <c r="AK29" s="368"/>
      <c r="AL29" s="117" t="s">
        <v>6033</v>
      </c>
      <c r="AM29" s="121"/>
      <c r="AN29" s="121"/>
      <c r="AO29" s="139" t="s">
        <v>6032</v>
      </c>
      <c r="AP29" s="182"/>
      <c r="AQ29" s="176" t="s">
        <v>6035</v>
      </c>
      <c r="AR29" s="141"/>
      <c r="AS29" s="141"/>
    </row>
    <row r="30">
      <c r="A30" s="372" t="s">
        <v>6036</v>
      </c>
      <c r="B30" s="373"/>
      <c r="C30" s="114" t="s">
        <v>6029</v>
      </c>
      <c r="D30" s="114" t="s">
        <v>6037</v>
      </c>
      <c r="E30" s="127"/>
      <c r="F30" s="372" t="s">
        <v>6038</v>
      </c>
      <c r="G30" s="373"/>
      <c r="H30" s="114" t="s">
        <v>6031</v>
      </c>
      <c r="I30" s="114" t="s">
        <v>6039</v>
      </c>
      <c r="J30" s="127"/>
      <c r="K30" s="374" t="s">
        <v>6040</v>
      </c>
      <c r="L30" s="373"/>
      <c r="M30" s="117" t="s">
        <v>6033</v>
      </c>
      <c r="N30" s="117" t="s">
        <v>6041</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6042</v>
      </c>
      <c r="AK30" s="368"/>
      <c r="AL30" s="117" t="s">
        <v>6033</v>
      </c>
      <c r="AM30" s="117" t="s">
        <v>6043</v>
      </c>
      <c r="AN30" s="121"/>
      <c r="AO30" s="139" t="s">
        <v>6044</v>
      </c>
      <c r="AP30" s="182"/>
      <c r="AQ30" s="176" t="s">
        <v>6035</v>
      </c>
      <c r="AR30" s="176" t="s">
        <v>6045</v>
      </c>
      <c r="AS30" s="141"/>
    </row>
    <row r="31">
      <c r="A31" s="372" t="s">
        <v>6046</v>
      </c>
      <c r="B31" s="373"/>
      <c r="C31" s="114" t="s">
        <v>6029</v>
      </c>
      <c r="D31" s="114" t="s">
        <v>6047</v>
      </c>
      <c r="E31" s="127"/>
      <c r="F31" s="372" t="s">
        <v>6048</v>
      </c>
      <c r="G31" s="373"/>
      <c r="H31" s="114" t="s">
        <v>6031</v>
      </c>
      <c r="I31" s="114" t="s">
        <v>6049</v>
      </c>
      <c r="J31" s="127"/>
      <c r="K31" s="374" t="s">
        <v>6050</v>
      </c>
      <c r="L31" s="373"/>
      <c r="M31" s="117" t="s">
        <v>6033</v>
      </c>
      <c r="N31" s="117" t="s">
        <v>6051</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6052</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6053</v>
      </c>
      <c r="AK31" s="368"/>
      <c r="AL31" s="117" t="s">
        <v>6033</v>
      </c>
      <c r="AM31" s="117" t="s">
        <v>6054</v>
      </c>
      <c r="AN31" s="121"/>
      <c r="AO31" s="139" t="s">
        <v>6055</v>
      </c>
      <c r="AP31" s="182"/>
      <c r="AQ31" s="176" t="s">
        <v>6035</v>
      </c>
      <c r="AR31" s="176" t="s">
        <v>6056</v>
      </c>
      <c r="AS31" s="141"/>
    </row>
    <row r="32">
      <c r="A32" s="372" t="s">
        <v>6057</v>
      </c>
      <c r="B32" s="373"/>
      <c r="C32" s="114" t="s">
        <v>5816</v>
      </c>
      <c r="D32" s="114" t="s">
        <v>5817</v>
      </c>
      <c r="E32" s="114" t="s">
        <v>3837</v>
      </c>
      <c r="F32" s="372" t="s">
        <v>6058</v>
      </c>
      <c r="G32" s="373"/>
      <c r="H32" s="114" t="s">
        <v>5819</v>
      </c>
      <c r="I32" s="114" t="s">
        <v>5820</v>
      </c>
      <c r="J32" s="114" t="s">
        <v>6059</v>
      </c>
      <c r="K32" s="376" t="s">
        <v>6060</v>
      </c>
      <c r="L32" s="373"/>
      <c r="M32" s="117" t="s">
        <v>5822</v>
      </c>
      <c r="N32" s="117" t="s">
        <v>5823</v>
      </c>
      <c r="O32" s="117" t="s">
        <v>3840</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5824</v>
      </c>
      <c r="AD32" s="117" t="s">
        <v>3842</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6061</v>
      </c>
      <c r="AK32" s="368"/>
      <c r="AL32" s="117" t="s">
        <v>5826</v>
      </c>
      <c r="AM32" s="117" t="s">
        <v>5827</v>
      </c>
      <c r="AN32" s="117" t="s">
        <v>6062</v>
      </c>
      <c r="AO32" s="139" t="s">
        <v>6063</v>
      </c>
      <c r="AP32" s="182"/>
      <c r="AQ32" s="176" t="s">
        <v>5829</v>
      </c>
      <c r="AR32" s="176" t="s">
        <v>5830</v>
      </c>
      <c r="AS32" s="176" t="s">
        <v>3847</v>
      </c>
    </row>
    <row r="33">
      <c r="A33" s="372" t="s">
        <v>6064</v>
      </c>
      <c r="B33" s="373"/>
      <c r="C33" s="114" t="s">
        <v>5816</v>
      </c>
      <c r="D33" s="114" t="s">
        <v>3837</v>
      </c>
      <c r="E33" s="127"/>
      <c r="F33" s="372" t="s">
        <v>6065</v>
      </c>
      <c r="G33" s="373"/>
      <c r="H33" s="114" t="s">
        <v>5819</v>
      </c>
      <c r="I33" s="114" t="s">
        <v>6059</v>
      </c>
      <c r="J33" s="127"/>
      <c r="K33" s="374" t="s">
        <v>6066</v>
      </c>
      <c r="L33" s="373"/>
      <c r="M33" s="117" t="s">
        <v>5822</v>
      </c>
      <c r="N33" s="117" t="s">
        <v>6067</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6068</v>
      </c>
      <c r="AA33" s="368"/>
      <c r="AB33" s="121" t="str">
        <f>IFERROR(__xludf.DUMMYFUNCTION("GOOGLETRANSLATE(C33,""zh-tw"",""KO"")"),"흰쌀")</f>
        <v>흰쌀</v>
      </c>
      <c r="AC33" s="309" t="s">
        <v>3842</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6069</v>
      </c>
      <c r="AK33" s="368"/>
      <c r="AL33" s="117" t="s">
        <v>5826</v>
      </c>
      <c r="AM33" s="117" t="s">
        <v>6062</v>
      </c>
      <c r="AN33" s="121"/>
      <c r="AO33" s="139" t="s">
        <v>6066</v>
      </c>
      <c r="AP33" s="182"/>
      <c r="AQ33" s="176" t="s">
        <v>5829</v>
      </c>
      <c r="AR33" s="176" t="s">
        <v>3847</v>
      </c>
      <c r="AS33" s="141"/>
    </row>
    <row r="34">
      <c r="A34" s="372" t="s">
        <v>6070</v>
      </c>
      <c r="B34" s="373"/>
      <c r="C34" s="114" t="s">
        <v>5816</v>
      </c>
      <c r="D34" s="114" t="s">
        <v>3837</v>
      </c>
      <c r="E34" s="114" t="s">
        <v>4036</v>
      </c>
      <c r="F34" s="372" t="s">
        <v>6071</v>
      </c>
      <c r="G34" s="373"/>
      <c r="H34" s="114" t="s">
        <v>5819</v>
      </c>
      <c r="I34" s="114" t="s">
        <v>6059</v>
      </c>
      <c r="J34" s="114" t="s">
        <v>6072</v>
      </c>
      <c r="K34" s="374" t="s">
        <v>6073</v>
      </c>
      <c r="L34" s="373"/>
      <c r="M34" s="117" t="s">
        <v>5822</v>
      </c>
      <c r="N34" s="117" t="s">
        <v>6067</v>
      </c>
      <c r="O34" s="117" t="s">
        <v>4038</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6074</v>
      </c>
      <c r="AA34" s="368"/>
      <c r="AB34" s="121" t="str">
        <f>IFERROR(__xludf.DUMMYFUNCTION("GOOGLETRANSLATE(C34,""zh-tw"",""KO"")"),"흰쌀")</f>
        <v>흰쌀</v>
      </c>
      <c r="AC34" s="309" t="s">
        <v>3842</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6075</v>
      </c>
      <c r="AK34" s="368"/>
      <c r="AL34" s="117" t="s">
        <v>5826</v>
      </c>
      <c r="AM34" s="117" t="s">
        <v>6062</v>
      </c>
      <c r="AN34" s="117" t="s">
        <v>6076</v>
      </c>
      <c r="AO34" s="139" t="s">
        <v>6077</v>
      </c>
      <c r="AP34" s="182"/>
      <c r="AQ34" s="176" t="s">
        <v>5829</v>
      </c>
      <c r="AR34" s="176" t="s">
        <v>3847</v>
      </c>
      <c r="AS34" s="176" t="s">
        <v>4042</v>
      </c>
    </row>
    <row r="35">
      <c r="A35" s="372" t="s">
        <v>6078</v>
      </c>
      <c r="B35" s="373"/>
      <c r="C35" s="114" t="s">
        <v>5816</v>
      </c>
      <c r="D35" s="114" t="s">
        <v>6079</v>
      </c>
      <c r="E35" s="127"/>
      <c r="F35" s="372" t="s">
        <v>6080</v>
      </c>
      <c r="G35" s="373"/>
      <c r="H35" s="114" t="s">
        <v>5819</v>
      </c>
      <c r="I35" s="114" t="s">
        <v>6081</v>
      </c>
      <c r="J35" s="127"/>
      <c r="K35" s="374" t="s">
        <v>6082</v>
      </c>
      <c r="L35" s="373"/>
      <c r="M35" s="117" t="s">
        <v>5822</v>
      </c>
      <c r="N35" s="117" t="s">
        <v>6051</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6083</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6084</v>
      </c>
      <c r="AK35" s="368"/>
      <c r="AL35" s="117" t="s">
        <v>5826</v>
      </c>
      <c r="AM35" s="117" t="s">
        <v>6085</v>
      </c>
      <c r="AN35" s="121"/>
      <c r="AO35" s="139" t="s">
        <v>6086</v>
      </c>
      <c r="AP35" s="182"/>
      <c r="AQ35" s="176" t="s">
        <v>5829</v>
      </c>
      <c r="AR35" s="176" t="s">
        <v>6056</v>
      </c>
      <c r="AS35" s="141"/>
    </row>
    <row r="36">
      <c r="A36" s="372" t="s">
        <v>6087</v>
      </c>
      <c r="B36" s="373"/>
      <c r="C36" s="114" t="s">
        <v>6088</v>
      </c>
      <c r="D36" s="127"/>
      <c r="E36" s="127"/>
      <c r="F36" s="372" t="s">
        <v>6089</v>
      </c>
      <c r="G36" s="373"/>
      <c r="H36" s="114" t="s">
        <v>6090</v>
      </c>
      <c r="I36" s="127"/>
      <c r="J36" s="127"/>
      <c r="K36" s="376" t="s">
        <v>6091</v>
      </c>
      <c r="L36" s="373"/>
      <c r="M36" s="117" t="s">
        <v>6092</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6093</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6094</v>
      </c>
      <c r="AK36" s="368"/>
      <c r="AL36" s="117" t="s">
        <v>6095</v>
      </c>
      <c r="AM36" s="121"/>
      <c r="AN36" s="121"/>
      <c r="AO36" s="139" t="s">
        <v>6096</v>
      </c>
      <c r="AP36" s="182"/>
      <c r="AQ36" s="176" t="s">
        <v>6097</v>
      </c>
      <c r="AR36" s="141"/>
      <c r="AS36" s="141"/>
    </row>
    <row r="37">
      <c r="A37" s="377" t="s">
        <v>6098</v>
      </c>
      <c r="B37" s="373"/>
      <c r="C37" s="114" t="s">
        <v>6005</v>
      </c>
      <c r="D37" s="114" t="s">
        <v>6005</v>
      </c>
      <c r="E37" s="127"/>
      <c r="F37" s="372" t="s">
        <v>6099</v>
      </c>
      <c r="G37" s="373"/>
      <c r="H37" s="114" t="s">
        <v>6100</v>
      </c>
      <c r="I37" s="114" t="s">
        <v>6100</v>
      </c>
      <c r="J37" s="127"/>
      <c r="K37" s="374" t="s">
        <v>6101</v>
      </c>
      <c r="L37" s="373"/>
      <c r="M37" s="117" t="s">
        <v>6102</v>
      </c>
      <c r="N37" s="117" t="s">
        <v>6102</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6103</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6104</v>
      </c>
      <c r="AK37" s="368"/>
      <c r="AL37" s="117" t="s">
        <v>6011</v>
      </c>
      <c r="AM37" s="117" t="s">
        <v>6011</v>
      </c>
      <c r="AN37" s="121"/>
      <c r="AO37" s="94" t="s">
        <v>6105</v>
      </c>
      <c r="AP37" s="182"/>
      <c r="AQ37" s="176" t="s">
        <v>6106</v>
      </c>
      <c r="AR37" s="176" t="s">
        <v>6106</v>
      </c>
      <c r="AS37" s="141"/>
    </row>
    <row r="38">
      <c r="A38" s="372" t="s">
        <v>6107</v>
      </c>
      <c r="B38" s="359" t="s">
        <v>236</v>
      </c>
      <c r="C38" s="114" t="s">
        <v>6108</v>
      </c>
      <c r="D38" s="114" t="s">
        <v>6108</v>
      </c>
      <c r="E38" s="114" t="s">
        <v>5833</v>
      </c>
      <c r="F38" s="372" t="s">
        <v>6109</v>
      </c>
      <c r="G38" s="359" t="s">
        <v>236</v>
      </c>
      <c r="H38" s="114" t="s">
        <v>6110</v>
      </c>
      <c r="I38" s="114" t="s">
        <v>6110</v>
      </c>
      <c r="J38" s="114" t="s">
        <v>5836</v>
      </c>
      <c r="K38" s="376" t="s">
        <v>6111</v>
      </c>
      <c r="L38" s="359" t="s">
        <v>236</v>
      </c>
      <c r="M38" s="117" t="s">
        <v>6112</v>
      </c>
      <c r="N38" s="117" t="s">
        <v>6112</v>
      </c>
      <c r="O38" s="117" t="s">
        <v>5839</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6113</v>
      </c>
      <c r="AA38" s="380" t="s">
        <v>236</v>
      </c>
      <c r="AB38" s="117" t="s">
        <v>6114</v>
      </c>
      <c r="AC38" s="117" t="s">
        <v>6114</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6115</v>
      </c>
      <c r="AK38" s="368" t="s">
        <v>236</v>
      </c>
      <c r="AL38" s="117" t="s">
        <v>6116</v>
      </c>
      <c r="AM38" s="117" t="s">
        <v>6116</v>
      </c>
      <c r="AN38" s="117" t="s">
        <v>5842</v>
      </c>
      <c r="AO38" s="139" t="s">
        <v>6117</v>
      </c>
      <c r="AP38" s="378" t="s">
        <v>236</v>
      </c>
      <c r="AQ38" s="176" t="s">
        <v>6118</v>
      </c>
      <c r="AR38" s="176" t="s">
        <v>6118</v>
      </c>
      <c r="AS38" s="176" t="s">
        <v>5845</v>
      </c>
    </row>
    <row r="39">
      <c r="A39" s="377" t="s">
        <v>6119</v>
      </c>
      <c r="B39" s="359" t="s">
        <v>236</v>
      </c>
      <c r="C39" s="114" t="s">
        <v>6108</v>
      </c>
      <c r="D39" s="127"/>
      <c r="E39" s="127"/>
      <c r="F39" s="372" t="s">
        <v>6120</v>
      </c>
      <c r="G39" s="359" t="s">
        <v>236</v>
      </c>
      <c r="H39" s="114" t="s">
        <v>6110</v>
      </c>
      <c r="I39" s="127"/>
      <c r="J39" s="127"/>
      <c r="K39" s="374" t="s">
        <v>6121</v>
      </c>
      <c r="L39" s="359" t="s">
        <v>236</v>
      </c>
      <c r="M39" s="117" t="s">
        <v>6112</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6114</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6122</v>
      </c>
      <c r="AK39" s="368" t="s">
        <v>236</v>
      </c>
      <c r="AL39" s="117" t="s">
        <v>6116</v>
      </c>
      <c r="AM39" s="121"/>
      <c r="AN39" s="121"/>
      <c r="AO39" s="94" t="s">
        <v>6123</v>
      </c>
      <c r="AP39" s="378" t="s">
        <v>236</v>
      </c>
      <c r="AQ39" s="176" t="s">
        <v>6118</v>
      </c>
      <c r="AR39" s="141"/>
      <c r="AS39" s="141"/>
    </row>
    <row r="40">
      <c r="A40" s="372" t="s">
        <v>6124</v>
      </c>
      <c r="B40" s="359" t="s">
        <v>236</v>
      </c>
      <c r="C40" s="114" t="s">
        <v>5816</v>
      </c>
      <c r="D40" s="114" t="s">
        <v>6108</v>
      </c>
      <c r="E40" s="127"/>
      <c r="F40" s="372" t="s">
        <v>6125</v>
      </c>
      <c r="G40" s="359" t="s">
        <v>236</v>
      </c>
      <c r="H40" s="114" t="s">
        <v>5819</v>
      </c>
      <c r="I40" s="114" t="s">
        <v>6110</v>
      </c>
      <c r="J40" s="127"/>
      <c r="K40" s="374" t="s">
        <v>6126</v>
      </c>
      <c r="L40" s="359" t="s">
        <v>236</v>
      </c>
      <c r="M40" s="117" t="s">
        <v>5931</v>
      </c>
      <c r="N40" s="117" t="s">
        <v>6112</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6127</v>
      </c>
      <c r="AA40" s="380" t="s">
        <v>236</v>
      </c>
      <c r="AB40" s="121" t="str">
        <f>IFERROR(__xludf.DUMMYFUNCTION("GOOGLETRANSLATE(C40,""zh-tw"",""KO"")"),"흰쌀")</f>
        <v>흰쌀</v>
      </c>
      <c r="AC40" s="117" t="s">
        <v>6114</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6128</v>
      </c>
      <c r="AK40" s="368" t="s">
        <v>236</v>
      </c>
      <c r="AL40" s="117" t="s">
        <v>5826</v>
      </c>
      <c r="AM40" s="117" t="s">
        <v>6116</v>
      </c>
      <c r="AN40" s="121"/>
      <c r="AO40" s="139" t="s">
        <v>6126</v>
      </c>
      <c r="AP40" s="378" t="s">
        <v>236</v>
      </c>
      <c r="AQ40" s="176" t="s">
        <v>5829</v>
      </c>
      <c r="AR40" s="176" t="s">
        <v>6118</v>
      </c>
      <c r="AS40" s="141"/>
    </row>
    <row r="41">
      <c r="A41" s="372" t="s">
        <v>6129</v>
      </c>
      <c r="B41" s="373"/>
      <c r="C41" s="114" t="s">
        <v>6130</v>
      </c>
      <c r="D41" s="114" t="s">
        <v>6130</v>
      </c>
      <c r="E41" s="114" t="s">
        <v>6130</v>
      </c>
      <c r="F41" s="372" t="s">
        <v>6131</v>
      </c>
      <c r="G41" s="373"/>
      <c r="H41" s="114" t="s">
        <v>6081</v>
      </c>
      <c r="I41" s="114" t="s">
        <v>6081</v>
      </c>
      <c r="J41" s="114" t="s">
        <v>6081</v>
      </c>
      <c r="K41" s="374" t="s">
        <v>6132</v>
      </c>
      <c r="L41" s="373"/>
      <c r="M41" s="117" t="s">
        <v>6133</v>
      </c>
      <c r="N41" s="117" t="s">
        <v>6133</v>
      </c>
      <c r="O41" s="117" t="s">
        <v>6133</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6134</v>
      </c>
      <c r="AA41" s="368"/>
      <c r="AB41" s="117" t="s">
        <v>6083</v>
      </c>
      <c r="AC41" s="117" t="s">
        <v>6083</v>
      </c>
      <c r="AD41" s="117" t="s">
        <v>6083</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6135</v>
      </c>
      <c r="AK41" s="368"/>
      <c r="AL41" s="117" t="s">
        <v>6085</v>
      </c>
      <c r="AM41" s="117" t="s">
        <v>6085</v>
      </c>
      <c r="AN41" s="117" t="s">
        <v>6085</v>
      </c>
      <c r="AO41" s="139" t="s">
        <v>6136</v>
      </c>
      <c r="AP41" s="182"/>
      <c r="AQ41" s="176" t="s">
        <v>6137</v>
      </c>
      <c r="AR41" s="176" t="s">
        <v>6137</v>
      </c>
      <c r="AS41" s="176" t="s">
        <v>6137</v>
      </c>
    </row>
    <row r="42">
      <c r="A42" s="372" t="s">
        <v>6138</v>
      </c>
      <c r="B42" s="373"/>
      <c r="C42" s="114" t="s">
        <v>6139</v>
      </c>
      <c r="D42" s="114" t="s">
        <v>6139</v>
      </c>
      <c r="E42" s="114" t="s">
        <v>6139</v>
      </c>
      <c r="F42" s="372" t="s">
        <v>6140</v>
      </c>
      <c r="G42" s="373"/>
      <c r="H42" s="114" t="s">
        <v>6141</v>
      </c>
      <c r="I42" s="114" t="s">
        <v>6141</v>
      </c>
      <c r="J42" s="114" t="s">
        <v>6141</v>
      </c>
      <c r="K42" s="374" t="s">
        <v>6142</v>
      </c>
      <c r="L42" s="373"/>
      <c r="M42" s="117" t="s">
        <v>6143</v>
      </c>
      <c r="N42" s="117" t="s">
        <v>6143</v>
      </c>
      <c r="O42" s="117" t="s">
        <v>6143</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6144</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6145</v>
      </c>
      <c r="AK42" s="368"/>
      <c r="AL42" s="117" t="s">
        <v>6146</v>
      </c>
      <c r="AM42" s="117" t="s">
        <v>6146</v>
      </c>
      <c r="AN42" s="117" t="s">
        <v>6146</v>
      </c>
      <c r="AO42" s="139" t="s">
        <v>6147</v>
      </c>
      <c r="AP42" s="182"/>
      <c r="AQ42" s="176" t="s">
        <v>6148</v>
      </c>
      <c r="AR42" s="176" t="s">
        <v>6148</v>
      </c>
      <c r="AS42" s="176" t="s">
        <v>6148</v>
      </c>
    </row>
    <row r="43">
      <c r="A43" s="377" t="s">
        <v>6149</v>
      </c>
      <c r="B43" s="373"/>
      <c r="C43" s="114" t="s">
        <v>6150</v>
      </c>
      <c r="D43" s="127"/>
      <c r="E43" s="127"/>
      <c r="F43" s="372" t="s">
        <v>6151</v>
      </c>
      <c r="G43" s="373"/>
      <c r="H43" s="114" t="s">
        <v>6152</v>
      </c>
      <c r="I43" s="127"/>
      <c r="J43" s="127"/>
      <c r="K43" s="374" t="s">
        <v>6153</v>
      </c>
      <c r="L43" s="373"/>
      <c r="M43" s="117" t="s">
        <v>6154</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6155</v>
      </c>
      <c r="AK43" s="368"/>
      <c r="AL43" s="117" t="s">
        <v>6156</v>
      </c>
      <c r="AM43" s="121"/>
      <c r="AN43" s="121"/>
      <c r="AO43" s="94" t="s">
        <v>6157</v>
      </c>
      <c r="AP43" s="182"/>
      <c r="AQ43" s="176" t="s">
        <v>6158</v>
      </c>
      <c r="AR43" s="176" t="s">
        <v>5845</v>
      </c>
      <c r="AS43" s="141"/>
    </row>
    <row r="44">
      <c r="A44" s="372" t="s">
        <v>6159</v>
      </c>
      <c r="B44" s="373"/>
      <c r="C44" s="114" t="s">
        <v>5993</v>
      </c>
      <c r="D44" s="114" t="s">
        <v>5833</v>
      </c>
      <c r="E44" s="127"/>
      <c r="F44" s="372" t="s">
        <v>6160</v>
      </c>
      <c r="G44" s="373"/>
      <c r="H44" s="114" t="s">
        <v>5995</v>
      </c>
      <c r="I44" s="114" t="s">
        <v>5836</v>
      </c>
      <c r="J44" s="127"/>
      <c r="K44" s="374" t="s">
        <v>6161</v>
      </c>
      <c r="L44" s="373"/>
      <c r="M44" s="117" t="s">
        <v>5997</v>
      </c>
      <c r="N44" s="117" t="s">
        <v>5839</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6162</v>
      </c>
      <c r="AA44" s="368"/>
      <c r="AB44" s="117" t="s">
        <v>5999</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6163</v>
      </c>
      <c r="AK44" s="368"/>
      <c r="AL44" s="117" t="s">
        <v>6001</v>
      </c>
      <c r="AM44" s="117" t="s">
        <v>5842</v>
      </c>
      <c r="AN44" s="121"/>
      <c r="AO44" s="139" t="s">
        <v>6161</v>
      </c>
      <c r="AP44" s="182"/>
      <c r="AQ44" s="176" t="s">
        <v>6003</v>
      </c>
      <c r="AR44" s="141"/>
      <c r="AS44" s="141"/>
    </row>
    <row r="45">
      <c r="A45" s="372" t="s">
        <v>6164</v>
      </c>
      <c r="B45" s="373"/>
      <c r="C45" s="114" t="s">
        <v>5880</v>
      </c>
      <c r="D45" s="127"/>
      <c r="E45" s="127"/>
      <c r="F45" s="372" t="s">
        <v>5912</v>
      </c>
      <c r="G45" s="373"/>
      <c r="H45" s="114" t="s">
        <v>5882</v>
      </c>
      <c r="I45" s="127"/>
      <c r="J45" s="127"/>
      <c r="K45" s="374" t="s">
        <v>6165</v>
      </c>
      <c r="L45" s="373"/>
      <c r="M45" s="117" t="s">
        <v>5885</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6166</v>
      </c>
      <c r="AA45" s="368"/>
      <c r="AB45" s="117" t="s">
        <v>5887</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6167</v>
      </c>
      <c r="AK45" s="368"/>
      <c r="AL45" s="117" t="s">
        <v>5889</v>
      </c>
      <c r="AM45" s="121"/>
      <c r="AN45" s="121"/>
      <c r="AO45" s="139" t="s">
        <v>6168</v>
      </c>
      <c r="AP45" s="182"/>
      <c r="AQ45" s="176" t="s">
        <v>5890</v>
      </c>
      <c r="AR45" s="141"/>
      <c r="AS45" s="141"/>
    </row>
    <row r="46">
      <c r="A46" s="372" t="s">
        <v>6169</v>
      </c>
      <c r="B46" s="359" t="s">
        <v>757</v>
      </c>
      <c r="C46" s="114" t="s">
        <v>4027</v>
      </c>
      <c r="D46" s="114" t="s">
        <v>4044</v>
      </c>
      <c r="E46" s="127"/>
      <c r="F46" s="372" t="s">
        <v>6170</v>
      </c>
      <c r="G46" s="359" t="s">
        <v>757</v>
      </c>
      <c r="H46" s="114" t="s">
        <v>5985</v>
      </c>
      <c r="I46" s="114" t="s">
        <v>6171</v>
      </c>
      <c r="J46" s="127"/>
      <c r="K46" s="374" t="s">
        <v>6172</v>
      </c>
      <c r="L46" s="359" t="s">
        <v>757</v>
      </c>
      <c r="M46" s="117" t="s">
        <v>4029</v>
      </c>
      <c r="N46" s="117" t="s">
        <v>4046</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6173</v>
      </c>
      <c r="AA46" s="380" t="s">
        <v>757</v>
      </c>
      <c r="AB46" s="121" t="str">
        <f>IFERROR(__xludf.DUMMYFUNCTION("GOOGLETRANSLATE(C46,""zh-tw"",""KO"")"),"감자")</f>
        <v>감자</v>
      </c>
      <c r="AC46" s="309" t="s">
        <v>6174</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6175</v>
      </c>
      <c r="AK46" s="368" t="s">
        <v>757</v>
      </c>
      <c r="AL46" s="117" t="s">
        <v>4032</v>
      </c>
      <c r="AM46" s="117" t="s">
        <v>6176</v>
      </c>
      <c r="AN46" s="121"/>
      <c r="AO46" s="139" t="s">
        <v>6177</v>
      </c>
      <c r="AP46" s="378" t="s">
        <v>757</v>
      </c>
      <c r="AQ46" s="176" t="s">
        <v>4034</v>
      </c>
      <c r="AR46" s="176" t="s">
        <v>4050</v>
      </c>
      <c r="AS46" s="141"/>
    </row>
    <row r="47">
      <c r="A47" s="372" t="s">
        <v>6178</v>
      </c>
      <c r="B47" s="359" t="s">
        <v>757</v>
      </c>
      <c r="C47" s="114" t="s">
        <v>4044</v>
      </c>
      <c r="D47" s="127"/>
      <c r="E47" s="127"/>
      <c r="F47" s="372" t="s">
        <v>6179</v>
      </c>
      <c r="G47" s="359" t="s">
        <v>757</v>
      </c>
      <c r="H47" s="114" t="s">
        <v>6171</v>
      </c>
      <c r="I47" s="127"/>
      <c r="J47" s="127"/>
      <c r="K47" s="374" t="s">
        <v>6180</v>
      </c>
      <c r="L47" s="359" t="s">
        <v>757</v>
      </c>
      <c r="M47" s="117" t="s">
        <v>4046</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6181</v>
      </c>
      <c r="AA47" s="380" t="s">
        <v>757</v>
      </c>
      <c r="AB47" s="309" t="s">
        <v>6174</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6182</v>
      </c>
      <c r="AK47" s="368" t="s">
        <v>757</v>
      </c>
      <c r="AL47" s="117" t="s">
        <v>6176</v>
      </c>
      <c r="AM47" s="121"/>
      <c r="AN47" s="121"/>
      <c r="AO47" s="139" t="s">
        <v>6183</v>
      </c>
      <c r="AP47" s="378" t="s">
        <v>757</v>
      </c>
      <c r="AQ47" s="176" t="s">
        <v>4050</v>
      </c>
      <c r="AR47" s="141"/>
      <c r="AS47" s="141"/>
    </row>
    <row r="48">
      <c r="A48" s="372" t="s">
        <v>6184</v>
      </c>
      <c r="B48" s="373"/>
      <c r="C48" s="114" t="s">
        <v>5805</v>
      </c>
      <c r="D48" s="114" t="s">
        <v>5936</v>
      </c>
      <c r="E48" s="127"/>
      <c r="F48" s="372" t="s">
        <v>6185</v>
      </c>
      <c r="G48" s="373"/>
      <c r="H48" s="114" t="s">
        <v>5807</v>
      </c>
      <c r="I48" s="114" t="s">
        <v>5938</v>
      </c>
      <c r="J48" s="127"/>
      <c r="K48" s="374" t="s">
        <v>6186</v>
      </c>
      <c r="L48" s="373"/>
      <c r="M48" s="117" t="s">
        <v>5809</v>
      </c>
      <c r="N48" s="117" t="s">
        <v>5940</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6187</v>
      </c>
      <c r="AA48" s="368"/>
      <c r="AB48" s="309" t="s">
        <v>5810</v>
      </c>
      <c r="AC48" s="117" t="s">
        <v>5941</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6188</v>
      </c>
      <c r="AK48" s="368"/>
      <c r="AL48" s="117" t="s">
        <v>5812</v>
      </c>
      <c r="AM48" s="117" t="s">
        <v>5943</v>
      </c>
      <c r="AN48" s="121"/>
      <c r="AO48" s="139" t="s">
        <v>6189</v>
      </c>
      <c r="AP48" s="182"/>
      <c r="AQ48" s="176" t="s">
        <v>5814</v>
      </c>
      <c r="AR48" s="176" t="s">
        <v>5945</v>
      </c>
      <c r="AS48" s="141"/>
    </row>
    <row r="49">
      <c r="A49" s="372" t="s">
        <v>6190</v>
      </c>
      <c r="B49" s="373"/>
      <c r="C49" s="114" t="s">
        <v>5805</v>
      </c>
      <c r="D49" s="114" t="s">
        <v>5936</v>
      </c>
      <c r="E49" s="127"/>
      <c r="F49" s="372" t="s">
        <v>6191</v>
      </c>
      <c r="G49" s="373"/>
      <c r="H49" s="114" t="s">
        <v>5807</v>
      </c>
      <c r="I49" s="114" t="s">
        <v>5938</v>
      </c>
      <c r="J49" s="127"/>
      <c r="K49" s="374" t="s">
        <v>6192</v>
      </c>
      <c r="L49" s="373"/>
      <c r="M49" s="117" t="s">
        <v>5809</v>
      </c>
      <c r="N49" s="117" t="s">
        <v>5940</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6193</v>
      </c>
      <c r="AA49" s="368"/>
      <c r="AB49" s="309" t="s">
        <v>5810</v>
      </c>
      <c r="AC49" s="309" t="s">
        <v>5941</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6194</v>
      </c>
      <c r="AK49" s="368"/>
      <c r="AL49" s="117" t="s">
        <v>5812</v>
      </c>
      <c r="AM49" s="117" t="s">
        <v>5943</v>
      </c>
      <c r="AN49" s="121"/>
      <c r="AO49" s="139" t="s">
        <v>6195</v>
      </c>
      <c r="AP49" s="182"/>
      <c r="AQ49" s="176" t="s">
        <v>5814</v>
      </c>
      <c r="AR49" s="176" t="s">
        <v>5945</v>
      </c>
      <c r="AS49" s="141"/>
    </row>
    <row r="50">
      <c r="A50" s="372" t="s">
        <v>6196</v>
      </c>
      <c r="B50" s="169" t="s">
        <v>6197</v>
      </c>
      <c r="C50" s="114" t="s">
        <v>5805</v>
      </c>
      <c r="D50" s="114" t="s">
        <v>5936</v>
      </c>
      <c r="E50" s="114" t="s">
        <v>6198</v>
      </c>
      <c r="F50" s="372" t="s">
        <v>6199</v>
      </c>
      <c r="G50" s="169" t="s">
        <v>6200</v>
      </c>
      <c r="H50" s="114" t="s">
        <v>5807</v>
      </c>
      <c r="I50" s="114" t="s">
        <v>5938</v>
      </c>
      <c r="J50" s="114" t="s">
        <v>6201</v>
      </c>
      <c r="K50" s="374" t="s">
        <v>6202</v>
      </c>
      <c r="L50" s="169" t="s">
        <v>6203</v>
      </c>
      <c r="M50" s="117" t="s">
        <v>5809</v>
      </c>
      <c r="N50" s="117" t="s">
        <v>5940</v>
      </c>
      <c r="O50" s="117" t="s">
        <v>6204</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6205</v>
      </c>
      <c r="AA50" s="380" t="s">
        <v>6206</v>
      </c>
      <c r="AB50" s="117" t="s">
        <v>5810</v>
      </c>
      <c r="AC50" s="309" t="s">
        <v>5941</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6207</v>
      </c>
      <c r="AK50" s="368" t="s">
        <v>757</v>
      </c>
      <c r="AL50" s="117" t="s">
        <v>5812</v>
      </c>
      <c r="AM50" s="117" t="s">
        <v>5943</v>
      </c>
      <c r="AN50" s="121" t="str">
        <f>IFERROR(__xludf.DUMMYFUNCTION("GOOGLETRANSLATE(E50,""zh-tw"",""de"")"),"Tomate/Paprika")</f>
        <v>Tomate/Paprika</v>
      </c>
      <c r="AO50" s="139" t="s">
        <v>6208</v>
      </c>
      <c r="AP50" s="381" t="s">
        <v>6209</v>
      </c>
      <c r="AQ50" s="176" t="s">
        <v>5814</v>
      </c>
      <c r="AR50" s="176" t="s">
        <v>5945</v>
      </c>
      <c r="AS50" s="176" t="s">
        <v>6210</v>
      </c>
    </row>
    <row r="51">
      <c r="A51" s="372" t="s">
        <v>6211</v>
      </c>
      <c r="B51" s="373"/>
      <c r="C51" s="114" t="s">
        <v>5833</v>
      </c>
      <c r="D51" s="127"/>
      <c r="E51" s="127"/>
      <c r="F51" s="372" t="s">
        <v>6212</v>
      </c>
      <c r="G51" s="373"/>
      <c r="H51" s="114" t="s">
        <v>5836</v>
      </c>
      <c r="I51" s="127"/>
      <c r="J51" s="127"/>
      <c r="K51" s="374" t="s">
        <v>6213</v>
      </c>
      <c r="L51" s="373"/>
      <c r="M51" s="117" t="s">
        <v>5839</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6214</v>
      </c>
      <c r="AK51" s="368"/>
      <c r="AL51" s="117" t="s">
        <v>5842</v>
      </c>
      <c r="AM51" s="121"/>
      <c r="AN51" s="121"/>
      <c r="AO51" s="139" t="s">
        <v>6215</v>
      </c>
      <c r="AP51" s="182"/>
      <c r="AQ51" s="176" t="s">
        <v>5845</v>
      </c>
      <c r="AR51" s="141"/>
      <c r="AS51" s="141"/>
    </row>
    <row r="52">
      <c r="A52" s="372" t="s">
        <v>6216</v>
      </c>
      <c r="B52" s="373"/>
      <c r="C52" s="114" t="s">
        <v>4017</v>
      </c>
      <c r="D52" s="114" t="s">
        <v>5833</v>
      </c>
      <c r="E52" s="127"/>
      <c r="F52" s="372" t="s">
        <v>6217</v>
      </c>
      <c r="G52" s="373"/>
      <c r="H52" s="114" t="s">
        <v>6218</v>
      </c>
      <c r="I52" s="114" t="s">
        <v>5836</v>
      </c>
      <c r="J52" s="127"/>
      <c r="K52" s="374" t="s">
        <v>6219</v>
      </c>
      <c r="L52" s="373"/>
      <c r="M52" s="117" t="s">
        <v>4019</v>
      </c>
      <c r="N52" s="117" t="s">
        <v>5839</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6220</v>
      </c>
      <c r="AK52" s="368"/>
      <c r="AL52" s="117" t="s">
        <v>6221</v>
      </c>
      <c r="AM52" s="117" t="s">
        <v>5842</v>
      </c>
      <c r="AN52" s="121"/>
      <c r="AO52" s="139" t="s">
        <v>6222</v>
      </c>
      <c r="AP52" s="182"/>
      <c r="AQ52" s="176" t="s">
        <v>4025</v>
      </c>
      <c r="AR52" s="176" t="s">
        <v>5845</v>
      </c>
      <c r="AS52" s="141"/>
    </row>
    <row r="53">
      <c r="A53" s="372" t="s">
        <v>6223</v>
      </c>
      <c r="B53" s="373"/>
      <c r="C53" s="114" t="s">
        <v>4036</v>
      </c>
      <c r="D53" s="127"/>
      <c r="E53" s="127"/>
      <c r="F53" s="372" t="s">
        <v>6224</v>
      </c>
      <c r="G53" s="373"/>
      <c r="H53" s="114" t="s">
        <v>6072</v>
      </c>
      <c r="I53" s="127"/>
      <c r="J53" s="127"/>
      <c r="K53" s="374" t="s">
        <v>6225</v>
      </c>
      <c r="L53" s="373"/>
      <c r="M53" s="117" t="s">
        <v>4038</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6226</v>
      </c>
      <c r="AK53" s="368"/>
      <c r="AL53" s="117" t="s">
        <v>6076</v>
      </c>
      <c r="AM53" s="121"/>
      <c r="AN53" s="121"/>
      <c r="AO53" s="139" t="s">
        <v>6227</v>
      </c>
      <c r="AP53" s="182"/>
      <c r="AQ53" s="176" t="s">
        <v>4034</v>
      </c>
      <c r="AR53" s="141"/>
      <c r="AS53" s="141"/>
    </row>
    <row r="54">
      <c r="A54" s="372" t="s">
        <v>4017</v>
      </c>
      <c r="B54" s="373"/>
      <c r="C54" s="114" t="s">
        <v>4017</v>
      </c>
      <c r="D54" s="127"/>
      <c r="E54" s="127"/>
      <c r="F54" s="372" t="s">
        <v>6228</v>
      </c>
      <c r="G54" s="373"/>
      <c r="H54" s="114" t="s">
        <v>6218</v>
      </c>
      <c r="I54" s="127"/>
      <c r="J54" s="127"/>
      <c r="K54" s="374" t="s">
        <v>4019</v>
      </c>
      <c r="L54" s="373"/>
      <c r="M54" s="117" t="s">
        <v>4019</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6221</v>
      </c>
      <c r="AK54" s="368"/>
      <c r="AL54" s="117" t="s">
        <v>6221</v>
      </c>
      <c r="AM54" s="121"/>
      <c r="AN54" s="121"/>
      <c r="AO54" s="139" t="s">
        <v>4025</v>
      </c>
      <c r="AP54" s="182"/>
      <c r="AQ54" s="176" t="s">
        <v>4025</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6229</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3" t="s">
        <v>6230</v>
      </c>
      <c r="AK1" s="57"/>
      <c r="AL1" s="57"/>
      <c r="AM1" s="57"/>
    </row>
    <row r="2" ht="45.0" customHeight="1">
      <c r="AK2" s="57"/>
      <c r="AL2" s="57"/>
      <c r="AM2" s="57"/>
    </row>
    <row r="3" ht="55.5" customHeight="1">
      <c r="A3" s="384" t="s">
        <v>6231</v>
      </c>
      <c r="B3" s="14" t="s">
        <v>6232</v>
      </c>
      <c r="C3" s="301" t="s">
        <v>6233</v>
      </c>
      <c r="D3" s="159" t="s">
        <v>6234</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6235</v>
      </c>
      <c r="J3" s="14" t="s">
        <v>6236</v>
      </c>
      <c r="K3" s="301" t="s">
        <v>6237</v>
      </c>
      <c r="L3" s="159" t="s">
        <v>6238</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6239</v>
      </c>
      <c r="AH3" s="302" t="s">
        <v>6240</v>
      </c>
      <c r="AI3" s="386" t="s">
        <v>6241</v>
      </c>
      <c r="AJ3" s="387" t="s">
        <v>3680</v>
      </c>
      <c r="AK3" s="159"/>
      <c r="AL3" s="159"/>
      <c r="AM3" s="159"/>
    </row>
    <row r="4" ht="26.25" customHeight="1">
      <c r="A4" s="126" t="s">
        <v>6242</v>
      </c>
      <c r="B4" s="309" t="s">
        <v>6243</v>
      </c>
      <c r="C4" s="311" t="s">
        <v>723</v>
      </c>
      <c r="D4" s="388" t="s">
        <v>6244</v>
      </c>
      <c r="E4" s="126" t="s">
        <v>6245</v>
      </c>
      <c r="F4" s="307" t="str">
        <f>IFERROR(__xludf.DUMMYFUNCTION("GOOGLETRANSLATE(B4,""zh-tw"",""ja"")"),"少し落ち着かない気分")</f>
        <v>少し落ち着かない気分</v>
      </c>
      <c r="G4" s="308" t="str">
        <f>IFERROR(__xludf.DUMMYFUNCTION("GOOGLETRANSLATE(C4,""zh-tw"",""ja"")"),"-")</f>
        <v>-</v>
      </c>
      <c r="H4" s="388" t="s">
        <v>6246</v>
      </c>
      <c r="I4" s="126" t="s">
        <v>6247</v>
      </c>
      <c r="J4" s="309" t="s">
        <v>6248</v>
      </c>
      <c r="K4" s="308" t="str">
        <f>IFERROR(__xludf.DUMMYFUNCTION("GOOGLETRANSLATE(C4,""zh-tw"",""en"")"),"-")</f>
        <v>-</v>
      </c>
      <c r="L4" s="388" t="s">
        <v>6249</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6250</v>
      </c>
      <c r="AH4" s="123" t="s">
        <v>6251</v>
      </c>
      <c r="AI4" s="312" t="s">
        <v>723</v>
      </c>
      <c r="AJ4" s="177" t="s">
        <v>6252</v>
      </c>
      <c r="AK4" s="388"/>
      <c r="AL4" s="388"/>
      <c r="AM4" s="388"/>
    </row>
    <row r="5" ht="26.25" customHeight="1">
      <c r="A5" s="126" t="s">
        <v>6242</v>
      </c>
      <c r="B5" s="309" t="s">
        <v>6253</v>
      </c>
      <c r="C5" s="311" t="s">
        <v>723</v>
      </c>
      <c r="D5" s="388" t="s">
        <v>6254</v>
      </c>
      <c r="E5" s="126" t="s">
        <v>6245</v>
      </c>
      <c r="F5" s="307" t="str">
        <f>IFERROR(__xludf.DUMMYFUNCTION("GOOGLETRANSLATE(B5,""zh-tw"",""ja"")"),"全身が何らかの刺激を求めている")</f>
        <v>全身が何らかの刺激を求めている</v>
      </c>
      <c r="G5" s="311" t="s">
        <v>723</v>
      </c>
      <c r="H5" s="388" t="s">
        <v>6255</v>
      </c>
      <c r="I5" s="126" t="s">
        <v>6247</v>
      </c>
      <c r="J5" s="309" t="s">
        <v>6256</v>
      </c>
      <c r="K5" s="311" t="s">
        <v>723</v>
      </c>
      <c r="L5" s="388" t="s">
        <v>6257</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6250</v>
      </c>
      <c r="AH5" s="123" t="s">
        <v>6258</v>
      </c>
      <c r="AI5" s="312" t="s">
        <v>723</v>
      </c>
      <c r="AJ5" s="177" t="s">
        <v>6259</v>
      </c>
      <c r="AK5" s="388"/>
      <c r="AL5" s="388"/>
      <c r="AM5" s="388"/>
    </row>
    <row r="6" ht="26.25" customHeight="1">
      <c r="A6" s="126" t="s">
        <v>6242</v>
      </c>
      <c r="B6" s="309" t="s">
        <v>6260</v>
      </c>
      <c r="C6" s="311" t="s">
        <v>723</v>
      </c>
      <c r="D6" s="388" t="s">
        <v>6261</v>
      </c>
      <c r="E6" s="126" t="s">
        <v>6245</v>
      </c>
      <c r="F6" s="307" t="str">
        <f>IFERROR(__xludf.DUMMYFUNCTION("GOOGLETRANSLATE(B6,""zh-tw"",""ja"")"),"もう自分をコントロールできない")</f>
        <v>もう自分をコントロールできない</v>
      </c>
      <c r="G6" s="311" t="s">
        <v>723</v>
      </c>
      <c r="H6" s="388" t="s">
        <v>6262</v>
      </c>
      <c r="I6" s="126" t="s">
        <v>6247</v>
      </c>
      <c r="J6" s="309" t="s">
        <v>6263</v>
      </c>
      <c r="K6" s="311" t="s">
        <v>723</v>
      </c>
      <c r="L6" s="388" t="s">
        <v>6264</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6250</v>
      </c>
      <c r="AH6" s="123" t="s">
        <v>6265</v>
      </c>
      <c r="AI6" s="312" t="s">
        <v>723</v>
      </c>
      <c r="AJ6" s="177" t="s">
        <v>6266</v>
      </c>
      <c r="AK6" s="388"/>
      <c r="AL6" s="388"/>
      <c r="AM6" s="388"/>
    </row>
    <row r="7">
      <c r="A7" s="126" t="s">
        <v>6267</v>
      </c>
      <c r="B7" s="309" t="s">
        <v>6268</v>
      </c>
      <c r="C7" s="311" t="s">
        <v>6269</v>
      </c>
      <c r="D7" s="388" t="s">
        <v>6270</v>
      </c>
      <c r="E7" s="126" t="s">
        <v>6271</v>
      </c>
      <c r="F7" s="307" t="str">
        <f>IFERROR(__xludf.DUMMYFUNCTION("GOOGLETRANSLATE(B7,""zh-tw"",""ja"")"),"うおおおおおおおお……！")</f>
        <v>うおおおおおおおお……！</v>
      </c>
      <c r="G7" s="311" t="s">
        <v>6272</v>
      </c>
      <c r="H7" s="388" t="s">
        <v>6273</v>
      </c>
      <c r="I7" s="126" t="s">
        <v>6274</v>
      </c>
      <c r="J7" s="309" t="s">
        <v>6275</v>
      </c>
      <c r="K7" s="311" t="s">
        <v>6276</v>
      </c>
      <c r="L7" s="388" t="s">
        <v>6277</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6274</v>
      </c>
      <c r="AH7" s="123" t="s">
        <v>6275</v>
      </c>
      <c r="AI7" s="312" t="s">
        <v>6278</v>
      </c>
      <c r="AJ7" s="177" t="s">
        <v>6279</v>
      </c>
      <c r="AK7" s="388"/>
      <c r="AL7" s="388"/>
      <c r="AM7" s="388"/>
    </row>
    <row r="8">
      <c r="A8" s="126" t="s">
        <v>6280</v>
      </c>
      <c r="B8" s="309" t="s">
        <v>6281</v>
      </c>
      <c r="C8" s="311" t="s">
        <v>6282</v>
      </c>
      <c r="D8" s="388" t="s">
        <v>6283</v>
      </c>
      <c r="E8" s="126" t="s">
        <v>6284</v>
      </c>
      <c r="F8" s="309" t="s">
        <v>6285</v>
      </c>
      <c r="G8" s="308" t="str">
        <f>IFERROR(__xludf.DUMMYFUNCTION("GOOGLETRANSLATE(C8,""zh-tw"",""ja"")"),"賢者モードに入り、すべての属性が上昇しました")</f>
        <v>賢者モードに入り、すべての属性が上昇しました</v>
      </c>
      <c r="H8" s="388" t="s">
        <v>6286</v>
      </c>
      <c r="I8" s="126" t="s">
        <v>6287</v>
      </c>
      <c r="J8" s="309" t="s">
        <v>6288</v>
      </c>
      <c r="K8" s="311" t="s">
        <v>6289</v>
      </c>
      <c r="L8" s="388" t="s">
        <v>6290</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6291</v>
      </c>
      <c r="AH8" s="123" t="s">
        <v>6292</v>
      </c>
      <c r="AI8" s="312" t="s">
        <v>6293</v>
      </c>
      <c r="AJ8" s="177" t="s">
        <v>6294</v>
      </c>
      <c r="AK8" s="388"/>
      <c r="AL8" s="388"/>
      <c r="AM8" s="388"/>
    </row>
    <row r="9">
      <c r="A9" s="126" t="s">
        <v>6295</v>
      </c>
      <c r="B9" s="309" t="s">
        <v>723</v>
      </c>
      <c r="C9" s="311" t="s">
        <v>6296</v>
      </c>
      <c r="D9" s="388" t="s">
        <v>6297</v>
      </c>
      <c r="E9" s="306" t="str">
        <f>IFERROR(__xludf.DUMMYFUNCTION("GOOGLETRANSLATE(A9,""zh-tw"",""ja"")"),"集中")</f>
        <v>集中</v>
      </c>
      <c r="F9" s="307" t="str">
        <f>IFERROR(__xludf.DUMMYFUNCTION("GOOGLETRANSLATE(B9,""zh-tw"",""ja"")"),"-")</f>
        <v>-</v>
      </c>
      <c r="G9" s="311" t="s">
        <v>6298</v>
      </c>
      <c r="H9" s="388" t="s">
        <v>6299</v>
      </c>
      <c r="I9" s="126" t="s">
        <v>6300</v>
      </c>
      <c r="J9" s="307" t="str">
        <f>IFERROR(__xludf.DUMMYFUNCTION("GOOGLETRANSLATE(B9,""zh-tw"",""en"")"),"-")</f>
        <v>-</v>
      </c>
      <c r="K9" s="311" t="s">
        <v>6301</v>
      </c>
      <c r="L9" s="388" t="s">
        <v>6302</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6303</v>
      </c>
      <c r="AH9" s="123" t="s">
        <v>723</v>
      </c>
      <c r="AI9" s="312" t="s">
        <v>6304</v>
      </c>
      <c r="AJ9" s="177" t="s">
        <v>6305</v>
      </c>
      <c r="AK9" s="388"/>
      <c r="AL9" s="388"/>
      <c r="AM9" s="388"/>
    </row>
    <row r="10">
      <c r="A10" s="126" t="s">
        <v>6306</v>
      </c>
      <c r="B10" s="309" t="s">
        <v>6307</v>
      </c>
      <c r="C10" s="311" t="s">
        <v>723</v>
      </c>
      <c r="D10" s="388" t="s">
        <v>6308</v>
      </c>
      <c r="E10" s="126" t="s">
        <v>6309</v>
      </c>
      <c r="F10" s="309" t="s">
        <v>6310</v>
      </c>
      <c r="G10" s="308" t="str">
        <f>IFERROR(__xludf.DUMMYFUNCTION("GOOGLETRANSLATE(C10,""zh-tw"",""ja"")"),"-")</f>
        <v>-</v>
      </c>
      <c r="H10" s="388" t="s">
        <v>6311</v>
      </c>
      <c r="I10" s="126" t="s">
        <v>6312</v>
      </c>
      <c r="J10" s="309" t="s">
        <v>6313</v>
      </c>
      <c r="K10" s="308" t="str">
        <f>IFERROR(__xludf.DUMMYFUNCTION("GOOGLETRANSLATE(C10,""zh-tw"",""en"")"),"-")</f>
        <v>-</v>
      </c>
      <c r="L10" s="388" t="s">
        <v>6314</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6312</v>
      </c>
      <c r="AH10" s="123" t="s">
        <v>6315</v>
      </c>
      <c r="AI10" s="312" t="s">
        <v>723</v>
      </c>
      <c r="AJ10" s="177" t="s">
        <v>6316</v>
      </c>
      <c r="AK10" s="388"/>
      <c r="AL10" s="388"/>
      <c r="AM10" s="388"/>
    </row>
    <row r="11">
      <c r="A11" s="126" t="s">
        <v>6317</v>
      </c>
      <c r="B11" s="309" t="s">
        <v>723</v>
      </c>
      <c r="C11" s="311" t="s">
        <v>6318</v>
      </c>
      <c r="D11" s="388" t="s">
        <v>6319</v>
      </c>
      <c r="E11" s="126" t="s">
        <v>6320</v>
      </c>
      <c r="F11" s="307" t="str">
        <f>IFERROR(__xludf.DUMMYFUNCTION("GOOGLETRANSLATE(B11,""zh-tw"",""ja"")"),"-")</f>
        <v>-</v>
      </c>
      <c r="G11" s="311" t="s">
        <v>6321</v>
      </c>
      <c r="H11" s="388" t="s">
        <v>6322</v>
      </c>
      <c r="I11" s="126" t="s">
        <v>6323</v>
      </c>
      <c r="J11" s="307" t="str">
        <f>IFERROR(__xludf.DUMMYFUNCTION("GOOGLETRANSLATE(B11,""zh-tw"",""en"")"),"-")</f>
        <v>-</v>
      </c>
      <c r="K11" s="311" t="s">
        <v>6324</v>
      </c>
      <c r="L11" s="388" t="s">
        <v>6325</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6326</v>
      </c>
      <c r="AH11" s="123" t="s">
        <v>723</v>
      </c>
      <c r="AI11" s="312" t="s">
        <v>6327</v>
      </c>
      <c r="AJ11" s="177" t="s">
        <v>6328</v>
      </c>
      <c r="AK11" s="388"/>
      <c r="AL11" s="388"/>
      <c r="AM11" s="388"/>
    </row>
    <row r="12">
      <c r="A12" s="126" t="s">
        <v>6329</v>
      </c>
      <c r="B12" s="309" t="s">
        <v>723</v>
      </c>
      <c r="C12" s="311" t="s">
        <v>6330</v>
      </c>
      <c r="D12" s="388" t="s">
        <v>6331</v>
      </c>
      <c r="E12" s="126" t="s">
        <v>6332</v>
      </c>
      <c r="F12" s="307" t="str">
        <f>IFERROR(__xludf.DUMMYFUNCTION("GOOGLETRANSLATE(B12,""zh-tw"",""ja"")"),"-")</f>
        <v>-</v>
      </c>
      <c r="G12" s="311" t="s">
        <v>6333</v>
      </c>
      <c r="H12" s="388" t="s">
        <v>6334</v>
      </c>
      <c r="I12" s="126" t="s">
        <v>6335</v>
      </c>
      <c r="J12" s="307" t="str">
        <f>IFERROR(__xludf.DUMMYFUNCTION("GOOGLETRANSLATE(B12,""zh-tw"",""en"")"),"-")</f>
        <v>-</v>
      </c>
      <c r="K12" s="311" t="s">
        <v>6336</v>
      </c>
      <c r="L12" s="388" t="s">
        <v>6337</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빙빙 돌면서 어지러움을 느낀다.")</f>
        <v>나는 빙빙 돌면서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6338</v>
      </c>
      <c r="AH12" s="123" t="s">
        <v>723</v>
      </c>
      <c r="AI12" s="312" t="s">
        <v>6339</v>
      </c>
      <c r="AJ12" s="177" t="s">
        <v>6340</v>
      </c>
      <c r="AK12" s="388"/>
      <c r="AL12" s="388"/>
      <c r="AM12" s="388"/>
    </row>
    <row r="13">
      <c r="A13" s="126" t="s">
        <v>6341</v>
      </c>
      <c r="B13" s="309" t="s">
        <v>723</v>
      </c>
      <c r="C13" s="311" t="s">
        <v>6342</v>
      </c>
      <c r="D13" s="388" t="s">
        <v>6343</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6344</v>
      </c>
      <c r="J13" s="307" t="str">
        <f>IFERROR(__xludf.DUMMYFUNCTION("GOOGLETRANSLATE(B13,""zh-tw"",""en"")"),"-")</f>
        <v>-</v>
      </c>
      <c r="K13" s="311" t="s">
        <v>6345</v>
      </c>
      <c r="L13" s="388" t="s">
        <v>6346</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6347</v>
      </c>
      <c r="AH13" s="123" t="s">
        <v>723</v>
      </c>
      <c r="AI13" s="312" t="s">
        <v>6348</v>
      </c>
      <c r="AJ13" s="177" t="s">
        <v>6349</v>
      </c>
      <c r="AK13" s="388"/>
      <c r="AL13" s="388"/>
      <c r="AM13" s="388"/>
    </row>
    <row r="14">
      <c r="A14" s="126" t="s">
        <v>6350</v>
      </c>
      <c r="B14" s="309" t="s">
        <v>6351</v>
      </c>
      <c r="C14" s="311" t="s">
        <v>6352</v>
      </c>
      <c r="D14" s="388" t="s">
        <v>6353</v>
      </c>
      <c r="E14" s="126" t="s">
        <v>6350</v>
      </c>
      <c r="F14" s="309" t="s">
        <v>6354</v>
      </c>
      <c r="G14" s="311" t="s">
        <v>6355</v>
      </c>
      <c r="H14" s="388" t="s">
        <v>6356</v>
      </c>
      <c r="I14" s="126" t="s">
        <v>6357</v>
      </c>
      <c r="J14" s="309" t="s">
        <v>6358</v>
      </c>
      <c r="K14" s="311" t="s">
        <v>6359</v>
      </c>
      <c r="L14" s="388" t="s">
        <v>6360</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6361</v>
      </c>
      <c r="AH14" s="123" t="s">
        <v>6362</v>
      </c>
      <c r="AI14" s="312" t="s">
        <v>6363</v>
      </c>
      <c r="AJ14" s="177" t="s">
        <v>6364</v>
      </c>
      <c r="AK14" s="388"/>
      <c r="AL14" s="388"/>
      <c r="AM14" s="388"/>
    </row>
    <row r="15">
      <c r="A15" s="126" t="s">
        <v>6365</v>
      </c>
      <c r="B15" s="309" t="s">
        <v>6366</v>
      </c>
      <c r="C15" s="311" t="s">
        <v>6367</v>
      </c>
      <c r="D15" s="388" t="s">
        <v>6368</v>
      </c>
      <c r="E15" s="306" t="str">
        <f>IFERROR(__xludf.DUMMYFUNCTION("GOOGLETRANSLATE(A15,""zh-tw"",""ja"")"),"出血")</f>
        <v>出血</v>
      </c>
      <c r="F15" s="309" t="s">
        <v>6369</v>
      </c>
      <c r="G15" s="308" t="str">
        <f>IFERROR(__xludf.DUMMYFUNCTION("GOOGLETRANSLATE(C15,""zh-tw"",""ja"")"),"最大スタミナに応じてダメージを受ける")</f>
        <v>最大スタミナに応じてダメージを受ける</v>
      </c>
      <c r="H15" s="388" t="s">
        <v>6370</v>
      </c>
      <c r="I15" s="306" t="str">
        <f>IFERROR(__xludf.DUMMYFUNCTION("GOOGLETRANSLATE(A15,""zh-tw"",""en"")"),"Bleeding")</f>
        <v>Bleeding</v>
      </c>
      <c r="J15" s="309" t="s">
        <v>6371</v>
      </c>
      <c r="K15" s="311" t="s">
        <v>6372</v>
      </c>
      <c r="L15" s="388" t="s">
        <v>6373</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6374</v>
      </c>
      <c r="AH15" s="123" t="s">
        <v>6375</v>
      </c>
      <c r="AI15" s="312" t="s">
        <v>6376</v>
      </c>
      <c r="AJ15" s="177" t="s">
        <v>6377</v>
      </c>
      <c r="AK15" s="388"/>
      <c r="AL15" s="388"/>
      <c r="AM15" s="388"/>
    </row>
    <row r="16">
      <c r="A16" s="126" t="s">
        <v>6378</v>
      </c>
      <c r="B16" s="309" t="s">
        <v>6379</v>
      </c>
      <c r="C16" s="311" t="s">
        <v>6380</v>
      </c>
      <c r="D16" s="388" t="s">
        <v>6381</v>
      </c>
      <c r="E16" s="126" t="s">
        <v>6382</v>
      </c>
      <c r="F16" s="307" t="str">
        <f>IFERROR(__xludf.DUMMYFUNCTION("GOOGLETRANSLATE(B16,""zh-tw"",""ja"")"),"見てください、この男は雷に打たれました！")</f>
        <v>見てください、この男は雷に打たれました！</v>
      </c>
      <c r="G16" s="311" t="s">
        <v>6383</v>
      </c>
      <c r="H16" s="388" t="s">
        <v>6384</v>
      </c>
      <c r="I16" s="126" t="s">
        <v>6385</v>
      </c>
      <c r="J16" s="309" t="s">
        <v>6386</v>
      </c>
      <c r="K16" s="311" t="s">
        <v>6387</v>
      </c>
      <c r="L16" s="388" t="s">
        <v>6388</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6389</v>
      </c>
      <c r="AH16" s="123" t="s">
        <v>6390</v>
      </c>
      <c r="AI16" s="312" t="s">
        <v>6391</v>
      </c>
      <c r="AJ16" s="177" t="s">
        <v>6392</v>
      </c>
      <c r="AK16" s="388"/>
      <c r="AL16" s="388"/>
      <c r="AM16" s="388"/>
    </row>
    <row r="17">
      <c r="A17" s="126" t="s">
        <v>6393</v>
      </c>
      <c r="B17" s="309" t="s">
        <v>6394</v>
      </c>
      <c r="C17" s="311" t="s">
        <v>6395</v>
      </c>
      <c r="D17" s="388" t="s">
        <v>6396</v>
      </c>
      <c r="E17" s="126" t="s">
        <v>6393</v>
      </c>
      <c r="F17" s="307" t="str">
        <f>IFERROR(__xludf.DUMMYFUNCTION("GOOGLETRANSLATE(B17,""zh-tw"",""ja"")"),"暑い、暑い、暑い——！")</f>
        <v>暑い、暑い、暑い——！</v>
      </c>
      <c r="G17" s="311" t="s">
        <v>6397</v>
      </c>
      <c r="H17" s="388" t="s">
        <v>6398</v>
      </c>
      <c r="I17" s="126" t="s">
        <v>6399</v>
      </c>
      <c r="J17" s="309" t="s">
        <v>6400</v>
      </c>
      <c r="K17" s="311" t="s">
        <v>6401</v>
      </c>
      <c r="L17" s="388" t="s">
        <v>6402</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6403</v>
      </c>
      <c r="AH17" s="123" t="s">
        <v>6404</v>
      </c>
      <c r="AI17" s="312" t="s">
        <v>6405</v>
      </c>
      <c r="AJ17" s="177" t="s">
        <v>6406</v>
      </c>
      <c r="AK17" s="388"/>
      <c r="AL17" s="388"/>
      <c r="AM17" s="388"/>
    </row>
    <row r="18">
      <c r="A18" s="126" t="s">
        <v>6407</v>
      </c>
      <c r="B18" s="309" t="s">
        <v>6408</v>
      </c>
      <c r="C18" s="311" t="s">
        <v>6409</v>
      </c>
      <c r="D18" s="388" t="s">
        <v>3723</v>
      </c>
      <c r="E18" s="126" t="s">
        <v>6410</v>
      </c>
      <c r="F18" s="307" t="str">
        <f>IFERROR(__xludf.DUMMYFUNCTION("GOOGLETRANSLATE(B18,""zh-tw"",""ja"")"),"アイスキャンディーに変身！")</f>
        <v>アイスキャンディーに変身！</v>
      </c>
      <c r="G18" s="311" t="s">
        <v>6411</v>
      </c>
      <c r="H18" s="388" t="s">
        <v>6412</v>
      </c>
      <c r="I18" s="126" t="s">
        <v>6413</v>
      </c>
      <c r="J18" s="309" t="s">
        <v>6414</v>
      </c>
      <c r="K18" s="311" t="s">
        <v>6415</v>
      </c>
      <c r="L18" s="388" t="s">
        <v>3727</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6416</v>
      </c>
      <c r="AH18" s="123" t="s">
        <v>6417</v>
      </c>
      <c r="AI18" s="312" t="s">
        <v>6418</v>
      </c>
      <c r="AJ18" s="177" t="s">
        <v>3733</v>
      </c>
      <c r="AK18" s="388"/>
      <c r="AL18" s="388"/>
      <c r="AM18" s="388"/>
    </row>
    <row r="19">
      <c r="A19" s="126" t="s">
        <v>6419</v>
      </c>
      <c r="B19" s="309" t="s">
        <v>6420</v>
      </c>
      <c r="C19" s="311" t="s">
        <v>6421</v>
      </c>
      <c r="D19" s="388" t="s">
        <v>6422</v>
      </c>
      <c r="E19" s="126" t="s">
        <v>6423</v>
      </c>
      <c r="F19" s="307" t="str">
        <f>IFERROR(__xludf.DUMMYFUNCTION("GOOGLETRANSLATE(B19,""zh-tw"",""ja"")"),"ふふ、逆らうとこうなるのね～♡")</f>
        <v>ふふ、逆らうとこうなるのね～♡</v>
      </c>
      <c r="G19" s="311" t="s">
        <v>6424</v>
      </c>
      <c r="H19" s="389" t="str">
        <f>IFERROR(__xludf.DUMMYFUNCTION("GOOGLETRANSLATE(D19,""zh-tw"",""ja"")"),"ミステリーショップは魚をくれない")</f>
        <v>ミステリーショップは魚をくれない</v>
      </c>
      <c r="I19" s="126" t="s">
        <v>6425</v>
      </c>
      <c r="J19" s="309" t="s">
        <v>6426</v>
      </c>
      <c r="K19" s="311" t="s">
        <v>6427</v>
      </c>
      <c r="L19" s="388" t="s">
        <v>6428</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6429</v>
      </c>
      <c r="AH19" s="123" t="s">
        <v>6430</v>
      </c>
      <c r="AI19" s="312" t="s">
        <v>6431</v>
      </c>
      <c r="AJ19" s="177" t="s">
        <v>6432</v>
      </c>
      <c r="AK19" s="388"/>
      <c r="AL19" s="388"/>
      <c r="AM19" s="388"/>
    </row>
    <row r="20">
      <c r="A20" s="126" t="s">
        <v>6433</v>
      </c>
      <c r="B20" s="309" t="s">
        <v>6434</v>
      </c>
      <c r="C20" s="311" t="s">
        <v>6435</v>
      </c>
      <c r="D20" s="388" t="s">
        <v>6436</v>
      </c>
      <c r="E20" s="126" t="s">
        <v>6437</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6438</v>
      </c>
      <c r="J20" s="309" t="s">
        <v>6439</v>
      </c>
      <c r="K20" s="311" t="s">
        <v>6440</v>
      </c>
      <c r="L20" s="388" t="s">
        <v>6441</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6442</v>
      </c>
      <c r="AH20" s="123" t="s">
        <v>6443</v>
      </c>
      <c r="AI20" s="312" t="s">
        <v>6444</v>
      </c>
      <c r="AJ20" s="177" t="s">
        <v>6445</v>
      </c>
      <c r="AK20" s="388"/>
      <c r="AL20" s="388"/>
      <c r="AM20" s="388"/>
    </row>
    <row r="21">
      <c r="A21" s="126" t="s">
        <v>6446</v>
      </c>
      <c r="B21" s="309" t="s">
        <v>6447</v>
      </c>
      <c r="C21" s="311" t="s">
        <v>6448</v>
      </c>
      <c r="D21" s="388" t="s">
        <v>6449</v>
      </c>
      <c r="E21" s="126" t="s">
        <v>6450</v>
      </c>
      <c r="F21" s="309" t="s">
        <v>6451</v>
      </c>
      <c r="G21" s="311" t="s">
        <v>6452</v>
      </c>
      <c r="H21" s="389" t="str">
        <f>IFERROR(__xludf.DUMMYFUNCTION("GOOGLETRANSLATE(D21,""zh-tw"",""ja"")"),"妹にいたずらをして怒る")</f>
        <v>妹にいたずらをして怒る</v>
      </c>
      <c r="I21" s="126" t="s">
        <v>6453</v>
      </c>
      <c r="J21" s="309" t="s">
        <v>6454</v>
      </c>
      <c r="K21" s="311" t="s">
        <v>6455</v>
      </c>
      <c r="L21" s="388" t="s">
        <v>6456</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6457</v>
      </c>
      <c r="AH21" s="123" t="s">
        <v>6458</v>
      </c>
      <c r="AI21" s="312" t="s">
        <v>6457</v>
      </c>
      <c r="AJ21" s="177" t="s">
        <v>6459</v>
      </c>
      <c r="AK21" s="388"/>
      <c r="AL21" s="388"/>
      <c r="AM21" s="388"/>
    </row>
    <row r="22">
      <c r="A22" s="126" t="s">
        <v>6460</v>
      </c>
      <c r="B22" s="309" t="s">
        <v>6447</v>
      </c>
      <c r="C22" s="311" t="s">
        <v>6461</v>
      </c>
      <c r="D22" s="388" t="s">
        <v>6449</v>
      </c>
      <c r="E22" s="126" t="s">
        <v>6462</v>
      </c>
      <c r="F22" s="309" t="s">
        <v>6451</v>
      </c>
      <c r="G22" s="308" t="str">
        <f>IFERROR(__xludf.DUMMYFUNCTION("GOOGLETRANSLATE(C22,""zh-tw"",""ja"")"),"肉料理の調理")</f>
        <v>肉料理の調理</v>
      </c>
      <c r="H22" s="389" t="str">
        <f>IFERROR(__xludf.DUMMYFUNCTION("GOOGLETRANSLATE(D22,""zh-tw"",""ja"")"),"妹にいたずらをして怒る")</f>
        <v>妹にいたずらをして怒る</v>
      </c>
      <c r="I22" s="126" t="s">
        <v>6463</v>
      </c>
      <c r="J22" s="309" t="s">
        <v>6454</v>
      </c>
      <c r="K22" s="308" t="str">
        <f>IFERROR(__xludf.DUMMYFUNCTION("GOOGLETRANSLATE(C22,""zh-tw"",""en"")"),"Cooking meat dishes")</f>
        <v>Cooking meat dishes</v>
      </c>
      <c r="L22" s="388" t="s">
        <v>6456</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6464</v>
      </c>
      <c r="AH22" s="123" t="s">
        <v>6458</v>
      </c>
      <c r="AI22" s="312" t="s">
        <v>6465</v>
      </c>
      <c r="AJ22" s="177" t="s">
        <v>6459</v>
      </c>
      <c r="AK22" s="388"/>
      <c r="AL22" s="388"/>
      <c r="AM22" s="388"/>
    </row>
    <row r="23">
      <c r="A23" s="126" t="s">
        <v>6466</v>
      </c>
      <c r="B23" s="309" t="s">
        <v>6467</v>
      </c>
      <c r="C23" s="311" t="s">
        <v>6468</v>
      </c>
      <c r="D23" s="388" t="s">
        <v>245</v>
      </c>
      <c r="E23" s="126" t="s">
        <v>301</v>
      </c>
      <c r="F23" s="307" t="str">
        <f>IFERROR(__xludf.DUMMYFUNCTION("GOOGLETRANSLATE(B23,""zh-tw"",""ja"")"),".....")</f>
        <v>.....</v>
      </c>
      <c r="G23" s="311" t="s">
        <v>6469</v>
      </c>
      <c r="H23" s="388" t="s">
        <v>248</v>
      </c>
      <c r="I23" s="126" t="s">
        <v>6470</v>
      </c>
      <c r="J23" s="307" t="str">
        <f>IFERROR(__xludf.DUMMYFUNCTION("GOOGLETRANSLATE(B23,""zh-tw"",""en"")"),".....")</f>
        <v>.....</v>
      </c>
      <c r="K23" s="311" t="s">
        <v>6471</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6472</v>
      </c>
      <c r="AH23" s="123" t="s">
        <v>6473</v>
      </c>
      <c r="AI23" s="312" t="s">
        <v>6474</v>
      </c>
      <c r="AJ23" s="177" t="s">
        <v>265</v>
      </c>
      <c r="AK23" s="388"/>
      <c r="AL23" s="388"/>
      <c r="AM23" s="388"/>
    </row>
    <row r="24">
      <c r="A24" s="126" t="s">
        <v>6475</v>
      </c>
      <c r="B24" s="309" t="s">
        <v>6476</v>
      </c>
      <c r="C24" s="311" t="s">
        <v>6477</v>
      </c>
      <c r="D24" s="388" t="s">
        <v>4291</v>
      </c>
      <c r="E24" s="126" t="s">
        <v>6478</v>
      </c>
      <c r="F24" s="309" t="s">
        <v>6479</v>
      </c>
      <c r="G24" s="308" t="str">
        <f>IFERROR(__xludf.DUMMYFUNCTION("GOOGLETRANSLATE(C24,""zh-tw"",""ja"")"),"体は常に悪臭を放っている")</f>
        <v>体は常に悪臭を放っている</v>
      </c>
      <c r="H24" s="388" t="s">
        <v>4293</v>
      </c>
      <c r="I24" s="126" t="s">
        <v>6480</v>
      </c>
      <c r="J24" s="309" t="s">
        <v>6481</v>
      </c>
      <c r="K24" s="311" t="s">
        <v>6482</v>
      </c>
      <c r="L24" s="388" t="s">
        <v>4294</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6483</v>
      </c>
      <c r="AH24" s="123" t="s">
        <v>6484</v>
      </c>
      <c r="AI24" s="312" t="s">
        <v>6485</v>
      </c>
      <c r="AJ24" s="177" t="s">
        <v>4299</v>
      </c>
      <c r="AK24" s="388"/>
      <c r="AL24" s="388"/>
      <c r="AM24" s="388"/>
    </row>
    <row r="25">
      <c r="A25" s="126" t="s">
        <v>6486</v>
      </c>
      <c r="B25" s="309" t="s">
        <v>6487</v>
      </c>
      <c r="C25" s="311" t="s">
        <v>6488</v>
      </c>
      <c r="D25" s="388" t="s">
        <v>6489</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6490</v>
      </c>
      <c r="J25" s="309" t="s">
        <v>6491</v>
      </c>
      <c r="K25" s="311" t="s">
        <v>6492</v>
      </c>
      <c r="L25" s="388" t="s">
        <v>6493</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6494</v>
      </c>
      <c r="AH25" s="123" t="s">
        <v>6495</v>
      </c>
      <c r="AI25" s="312" t="s">
        <v>6496</v>
      </c>
      <c r="AJ25" s="177" t="s">
        <v>6497</v>
      </c>
      <c r="AK25" s="388"/>
      <c r="AL25" s="388"/>
      <c r="AM25" s="388"/>
    </row>
    <row r="26">
      <c r="A26" s="126" t="s">
        <v>6498</v>
      </c>
      <c r="B26" s="309" t="s">
        <v>6499</v>
      </c>
      <c r="C26" s="311" t="s">
        <v>6500</v>
      </c>
      <c r="D26" s="388" t="s">
        <v>6501</v>
      </c>
      <c r="E26" s="126" t="s">
        <v>6502</v>
      </c>
      <c r="F26" s="309" t="s">
        <v>6503</v>
      </c>
      <c r="G26" s="308" t="str">
        <f>IFERROR(__xludf.DUMMYFUNCTION("GOOGLETRANSLATE(C26,""zh-tw"",""ja"")"),"攻撃力+50%")</f>
        <v>攻撃力+50%</v>
      </c>
      <c r="H26" s="389" t="str">
        <f>IFERROR(__xludf.DUMMYFUNCTION("GOOGLETRANSLATE(D26,""zh-tw"",""ja"")"),"食べ物")</f>
        <v>食べ物</v>
      </c>
      <c r="I26" s="126" t="s">
        <v>6504</v>
      </c>
      <c r="J26" s="309" t="s">
        <v>6505</v>
      </c>
      <c r="K26" s="311" t="s">
        <v>6506</v>
      </c>
      <c r="L26" s="388" t="s">
        <v>6507</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6508</v>
      </c>
      <c r="AH26" s="123" t="s">
        <v>6509</v>
      </c>
      <c r="AI26" s="312" t="s">
        <v>6510</v>
      </c>
      <c r="AJ26" s="177" t="s">
        <v>6511</v>
      </c>
      <c r="AK26" s="388"/>
      <c r="AL26" s="388"/>
      <c r="AM26" s="388"/>
    </row>
    <row r="27">
      <c r="A27" s="126" t="s">
        <v>6512</v>
      </c>
      <c r="B27" s="309" t="s">
        <v>6513</v>
      </c>
      <c r="C27" s="311" t="s">
        <v>6514</v>
      </c>
      <c r="D27" s="388" t="s">
        <v>6501</v>
      </c>
      <c r="E27" s="126" t="s">
        <v>6515</v>
      </c>
      <c r="F27" s="309" t="s">
        <v>6516</v>
      </c>
      <c r="G27" s="308" t="str">
        <f>IFERROR(__xludf.DUMMYFUNCTION("GOOGLETRANSLATE(C27,""zh-tw"",""ja"")"),"魔法力+50%")</f>
        <v>魔法力+50%</v>
      </c>
      <c r="H27" s="389" t="str">
        <f>IFERROR(__xludf.DUMMYFUNCTION("GOOGLETRANSLATE(D27,""zh-tw"",""ja"")"),"食べ物")</f>
        <v>食べ物</v>
      </c>
      <c r="I27" s="126" t="s">
        <v>6517</v>
      </c>
      <c r="J27" s="309" t="s">
        <v>6518</v>
      </c>
      <c r="K27" s="311" t="s">
        <v>6519</v>
      </c>
      <c r="L27" s="388" t="s">
        <v>6507</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6520</v>
      </c>
      <c r="AH27" s="123" t="s">
        <v>6521</v>
      </c>
      <c r="AI27" s="312" t="s">
        <v>6522</v>
      </c>
      <c r="AJ27" s="177" t="s">
        <v>6511</v>
      </c>
      <c r="AK27" s="388"/>
      <c r="AL27" s="388"/>
      <c r="AM27" s="388"/>
    </row>
    <row r="28">
      <c r="A28" s="126" t="s">
        <v>6523</v>
      </c>
      <c r="B28" s="309" t="s">
        <v>6524</v>
      </c>
      <c r="C28" s="311" t="s">
        <v>6525</v>
      </c>
      <c r="D28" s="388" t="s">
        <v>6501</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6526</v>
      </c>
      <c r="J28" s="309" t="s">
        <v>6527</v>
      </c>
      <c r="K28" s="311" t="s">
        <v>6528</v>
      </c>
      <c r="L28" s="388" t="s">
        <v>6507</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6529</v>
      </c>
      <c r="AH28" s="123" t="s">
        <v>6530</v>
      </c>
      <c r="AI28" s="312" t="s">
        <v>6531</v>
      </c>
      <c r="AJ28" s="177" t="s">
        <v>6511</v>
      </c>
      <c r="AK28" s="388"/>
      <c r="AL28" s="388"/>
      <c r="AM28" s="388"/>
    </row>
    <row r="29">
      <c r="A29" s="126" t="s">
        <v>6532</v>
      </c>
      <c r="B29" s="309" t="s">
        <v>6533</v>
      </c>
      <c r="C29" s="311" t="s">
        <v>6534</v>
      </c>
      <c r="D29" s="388" t="s">
        <v>6535</v>
      </c>
      <c r="E29" s="306" t="str">
        <f>IFERROR(__xludf.DUMMYFUNCTION("GOOGLETRANSLATE(A29,""zh-tw"",""ja"")"),"巨神兵")</f>
        <v>巨神兵</v>
      </c>
      <c r="F29" s="309" t="s">
        <v>6536</v>
      </c>
      <c r="G29" s="311" t="s">
        <v>6537</v>
      </c>
      <c r="H29" s="389" t="str">
        <f>IFERROR(__xludf.DUMMYFUNCTION("GOOGLETRANSLATE(D29,""zh-tw"",""ja"")"),"タロット")</f>
        <v>タロット</v>
      </c>
      <c r="I29" s="126" t="s">
        <v>6538</v>
      </c>
      <c r="J29" s="309" t="s">
        <v>6539</v>
      </c>
      <c r="K29" s="311" t="s">
        <v>6540</v>
      </c>
      <c r="L29" s="388" t="s">
        <v>6541</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6542</v>
      </c>
      <c r="AH29" s="123" t="s">
        <v>6543</v>
      </c>
      <c r="AI29" s="312" t="s">
        <v>6544</v>
      </c>
      <c r="AJ29" s="177" t="s">
        <v>6545</v>
      </c>
      <c r="AK29" s="388"/>
      <c r="AL29" s="388"/>
      <c r="AM29" s="388"/>
    </row>
    <row r="30">
      <c r="A30" s="126" t="s">
        <v>6546</v>
      </c>
      <c r="B30" s="309" t="s">
        <v>6547</v>
      </c>
      <c r="C30" s="311" t="s">
        <v>6548</v>
      </c>
      <c r="D30" s="388" t="s">
        <v>6535</v>
      </c>
      <c r="E30" s="126" t="s">
        <v>6549</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6550</v>
      </c>
      <c r="J30" s="309" t="s">
        <v>6551</v>
      </c>
      <c r="K30" s="308" t="str">
        <f>IFERROR(__xludf.DUMMYFUNCTION("GOOGLETRANSLATE(C30,""zh-tw"",""en"")"),"With the blessing of fate, it is easier to encounter happy things!")</f>
        <v>With the blessing of fate, it is easier to encounter happy things!</v>
      </c>
      <c r="L30" s="388" t="s">
        <v>6552</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6553</v>
      </c>
      <c r="AH30" s="123" t="s">
        <v>6554</v>
      </c>
      <c r="AI30" s="312" t="s">
        <v>6555</v>
      </c>
      <c r="AJ30" s="177" t="s">
        <v>6556</v>
      </c>
      <c r="AK30" s="388"/>
      <c r="AL30" s="388"/>
      <c r="AM30" s="388"/>
    </row>
    <row r="31">
      <c r="A31" s="126" t="s">
        <v>6557</v>
      </c>
      <c r="B31" s="309" t="s">
        <v>6558</v>
      </c>
      <c r="C31" s="311" t="s">
        <v>6559</v>
      </c>
      <c r="D31" s="388" t="s">
        <v>6535</v>
      </c>
      <c r="E31" s="126" t="s">
        <v>6560</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6561</v>
      </c>
      <c r="J31" s="309" t="s">
        <v>6562</v>
      </c>
      <c r="K31" s="308" t="str">
        <f>IFERROR(__xludf.DUMMYFUNCTION("GOOGLETRANSLATE(C31,""zh-tw"",""en"")"),"With the blessing of fate, it is easier to encounter sad things!")</f>
        <v>With the blessing of fate, it is easier to encounter sad things!</v>
      </c>
      <c r="L31" s="388" t="s">
        <v>6552</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6563</v>
      </c>
      <c r="AH31" s="123" t="s">
        <v>6564</v>
      </c>
      <c r="AI31" s="312" t="s">
        <v>6565</v>
      </c>
      <c r="AJ31" s="177" t="s">
        <v>6556</v>
      </c>
      <c r="AK31" s="388"/>
      <c r="AL31" s="388"/>
      <c r="AM31" s="388"/>
    </row>
    <row r="32">
      <c r="A32" s="126" t="s">
        <v>6566</v>
      </c>
      <c r="B32" s="309" t="s">
        <v>6567</v>
      </c>
      <c r="C32" s="311" t="s">
        <v>6568</v>
      </c>
      <c r="D32" s="388" t="s">
        <v>5467</v>
      </c>
      <c r="E32" s="126" t="s">
        <v>6569</v>
      </c>
      <c r="F32" s="309" t="s">
        <v>6570</v>
      </c>
      <c r="G32" s="311" t="s">
        <v>6571</v>
      </c>
      <c r="H32" s="388" t="s">
        <v>5469</v>
      </c>
      <c r="I32" s="126" t="s">
        <v>6572</v>
      </c>
      <c r="J32" s="309" t="s">
        <v>6573</v>
      </c>
      <c r="K32" s="311" t="s">
        <v>6574</v>
      </c>
      <c r="L32" s="388" t="s">
        <v>5471</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6575</v>
      </c>
      <c r="AH32" s="123" t="s">
        <v>6576</v>
      </c>
      <c r="AI32" s="312" t="s">
        <v>6577</v>
      </c>
      <c r="AJ32" s="177" t="s">
        <v>5476</v>
      </c>
      <c r="AK32" s="388"/>
      <c r="AL32" s="388"/>
      <c r="AM32" s="388"/>
    </row>
    <row r="33">
      <c r="A33" s="126" t="s">
        <v>6578</v>
      </c>
      <c r="B33" s="309" t="s">
        <v>6579</v>
      </c>
      <c r="C33" s="311" t="s">
        <v>6580</v>
      </c>
      <c r="D33" s="388" t="s">
        <v>6581</v>
      </c>
      <c r="E33" s="126" t="s">
        <v>6582</v>
      </c>
      <c r="F33" s="309" t="s">
        <v>6583</v>
      </c>
      <c r="G33" s="308" t="str">
        <f>IFERROR(__xludf.DUMMYFUNCTION("GOOGLETRANSLATE(C33,""zh-tw"",""ja"")"),"武器の性能を十分に発揮するには体力とスタミナが足りません!")</f>
        <v>武器の性能を十分に発揮するには体力とスタミナが足りません!</v>
      </c>
      <c r="H33" s="388" t="s">
        <v>6584</v>
      </c>
      <c r="I33" s="126" t="s">
        <v>6585</v>
      </c>
      <c r="J33" s="309" t="s">
        <v>6586</v>
      </c>
      <c r="K33" s="311" t="s">
        <v>6587</v>
      </c>
      <c r="L33" s="388" t="s">
        <v>6588</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6589</v>
      </c>
      <c r="AH33" s="123" t="s">
        <v>6590</v>
      </c>
      <c r="AI33" s="312" t="s">
        <v>6591</v>
      </c>
      <c r="AJ33" s="177" t="s">
        <v>6592</v>
      </c>
      <c r="AK33" s="388"/>
      <c r="AL33" s="388"/>
      <c r="AM33" s="388"/>
    </row>
    <row r="34">
      <c r="A34" s="126" t="s">
        <v>6593</v>
      </c>
      <c r="B34" s="309" t="s">
        <v>6594</v>
      </c>
      <c r="C34" s="311" t="s">
        <v>6595</v>
      </c>
      <c r="D34" s="388" t="s">
        <v>4857</v>
      </c>
      <c r="E34" s="126" t="s">
        <v>6596</v>
      </c>
      <c r="F34" s="307" t="str">
        <f>IFERROR(__xludf.DUMMYFUNCTION("GOOGLETRANSLATE(B34,""zh-tw"",""ja"")"),"あなたに祝福を")</f>
        <v>あなたに祝福を</v>
      </c>
      <c r="G34" s="311" t="s">
        <v>6597</v>
      </c>
      <c r="H34" s="388" t="s">
        <v>4859</v>
      </c>
      <c r="I34" s="126" t="s">
        <v>6598</v>
      </c>
      <c r="J34" s="309" t="s">
        <v>6599</v>
      </c>
      <c r="K34" s="311" t="s">
        <v>6600</v>
      </c>
      <c r="L34" s="388" t="s">
        <v>4860</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6601</v>
      </c>
      <c r="AH34" s="123" t="s">
        <v>6602</v>
      </c>
      <c r="AI34" s="312" t="s">
        <v>6603</v>
      </c>
      <c r="AJ34" s="177" t="s">
        <v>6604</v>
      </c>
      <c r="AK34" s="388"/>
      <c r="AL34" s="388"/>
      <c r="AM34" s="388"/>
    </row>
    <row r="35">
      <c r="A35" s="126" t="s">
        <v>6605</v>
      </c>
      <c r="B35" s="309" t="s">
        <v>723</v>
      </c>
      <c r="C35" s="311" t="s">
        <v>723</v>
      </c>
      <c r="D35" s="388" t="s">
        <v>6606</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6607</v>
      </c>
      <c r="J35" s="307" t="str">
        <f>IFERROR(__xludf.DUMMYFUNCTION("GOOGLETRANSLATE(B35,""zh-tw"",""en"")"),"-")</f>
        <v>-</v>
      </c>
      <c r="K35" s="308" t="str">
        <f>IFERROR(__xludf.DUMMYFUNCTION("GOOGLETRANSLATE(C35,""zh-tw"",""en"")"),"-")</f>
        <v>-</v>
      </c>
      <c r="L35" s="388" t="s">
        <v>6608</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6609</v>
      </c>
      <c r="AH35" s="123" t="s">
        <v>723</v>
      </c>
      <c r="AI35" s="312" t="s">
        <v>723</v>
      </c>
      <c r="AJ35" s="177" t="s">
        <v>6610</v>
      </c>
      <c r="AK35" s="388"/>
      <c r="AL35" s="388"/>
      <c r="AM35" s="388"/>
    </row>
    <row r="36">
      <c r="A36" s="126" t="s">
        <v>6611</v>
      </c>
      <c r="B36" s="309" t="s">
        <v>6612</v>
      </c>
      <c r="C36" s="311" t="s">
        <v>6613</v>
      </c>
      <c r="D36" s="388" t="s">
        <v>4428</v>
      </c>
      <c r="E36" s="126" t="s">
        <v>4430</v>
      </c>
      <c r="F36" s="309" t="s">
        <v>6614</v>
      </c>
      <c r="G36" s="308" t="str">
        <f>IFERROR(__xludf.DUMMYFUNCTION("GOOGLETRANSLATE(C36,""zh-tw"",""ja"")"),"全属性が上昇、一時的に無敵")</f>
        <v>全属性が上昇、一時的に無敵</v>
      </c>
      <c r="H36" s="388" t="s">
        <v>4430</v>
      </c>
      <c r="I36" s="126" t="s">
        <v>4432</v>
      </c>
      <c r="J36" s="309" t="s">
        <v>6615</v>
      </c>
      <c r="K36" s="311" t="s">
        <v>6616</v>
      </c>
      <c r="L36" s="388" t="s">
        <v>4432</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6617</v>
      </c>
      <c r="AH36" s="123" t="s">
        <v>6618</v>
      </c>
      <c r="AI36" s="312" t="s">
        <v>6619</v>
      </c>
      <c r="AJ36" s="177" t="s">
        <v>6617</v>
      </c>
      <c r="AK36" s="388"/>
      <c r="AL36" s="388"/>
      <c r="AM36" s="388"/>
    </row>
    <row r="37">
      <c r="A37" s="126" t="s">
        <v>2515</v>
      </c>
      <c r="B37" s="309" t="s">
        <v>6620</v>
      </c>
      <c r="C37" s="311" t="s">
        <v>6621</v>
      </c>
      <c r="D37" s="388" t="s">
        <v>6622</v>
      </c>
      <c r="E37" s="126" t="s">
        <v>2518</v>
      </c>
      <c r="F37" s="309" t="s">
        <v>6623</v>
      </c>
      <c r="G37" s="308" t="str">
        <f>IFERROR(__xludf.DUMMYFUNCTION("GOOGLETRANSLATE(C37,""zh-tw"",""ja"")"),"体力を回復できない")</f>
        <v>体力を回復できない</v>
      </c>
      <c r="H37" s="388" t="s">
        <v>4064</v>
      </c>
      <c r="I37" s="126" t="s">
        <v>4066</v>
      </c>
      <c r="J37" s="309" t="s">
        <v>6624</v>
      </c>
      <c r="K37" s="311" t="s">
        <v>6625</v>
      </c>
      <c r="L37" s="388" t="s">
        <v>4066</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4072</v>
      </c>
      <c r="AH37" s="123" t="s">
        <v>6626</v>
      </c>
      <c r="AI37" s="312" t="s">
        <v>6627</v>
      </c>
      <c r="AJ37" s="177" t="s">
        <v>4072</v>
      </c>
      <c r="AK37" s="388"/>
      <c r="AL37" s="388"/>
      <c r="AM37" s="388"/>
    </row>
    <row r="38">
      <c r="A38" s="126" t="s">
        <v>6628</v>
      </c>
      <c r="B38" s="309" t="s">
        <v>723</v>
      </c>
      <c r="C38" s="311" t="s">
        <v>6629</v>
      </c>
      <c r="D38" s="388" t="s">
        <v>6630</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6631</v>
      </c>
      <c r="J38" s="307" t="str">
        <f>IFERROR(__xludf.DUMMYFUNCTION("GOOGLETRANSLATE(B38,""zh-tw"",""en"")"),"-")</f>
        <v>-</v>
      </c>
      <c r="K38" s="311" t="s">
        <v>6632</v>
      </c>
      <c r="L38" s="388" t="s">
        <v>6633</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6634</v>
      </c>
      <c r="AH38" s="123" t="s">
        <v>723</v>
      </c>
      <c r="AI38" s="312" t="s">
        <v>6635</v>
      </c>
      <c r="AJ38" s="177" t="s">
        <v>6636</v>
      </c>
      <c r="AK38" s="388"/>
      <c r="AL38" s="388"/>
      <c r="AM38" s="388"/>
    </row>
    <row r="39">
      <c r="A39" s="126" t="s">
        <v>6637</v>
      </c>
      <c r="B39" s="309" t="s">
        <v>6638</v>
      </c>
      <c r="C39" s="311" t="s">
        <v>6639</v>
      </c>
      <c r="D39" s="388" t="s">
        <v>4252</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6640</v>
      </c>
      <c r="J39" s="309" t="s">
        <v>6641</v>
      </c>
      <c r="K39" s="311" t="s">
        <v>6642</v>
      </c>
      <c r="L39" s="388" t="s">
        <v>3829</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6643</v>
      </c>
      <c r="AH39" s="123" t="s">
        <v>6644</v>
      </c>
      <c r="AI39" s="312" t="s">
        <v>6645</v>
      </c>
      <c r="AJ39" s="177" t="s">
        <v>3836</v>
      </c>
      <c r="AK39" s="388"/>
      <c r="AL39" s="388"/>
      <c r="AM39" s="388"/>
    </row>
    <row r="40">
      <c r="A40" s="126" t="s">
        <v>6646</v>
      </c>
      <c r="B40" s="309" t="s">
        <v>6647</v>
      </c>
      <c r="C40" s="311" t="s">
        <v>6648</v>
      </c>
      <c r="D40" s="388" t="s">
        <v>4630</v>
      </c>
      <c r="E40" s="126" t="s">
        <v>6649</v>
      </c>
      <c r="F40" s="309" t="s">
        <v>6650</v>
      </c>
      <c r="G40" s="308" t="str">
        <f>IFERROR(__xludf.DUMMYFUNCTION("GOOGLETRANSLATE(C40,""zh-tw"",""ja"")"),"体力は自動的に回復します")</f>
        <v>体力は自動的に回復します</v>
      </c>
      <c r="H40" s="388" t="s">
        <v>6651</v>
      </c>
      <c r="I40" s="126" t="s">
        <v>6652</v>
      </c>
      <c r="J40" s="309" t="s">
        <v>6653</v>
      </c>
      <c r="K40" s="311" t="s">
        <v>6654</v>
      </c>
      <c r="L40" s="388" t="s">
        <v>6655</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6656</v>
      </c>
      <c r="AH40" s="123" t="s">
        <v>6657</v>
      </c>
      <c r="AI40" s="312" t="s">
        <v>6658</v>
      </c>
      <c r="AJ40" s="177" t="s">
        <v>6659</v>
      </c>
      <c r="AK40" s="388"/>
      <c r="AL40" s="388"/>
      <c r="AM40" s="388"/>
    </row>
    <row r="41">
      <c r="A41" s="126" t="s">
        <v>6660</v>
      </c>
      <c r="B41" s="309" t="s">
        <v>6661</v>
      </c>
      <c r="C41" s="311" t="s">
        <v>6662</v>
      </c>
      <c r="D41" s="388" t="s">
        <v>6663</v>
      </c>
      <c r="E41" s="126" t="s">
        <v>6664</v>
      </c>
      <c r="F41" s="309" t="s">
        <v>6665</v>
      </c>
      <c r="G41" s="311" t="s">
        <v>6666</v>
      </c>
      <c r="H41" s="388" t="s">
        <v>6667</v>
      </c>
      <c r="I41" s="126" t="s">
        <v>6668</v>
      </c>
      <c r="J41" s="309" t="s">
        <v>6669</v>
      </c>
      <c r="K41" s="311" t="s">
        <v>6670</v>
      </c>
      <c r="L41" s="388" t="s">
        <v>6671</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6672</v>
      </c>
      <c r="AH41" s="123" t="s">
        <v>6673</v>
      </c>
      <c r="AI41" s="312" t="s">
        <v>6674</v>
      </c>
      <c r="AJ41" s="177" t="s">
        <v>6675</v>
      </c>
      <c r="AK41" s="388"/>
      <c r="AL41" s="388"/>
      <c r="AM41" s="388"/>
    </row>
    <row r="42">
      <c r="A42" s="126" t="s">
        <v>6676</v>
      </c>
      <c r="B42" s="309" t="s">
        <v>6677</v>
      </c>
      <c r="C42" s="311" t="s">
        <v>6678</v>
      </c>
      <c r="D42" s="388" t="s">
        <v>6679</v>
      </c>
      <c r="E42" s="126" t="s">
        <v>6680</v>
      </c>
      <c r="F42" s="309" t="s">
        <v>6681</v>
      </c>
      <c r="G42" s="311" t="s">
        <v>6682</v>
      </c>
      <c r="H42" s="388" t="s">
        <v>6683</v>
      </c>
      <c r="I42" s="126" t="s">
        <v>6684</v>
      </c>
      <c r="J42" s="309" t="s">
        <v>6685</v>
      </c>
      <c r="K42" s="311" t="s">
        <v>6686</v>
      </c>
      <c r="L42" s="388" t="s">
        <v>6687</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6688</v>
      </c>
      <c r="AH42" s="123" t="s">
        <v>6689</v>
      </c>
      <c r="AI42" s="312" t="s">
        <v>6690</v>
      </c>
      <c r="AJ42" s="177" t="s">
        <v>6691</v>
      </c>
      <c r="AK42" s="388"/>
      <c r="AL42" s="388"/>
      <c r="AM42" s="388"/>
    </row>
    <row r="43">
      <c r="A43" s="126" t="s">
        <v>6692</v>
      </c>
      <c r="B43" s="309" t="s">
        <v>6693</v>
      </c>
      <c r="C43" s="311" t="s">
        <v>6694</v>
      </c>
      <c r="D43" s="388" t="s">
        <v>6695</v>
      </c>
      <c r="E43" s="126" t="s">
        <v>6696</v>
      </c>
      <c r="F43" s="309" t="s">
        <v>6697</v>
      </c>
      <c r="G43" s="311" t="s">
        <v>6698</v>
      </c>
      <c r="H43" s="388" t="s">
        <v>6699</v>
      </c>
      <c r="I43" s="126" t="s">
        <v>6700</v>
      </c>
      <c r="J43" s="309" t="s">
        <v>6701</v>
      </c>
      <c r="K43" s="311" t="s">
        <v>6702</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1697</v>
      </c>
      <c r="AH43" s="123" t="s">
        <v>6703</v>
      </c>
      <c r="AI43" s="312" t="s">
        <v>6704</v>
      </c>
      <c r="AJ43" s="390"/>
      <c r="AK43" s="388"/>
      <c r="AL43" s="388"/>
      <c r="AM43" s="388"/>
    </row>
    <row r="44">
      <c r="A44" s="126" t="s">
        <v>6705</v>
      </c>
      <c r="B44" s="309" t="s">
        <v>6706</v>
      </c>
      <c r="C44" s="311" t="s">
        <v>6707</v>
      </c>
      <c r="D44" s="388" t="s">
        <v>6708</v>
      </c>
      <c r="E44" s="126" t="s">
        <v>6709</v>
      </c>
      <c r="F44" s="309" t="s">
        <v>6710</v>
      </c>
      <c r="G44" s="311" t="s">
        <v>6711</v>
      </c>
      <c r="H44" s="388" t="s">
        <v>6712</v>
      </c>
      <c r="I44" s="126" t="s">
        <v>6713</v>
      </c>
      <c r="J44" s="309" t="s">
        <v>6714</v>
      </c>
      <c r="K44" s="311" t="s">
        <v>6715</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6716</v>
      </c>
      <c r="AH44" s="123" t="s">
        <v>6717</v>
      </c>
      <c r="AI44" s="312" t="s">
        <v>6718</v>
      </c>
      <c r="AJ44" s="390"/>
      <c r="AK44" s="388"/>
      <c r="AL44" s="388"/>
      <c r="AM44" s="388"/>
    </row>
    <row r="45">
      <c r="A45" s="126" t="s">
        <v>6719</v>
      </c>
      <c r="B45" s="309" t="s">
        <v>6720</v>
      </c>
      <c r="C45" s="311" t="s">
        <v>723</v>
      </c>
      <c r="D45" s="388" t="s">
        <v>5177</v>
      </c>
      <c r="E45" s="126" t="s">
        <v>6721</v>
      </c>
      <c r="F45" s="309" t="s">
        <v>6722</v>
      </c>
      <c r="G45" s="311" t="s">
        <v>723</v>
      </c>
      <c r="H45" s="388" t="s">
        <v>6723</v>
      </c>
      <c r="I45" s="126" t="s">
        <v>5181</v>
      </c>
      <c r="J45" s="309" t="s">
        <v>6724</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6725</v>
      </c>
      <c r="AH45" s="123" t="s">
        <v>6726</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6727</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6728</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6729</v>
      </c>
      <c r="B3" s="30" t="s">
        <v>6729</v>
      </c>
      <c r="C3" s="404" t="s">
        <v>6729</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6730</v>
      </c>
      <c r="B5" s="30" t="str">
        <f>IFERROR(__xludf.DUMMYFUNCTION("GOOGLETRANSLATE(A5,""zh-tw"",""ja"")"),"公式YouTube")</f>
        <v>公式YouTube</v>
      </c>
      <c r="C5" s="404" t="str">
        <f>IFERROR(__xludf.DUMMYFUNCTION("GOOGLETRANSLATE(A5,""zh-tw"",""en"")"),"Official YouTube")</f>
        <v>Official YouTube</v>
      </c>
      <c r="D5" s="158" t="s">
        <v>6731</v>
      </c>
      <c r="E5" s="402"/>
      <c r="F5" s="402"/>
      <c r="G5" s="402"/>
      <c r="H5" s="402"/>
      <c r="I5" s="402"/>
      <c r="J5" s="402"/>
      <c r="K5" s="402"/>
      <c r="L5" s="402"/>
      <c r="M5" s="402"/>
      <c r="N5" s="402"/>
      <c r="O5" s="402"/>
      <c r="P5" s="402"/>
      <c r="Q5" s="402"/>
      <c r="R5" s="402"/>
      <c r="S5" s="402"/>
      <c r="T5" s="402"/>
      <c r="U5" s="402"/>
      <c r="V5" s="402"/>
      <c r="W5" s="402"/>
      <c r="X5" s="402"/>
      <c r="Y5" s="402"/>
      <c r="Z5" s="402"/>
    </row>
    <row r="6">
      <c r="A6" s="403" t="s">
        <v>6732</v>
      </c>
      <c r="B6" s="30" t="str">
        <f>IFERROR(__xludf.DUMMYFUNCTION("GOOGLETRANSLATE(A6,""zh-tw"",""ja"")"),"公式請求書")</f>
        <v>公式請求書</v>
      </c>
      <c r="C6" s="404" t="str">
        <f>IFERROR(__xludf.DUMMYFUNCTION("GOOGLETRANSLATE(A6,""zh-tw"",""en"")"),"Official Billbill")</f>
        <v>Official Billbill</v>
      </c>
      <c r="D6" s="158" t="s">
        <v>6731</v>
      </c>
      <c r="E6" s="402"/>
      <c r="F6" s="402"/>
      <c r="G6" s="402"/>
      <c r="H6" s="402"/>
      <c r="I6" s="402"/>
      <c r="J6" s="402"/>
      <c r="K6" s="402"/>
      <c r="L6" s="402"/>
      <c r="M6" s="402"/>
      <c r="N6" s="402"/>
      <c r="O6" s="402"/>
      <c r="P6" s="402"/>
      <c r="Q6" s="402"/>
      <c r="R6" s="402"/>
      <c r="S6" s="402"/>
      <c r="T6" s="402"/>
      <c r="U6" s="402"/>
      <c r="V6" s="402"/>
      <c r="W6" s="402"/>
      <c r="X6" s="402"/>
      <c r="Y6" s="402"/>
      <c r="Z6" s="402"/>
    </row>
    <row r="7">
      <c r="A7" s="403" t="s">
        <v>6733</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6734</v>
      </c>
      <c r="E7" s="402"/>
      <c r="F7" s="402"/>
      <c r="G7" s="402"/>
      <c r="H7" s="402"/>
      <c r="I7" s="402"/>
      <c r="J7" s="402"/>
      <c r="K7" s="402"/>
      <c r="L7" s="402"/>
      <c r="M7" s="402"/>
      <c r="N7" s="402"/>
      <c r="O7" s="402"/>
      <c r="P7" s="402"/>
      <c r="Q7" s="402"/>
      <c r="R7" s="402"/>
      <c r="S7" s="402"/>
      <c r="T7" s="402"/>
      <c r="U7" s="402"/>
      <c r="V7" s="402"/>
      <c r="W7" s="402"/>
      <c r="X7" s="402"/>
      <c r="Y7" s="402"/>
      <c r="Z7" s="402"/>
    </row>
    <row r="8">
      <c r="A8" s="403" t="s">
        <v>6735</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6734</v>
      </c>
      <c r="E8" s="402"/>
      <c r="F8" s="402"/>
      <c r="G8" s="402"/>
      <c r="H8" s="402"/>
      <c r="I8" s="402"/>
      <c r="J8" s="402"/>
      <c r="K8" s="402"/>
      <c r="L8" s="402"/>
      <c r="M8" s="402"/>
      <c r="N8" s="402"/>
      <c r="O8" s="402"/>
      <c r="P8" s="402"/>
      <c r="Q8" s="402"/>
      <c r="R8" s="402"/>
      <c r="S8" s="402"/>
      <c r="T8" s="402"/>
      <c r="U8" s="402"/>
      <c r="V8" s="402"/>
      <c r="W8" s="402"/>
      <c r="X8" s="402"/>
      <c r="Y8" s="402"/>
      <c r="Z8" s="402"/>
    </row>
    <row r="9">
      <c r="A9" s="403" t="s">
        <v>6736</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6737</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6738</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6739</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6740</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6741</v>
      </c>
      <c r="G1" s="418"/>
      <c r="H1" s="418"/>
      <c r="I1" s="418"/>
      <c r="J1" s="418"/>
      <c r="K1" s="418"/>
      <c r="L1" s="418"/>
      <c r="M1" s="418"/>
      <c r="N1" s="418"/>
      <c r="O1" s="418"/>
      <c r="P1" s="418"/>
      <c r="Q1" s="418"/>
      <c r="R1" s="418"/>
    </row>
    <row r="2">
      <c r="A2" s="419" t="s">
        <v>6742</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6743</v>
      </c>
      <c r="F2" s="422" t="s">
        <v>6744</v>
      </c>
      <c r="G2" s="151"/>
      <c r="H2" s="151"/>
      <c r="I2" s="151"/>
      <c r="J2" s="151"/>
      <c r="K2" s="151"/>
      <c r="L2" s="151"/>
      <c r="M2" s="151"/>
      <c r="N2" s="151"/>
      <c r="O2" s="151"/>
      <c r="P2" s="151"/>
      <c r="Q2" s="151"/>
      <c r="R2" s="151"/>
    </row>
    <row r="3">
      <c r="A3" s="419" t="s">
        <v>6745</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6746</v>
      </c>
      <c r="F3" s="422" t="s">
        <v>6747</v>
      </c>
      <c r="G3" s="151"/>
      <c r="H3" s="151"/>
      <c r="I3" s="151"/>
      <c r="J3" s="151"/>
      <c r="K3" s="151"/>
      <c r="L3" s="151"/>
      <c r="M3" s="151"/>
      <c r="N3" s="151"/>
      <c r="O3" s="151"/>
      <c r="P3" s="151"/>
      <c r="Q3" s="151"/>
      <c r="R3" s="151"/>
    </row>
    <row r="4">
      <c r="A4" s="419" t="s">
        <v>6748</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6749</v>
      </c>
      <c r="F4" s="422" t="s">
        <v>6750</v>
      </c>
      <c r="G4" s="151"/>
      <c r="H4" s="151"/>
      <c r="I4" s="151"/>
      <c r="J4" s="151"/>
      <c r="K4" s="151"/>
      <c r="L4" s="151"/>
      <c r="M4" s="151"/>
      <c r="N4" s="151"/>
      <c r="O4" s="151"/>
      <c r="P4" s="151"/>
      <c r="Q4" s="151"/>
      <c r="R4" s="151"/>
    </row>
    <row r="5">
      <c r="A5" s="419" t="s">
        <v>6751</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6752</v>
      </c>
      <c r="F5" s="422" t="s">
        <v>6753</v>
      </c>
      <c r="G5" s="151"/>
      <c r="H5" s="151"/>
      <c r="I5" s="151"/>
      <c r="J5" s="151"/>
      <c r="K5" s="151"/>
      <c r="L5" s="151"/>
      <c r="M5" s="151"/>
      <c r="N5" s="151"/>
      <c r="O5" s="151"/>
      <c r="P5" s="151"/>
      <c r="Q5" s="151"/>
      <c r="R5" s="151"/>
    </row>
    <row r="6">
      <c r="A6" s="423" t="s">
        <v>6754</v>
      </c>
      <c r="B6" s="424" t="s">
        <v>6755</v>
      </c>
      <c r="C6" s="425" t="s">
        <v>6756</v>
      </c>
      <c r="D6" s="426" t="s">
        <v>6757</v>
      </c>
      <c r="E6" s="427" t="s">
        <v>6758</v>
      </c>
      <c r="F6" s="428" t="s">
        <v>6759</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6760</v>
      </c>
      <c r="B1" s="413" t="s">
        <v>6761</v>
      </c>
      <c r="C1" s="293" t="s">
        <v>6762</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6763</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6764</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6765</v>
      </c>
      <c r="J1" s="416" t="s">
        <v>6766</v>
      </c>
      <c r="K1" s="417" t="s">
        <v>6767</v>
      </c>
      <c r="L1" s="417" t="s">
        <v>6768</v>
      </c>
      <c r="M1" s="418"/>
      <c r="N1" s="418"/>
      <c r="O1" s="418"/>
      <c r="P1" s="418"/>
      <c r="Q1" s="418"/>
      <c r="R1" s="418"/>
      <c r="S1" s="418"/>
      <c r="T1" s="418"/>
      <c r="U1" s="418"/>
      <c r="V1" s="418"/>
      <c r="W1" s="418"/>
    </row>
    <row r="2">
      <c r="A2" s="419" t="s">
        <v>6769</v>
      </c>
      <c r="B2" s="419" t="s">
        <v>6770</v>
      </c>
      <c r="C2" s="125" t="s">
        <v>6771</v>
      </c>
      <c r="D2" s="125" t="str">
        <f>IFERROR(__xludf.DUMMYFUNCTION("GOOGLETRANSLATE(B2,""zh-tw"",""ja"")"),"1 - Google で NVIDIA APP を検索し、NVIDIA アプリを起動します。")</f>
        <v>1 - Google で NVIDIA APP を検索し、NVIDIA アプリを起動します。</v>
      </c>
      <c r="E2" s="433" t="s">
        <v>6772</v>
      </c>
      <c r="F2" s="205" t="str">
        <f>IFERROR(__xludf.DUMMYFUNCTION("GOOGLETRANSLATE(B2,""zh-tw"",""en"")"),"1 - Search for NVIDIA APP on Google and launch the NVIDIA app.")</f>
        <v>1 - Search for NVIDIA APP on Google and launch the NVIDIA app.</v>
      </c>
      <c r="G2" s="434" t="s">
        <v>6773</v>
      </c>
      <c r="H2" s="420" t="str">
        <f>IFERROR(__xludf.DUMMYFUNCTION("GOOGLETRANSLATE(B2,""zh-tw"",""zh"")"),"1 - 在google上搜寻 NVIDIA APP安装，并启动 NVIDIA 应用程式。")</f>
        <v>1 - 在google上搜寻 NVIDIA APP安装，并启动 NVIDIA 应用程式。</v>
      </c>
      <c r="I2" s="421" t="s">
        <v>6774</v>
      </c>
      <c r="J2" s="421" t="s">
        <v>6775</v>
      </c>
      <c r="K2" s="422" t="s">
        <v>6776</v>
      </c>
      <c r="L2" s="422" t="s">
        <v>6777</v>
      </c>
      <c r="M2" s="151"/>
      <c r="N2" s="151"/>
      <c r="O2" s="151"/>
      <c r="P2" s="151"/>
      <c r="Q2" s="151"/>
      <c r="R2" s="151"/>
      <c r="S2" s="151"/>
      <c r="T2" s="151"/>
      <c r="U2" s="151"/>
      <c r="V2" s="151"/>
      <c r="W2" s="151"/>
    </row>
    <row r="3">
      <c r="A3" s="419" t="s">
        <v>6778</v>
      </c>
      <c r="B3" s="419" t="s">
        <v>6779</v>
      </c>
      <c r="C3" s="125" t="s">
        <v>6780</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6781</v>
      </c>
      <c r="F3" s="205" t="str">
        <f>IFERROR(__xludf.DUMMYFUNCTION("GOOGLETRANSLATE(B3,""zh-tw"",""en"")"),"2 - Restart the NVIDIA application after updating to the latest version.")</f>
        <v>2 - Restart the NVIDIA application after updating to the latest version.</v>
      </c>
      <c r="G3" s="434" t="s">
        <v>6782</v>
      </c>
      <c r="H3" s="420" t="str">
        <f>IFERROR(__xludf.DUMMYFUNCTION("GOOGLETRANSLATE(B3,""zh-tw"",""zh"")"),"2 - 在更新至最新版本后重新启动 NVIDIA 应用程式。")</f>
        <v>2 - 在更新至最新版本后重新启动 NVIDIA 应用程式。</v>
      </c>
      <c r="I3" s="421" t="s">
        <v>6783</v>
      </c>
      <c r="J3" s="421" t="s">
        <v>6784</v>
      </c>
      <c r="K3" s="422" t="s">
        <v>6785</v>
      </c>
      <c r="L3" s="422" t="s">
        <v>6786</v>
      </c>
      <c r="M3" s="151"/>
      <c r="N3" s="151"/>
      <c r="O3" s="151"/>
      <c r="P3" s="151"/>
      <c r="Q3" s="151"/>
      <c r="R3" s="151"/>
      <c r="S3" s="151"/>
      <c r="T3" s="151"/>
      <c r="U3" s="151"/>
      <c r="V3" s="151"/>
      <c r="W3" s="151"/>
    </row>
    <row r="4">
      <c r="A4" s="419" t="s">
        <v>6787</v>
      </c>
      <c r="B4" s="419" t="s">
        <v>6788</v>
      </c>
      <c r="C4" s="125" t="s">
        <v>6789</v>
      </c>
      <c r="D4" s="125" t="str">
        <f>IFERROR(__xludf.DUMMYFUNCTION("GOOGLETRANSLATE(B4,""zh-tw"",""ja"")"),"3 - NVIDIA アプリケーションで、グラフィック設定領域に移動します。")</f>
        <v>3 - NVIDIA アプリケーションで、グラフィック設定領域に移動します。</v>
      </c>
      <c r="E4" s="433" t="s">
        <v>6790</v>
      </c>
      <c r="F4" s="205" t="str">
        <f>IFERROR(__xludf.DUMMYFUNCTION("GOOGLETRANSLATE(B4,""zh-tw"",""en"")"),"3 - In the NVIDIA application, go to the Graphics settings area.")</f>
        <v>3 - In the NVIDIA application, go to the Graphics settings area.</v>
      </c>
      <c r="G4" s="434" t="s">
        <v>6791</v>
      </c>
      <c r="H4" s="420" t="str">
        <f>IFERROR(__xludf.DUMMYFUNCTION("GOOGLETRANSLATE(B4,""zh-tw"",""zh"")"),"3 - 在NVIDIA应用程式中，进入图形设置区域。")</f>
        <v>3 - 在NVIDIA应用程式中，进入图形设置区域。</v>
      </c>
      <c r="I4" s="421" t="s">
        <v>6792</v>
      </c>
      <c r="J4" s="421" t="s">
        <v>6793</v>
      </c>
      <c r="K4" s="422" t="s">
        <v>6794</v>
      </c>
      <c r="L4" s="422" t="s">
        <v>6795</v>
      </c>
      <c r="M4" s="151"/>
      <c r="N4" s="151"/>
      <c r="O4" s="151"/>
      <c r="P4" s="151"/>
      <c r="Q4" s="151"/>
      <c r="R4" s="151"/>
      <c r="S4" s="151"/>
      <c r="T4" s="151"/>
      <c r="U4" s="151"/>
      <c r="V4" s="151"/>
      <c r="W4" s="151"/>
    </row>
    <row r="5">
      <c r="A5" s="419" t="s">
        <v>6796</v>
      </c>
      <c r="B5" s="419" t="s">
        <v>6797</v>
      </c>
      <c r="C5" s="125" t="s">
        <v>6798</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6799</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6800</v>
      </c>
      <c r="H5" s="420" t="str">
        <f>IFERROR(__xludf.DUMMYFUNCTION("GOOGLETRANSLATE(B5,""zh-tw"",""zh"")"),"4 - 在「程式设定」中点击三个点，选择「新增程式」，然后寻找游戏的执行档。")</f>
        <v>4 - 在「程式设定」中点击三个点，选择「新增程式」，然后寻找游戏的执行档。</v>
      </c>
      <c r="I5" s="421" t="s">
        <v>6801</v>
      </c>
      <c r="J5" s="421" t="s">
        <v>6802</v>
      </c>
      <c r="K5" s="422" t="s">
        <v>6803</v>
      </c>
      <c r="L5" s="422" t="s">
        <v>6804</v>
      </c>
      <c r="M5" s="151"/>
      <c r="N5" s="151"/>
      <c r="O5" s="151"/>
      <c r="P5" s="151"/>
      <c r="Q5" s="151"/>
      <c r="R5" s="151"/>
      <c r="S5" s="151"/>
      <c r="T5" s="151"/>
      <c r="U5" s="151"/>
      <c r="V5" s="151"/>
      <c r="W5" s="151"/>
    </row>
    <row r="6">
      <c r="A6" s="419" t="s">
        <v>6805</v>
      </c>
      <c r="B6" s="419" t="s">
        <v>6806</v>
      </c>
      <c r="C6" s="125" t="s">
        <v>6807</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6808</v>
      </c>
      <c r="F6" s="205" t="str">
        <f>IFERROR(__xludf.DUMMYFUNCTION("GOOGLETRANSLATE(B6,""zh-tw"",""en"")"),"5 - Set ""Low Latency Mode"" to ""Ultra High"" and the power management mode to ""Optimal Power"".")</f>
        <v>5 - Set "Low Latency Mode" to "Ultra High" and the power management mode to "Optimal Power".</v>
      </c>
      <c r="G6" s="434" t="s">
        <v>6809</v>
      </c>
      <c r="H6" s="420" t="str">
        <f>IFERROR(__xludf.DUMMYFUNCTION("GOOGLETRANSLATE(B6,""zh-tw"",""zh"")"),"5 - 将「低延迟模式」设为「超高」，电源管理模式设为「最佳电源」。")</f>
        <v>5 - 将「低延迟模式」设为「超高」，电源管理模式设为「最佳电源」。</v>
      </c>
      <c r="I6" s="421" t="s">
        <v>6810</v>
      </c>
      <c r="J6" s="421" t="s">
        <v>6811</v>
      </c>
      <c r="K6" s="422" t="s">
        <v>6812</v>
      </c>
      <c r="L6" s="422" t="s">
        <v>6813</v>
      </c>
      <c r="M6" s="151"/>
      <c r="N6" s="151"/>
      <c r="O6" s="151"/>
      <c r="P6" s="151"/>
      <c r="Q6" s="151"/>
      <c r="R6" s="151"/>
      <c r="S6" s="151"/>
      <c r="T6" s="151"/>
      <c r="U6" s="151"/>
      <c r="V6" s="151"/>
      <c r="W6" s="151"/>
    </row>
    <row r="7">
      <c r="A7" s="419" t="s">
        <v>6814</v>
      </c>
      <c r="B7" s="419" t="s">
        <v>6815</v>
      </c>
      <c r="C7" s="125" t="s">
        <v>6816</v>
      </c>
      <c r="D7" s="125" t="str">
        <f>IFERROR(__xludf.DUMMYFUNCTION("GOOGLETRANSLATE(B7,""zh-tw"",""ja"")"),"6-「垂直同期」を「高速」に設定します。")</f>
        <v>6-「垂直同期」を「高速」に設定します。</v>
      </c>
      <c r="E7" s="433" t="s">
        <v>6817</v>
      </c>
      <c r="F7" s="205" t="str">
        <f>IFERROR(__xludf.DUMMYFUNCTION("GOOGLETRANSLATE(B7,""zh-tw"",""en"")"),"6- Set ""Vertical Sync"" to ""Fast"".")</f>
        <v>6- Set "Vertical Sync" to "Fast".</v>
      </c>
      <c r="G7" s="434" t="s">
        <v>6818</v>
      </c>
      <c r="H7" s="420" t="str">
        <f>IFERROR(__xludf.DUMMYFUNCTION("GOOGLETRANSLATE(B7,""zh-tw"",""zh"")"),"6- 将「垂直同步」设为「快速」。")</f>
        <v>6- 将「垂直同步」设为「快速」。</v>
      </c>
      <c r="I7" s="421" t="s">
        <v>6819</v>
      </c>
      <c r="J7" s="421" t="s">
        <v>6820</v>
      </c>
      <c r="K7" s="422" t="s">
        <v>6821</v>
      </c>
      <c r="L7" s="422" t="s">
        <v>6822</v>
      </c>
      <c r="M7" s="151"/>
      <c r="N7" s="151"/>
      <c r="O7" s="151"/>
      <c r="P7" s="151"/>
      <c r="Q7" s="151"/>
      <c r="R7" s="151"/>
      <c r="S7" s="151"/>
      <c r="T7" s="151"/>
      <c r="U7" s="151"/>
      <c r="V7" s="151"/>
      <c r="W7" s="151"/>
    </row>
    <row r="8">
      <c r="A8" s="419" t="s">
        <v>6823</v>
      </c>
      <c r="B8" s="419" t="s">
        <v>6824</v>
      </c>
      <c r="C8" s="125" t="s">
        <v>6825</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6826</v>
      </c>
      <c r="F8" s="205" t="str">
        <f>IFERROR(__xludf.DUMMYFUNCTION("GOOGLETRANSLATE(B8,""zh-tw"",""en"")"),"7 - If your computer cannot handle these options, please follow the best option.")</f>
        <v>7 - If your computer cannot handle these options, please follow the best option.</v>
      </c>
      <c r="G8" s="434" t="s">
        <v>6827</v>
      </c>
      <c r="H8" s="420" t="str">
        <f>IFERROR(__xludf.DUMMYFUNCTION("GOOGLETRANSLATE(B8,""zh-tw"",""zh"")"),"7 - 如果你的电脑无法负荷这些选项，请依照最佳的选项即可。")</f>
        <v>7 - 如果你的电脑无法负荷这些选项，请依照最佳的选项即可。</v>
      </c>
      <c r="I8" s="421" t="s">
        <v>6828</v>
      </c>
      <c r="J8" s="421" t="s">
        <v>6829</v>
      </c>
      <c r="K8" s="422" t="s">
        <v>6830</v>
      </c>
      <c r="L8" s="422" t="s">
        <v>6831</v>
      </c>
      <c r="M8" s="151"/>
      <c r="N8" s="151"/>
      <c r="O8" s="151"/>
      <c r="P8" s="151"/>
      <c r="Q8" s="151"/>
      <c r="R8" s="151"/>
      <c r="S8" s="151"/>
      <c r="T8" s="151"/>
      <c r="U8" s="151"/>
      <c r="V8" s="151"/>
      <c r="W8" s="151"/>
    </row>
    <row r="9">
      <c r="A9" s="419" t="s">
        <v>6832</v>
      </c>
      <c r="B9" s="419" t="s">
        <v>6833</v>
      </c>
      <c r="C9" s="125" t="s">
        <v>6834</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6835</v>
      </c>
      <c r="F9" s="205" t="str">
        <f>IFERROR(__xludf.DUMMYFUNCTION("GOOGLETRANSLATE(B9,""zh-tw"",""en"")"),"8- Now, launch the game and you should experience good and stable performance.")</f>
        <v>8- Now, launch the game and you should experience good and stable performance.</v>
      </c>
      <c r="G9" s="434" t="s">
        <v>6836</v>
      </c>
      <c r="H9" s="420" t="str">
        <f>IFERROR(__xludf.DUMMYFUNCTION("GOOGLETRANSLATE(B9,""zh-tw"",""zh"")"),"8- 现在，将游戏启动，你能体验到良好的稳定性能。")</f>
        <v>8- 现在，将游戏启动，你能体验到良好的稳定性能。</v>
      </c>
      <c r="I9" s="421" t="s">
        <v>6837</v>
      </c>
      <c r="J9" s="421" t="s">
        <v>6838</v>
      </c>
      <c r="K9" s="422" t="s">
        <v>6839</v>
      </c>
      <c r="L9" s="422" t="s">
        <v>6840</v>
      </c>
      <c r="M9" s="151"/>
      <c r="N9" s="151"/>
      <c r="O9" s="151"/>
      <c r="P9" s="151"/>
      <c r="Q9" s="151"/>
      <c r="R9" s="151"/>
      <c r="S9" s="151"/>
      <c r="T9" s="151"/>
      <c r="U9" s="151"/>
      <c r="V9" s="151"/>
      <c r="W9" s="151"/>
    </row>
    <row r="10">
      <c r="A10" s="419"/>
      <c r="B10" s="435" t="s">
        <v>6841</v>
      </c>
      <c r="C10" s="436"/>
      <c r="D10" s="437" t="s">
        <v>6842</v>
      </c>
      <c r="E10" s="438"/>
      <c r="F10" s="439" t="s">
        <v>6756</v>
      </c>
      <c r="G10" s="420"/>
      <c r="H10" s="440" t="s">
        <v>6843</v>
      </c>
      <c r="I10" s="441"/>
      <c r="J10" s="442" t="s">
        <v>6758</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