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C27">
      <text>
        <t xml:space="preserve">Human Translation</t>
      </text>
    </comment>
    <comment authorId="0" ref="D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B30">
      <text>
        <t xml:space="preserve">Human Translator</t>
      </text>
    </comment>
    <comment authorId="0" ref="C30">
      <text>
        <t xml:space="preserve">Human Translation</t>
      </text>
    </comment>
    <comment authorId="0" ref="C31">
      <text>
        <t xml:space="preserve">Human Translation</t>
      </text>
    </comment>
    <comment authorId="0" ref="C32">
      <text>
        <t xml:space="preserve">Human Translation</t>
      </text>
    </comment>
    <comment authorId="0" ref="B33">
      <text>
        <t xml:space="preserve">Human Translator</t>
      </text>
    </comment>
    <comment authorId="0" ref="C33">
      <text>
        <t xml:space="preserve">Human Translation</t>
      </text>
    </comment>
    <comment authorId="0" ref="B34">
      <text>
        <t xml:space="preserve">Human Translator</t>
      </text>
    </comment>
    <comment authorId="0" ref="C34">
      <text>
        <t xml:space="preserve">Human Translation</t>
      </text>
    </comment>
    <comment authorId="0" ref="C35">
      <text>
        <t xml:space="preserve">Human Translation</t>
      </text>
    </comment>
    <comment authorId="0" ref="D35">
      <text>
        <t xml:space="preserve">human translation</t>
      </text>
    </comment>
    <comment authorId="0" ref="C36">
      <text>
        <t xml:space="preserve">Human Translation</t>
      </text>
    </comment>
    <comment authorId="0" ref="C37">
      <text>
        <t xml:space="preserve">Human Translation</t>
      </text>
    </comment>
    <comment authorId="0" ref="B38">
      <text>
        <t xml:space="preserve">Human Translator</t>
      </text>
    </comment>
    <comment authorId="0" ref="C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B40">
      <text>
        <t xml:space="preserve">Human Translator</t>
      </text>
    </comment>
    <comment authorId="0" ref="C40">
      <text>
        <t xml:space="preserve">Human Translation</t>
      </text>
    </comment>
    <comment authorId="0" ref="C41">
      <text>
        <t xml:space="preserve">Human Translation</t>
      </text>
    </comment>
    <comment authorId="0" ref="B42">
      <text>
        <t xml:space="preserve">Human Translator</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C51">
      <text>
        <t xml:space="preserve">Human Translation</t>
      </text>
    </comment>
    <comment authorId="0" ref="C52">
      <text>
        <t xml:space="preserve">Human Translation</t>
      </text>
    </comment>
    <comment authorId="0" ref="B53">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B56">
      <text>
        <t xml:space="preserve">Human Translator</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C66">
      <text>
        <t xml:space="preserve">Human Translation</t>
      </text>
    </comment>
    <comment authorId="0" ref="B67">
      <text>
        <t xml:space="preserve">Human Translator</t>
      </text>
    </comment>
    <comment authorId="0" ref="C67">
      <text>
        <t xml:space="preserve">Human Translation</t>
      </text>
    </comment>
    <comment authorId="0" ref="B68">
      <text>
        <t xml:space="preserve">Human Translator</t>
      </text>
    </comment>
    <comment authorId="0" ref="C68">
      <text>
        <t xml:space="preserve">Human Translation</t>
      </text>
    </comment>
    <comment authorId="0" ref="C69">
      <text>
        <t xml:space="preserve">Human Translation</t>
      </text>
    </comment>
    <comment authorId="0" ref="B70">
      <text>
        <t xml:space="preserve">Human Translator</t>
      </text>
    </comment>
    <comment authorId="0" ref="C70">
      <text>
        <t xml:space="preserve">Human Translation</t>
      </text>
    </comment>
    <comment authorId="0" ref="B71">
      <text>
        <t xml:space="preserve">Human Translator</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C76">
      <text>
        <t xml:space="preserve">Human Translation</t>
      </text>
    </comment>
    <comment authorId="0" ref="C77">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B81">
      <text>
        <t xml:space="preserve">Human Translator</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B84">
      <text>
        <t xml:space="preserve">Human Translator</t>
      </text>
    </comment>
    <comment authorId="0" ref="B85">
      <text>
        <t xml:space="preserve">Human Translator</t>
      </text>
    </comment>
    <comment authorId="0" ref="C85">
      <text>
        <t xml:space="preserve">Human Translation</t>
      </text>
    </comment>
    <comment authorId="0" ref="B86">
      <text>
        <t xml:space="preserve">Human Translator</t>
      </text>
    </comment>
    <comment authorId="0" ref="C87">
      <text>
        <t xml:space="preserve">Human Translation</t>
      </text>
    </comment>
    <comment authorId="0" ref="C88">
      <text>
        <t xml:space="preserve">Human Translation</t>
      </text>
    </comment>
    <comment authorId="0" ref="B89">
      <text>
        <t xml:space="preserve">Human Translator</t>
      </text>
    </comment>
    <comment authorId="0" ref="B90">
      <text>
        <t xml:space="preserve">Human Translator</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D17">
      <text>
        <t xml:space="preserve">Human Translator</t>
      </text>
    </comment>
    <comment authorId="0" ref="E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D22">
      <text>
        <t xml:space="preserve">Human Translator</t>
      </text>
    </comment>
    <comment authorId="0" ref="E22">
      <text>
        <t xml:space="preserve">Human Translation</t>
      </text>
    </comment>
    <comment authorId="0" ref="L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Translator</t>
      </text>
    </comment>
    <comment authorId="0" ref="D29">
      <text>
        <t xml:space="preserve">Human Translator</t>
      </text>
    </comment>
    <comment authorId="0" ref="E29">
      <text>
        <t xml:space="preserve">Human Translation</t>
      </text>
    </comment>
    <comment authorId="0" ref="K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D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E38">
      <text>
        <t xml:space="preserve">Human translation</t>
      </text>
    </comment>
    <comment authorId="0" ref="C39">
      <text>
        <t xml:space="preserve">Human Translator</t>
      </text>
    </comment>
    <comment authorId="0" ref="E39">
      <text>
        <t xml:space="preserve">Human Translator</t>
      </text>
    </comment>
    <comment authorId="0" ref="E40">
      <text>
        <t xml:space="preserve">Human Translator</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<sst xmlns="http://schemas.openxmlformats.org/spreadsheetml/2006/main" count="8509" uniqueCount="7113">
  <si>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</si>
  <si>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</si>
  <si>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</si>
  <si>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</si>
  <si>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2.近期有不肖盜版商人將本網站資料下載並捆售，這是嚴重的侵權，免費觀看並非是能盜用，請盜版者自重。
3.每次更新大版本，建議手動至官方網站下載最新版本，並使用自動更新至最新版本(部分地區需要使用VPN至其他地區，才有此更新功能)。
4.IOS版本，官方暫時不考慮製作。
5.本文件不用申請權限，所有人都可以在最下方的分頁標籤中，直接點選查看。</t>
  </si>
  <si>
    <t>地圖MAP，因目前該分頁的部分語言內容還在製作中，可能無法正常瀏覽，請見諒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</si>
  <si>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</si>
  <si>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</si>
  <si>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</si>
  <si>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</si>
  <si>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</si>
  <si>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</si>
  <si>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</si>
  <si>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</si>
  <si>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</si>
  <si>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</si>
  <si>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</si>
  <si>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</si>
  <si>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</si>
  <si>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</si>
  <si>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</si>
  <si>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</si>
  <si>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</si>
  <si>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</si>
  <si>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</si>
  <si>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</si>
  <si>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</si>
  <si>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</si>
  <si>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</si>
  <si>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</si>
  <si>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</si>
  <si>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</si>
  <si>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</si>
  <si>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</si>
  <si>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</si>
  <si>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</si>
  <si>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</si>
  <si>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</si>
  <si>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</si>
  <si>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</si>
  <si>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</si>
  <si>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</si>
  <si>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</si>
  <si>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</si>
  <si>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</si>
  <si>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</si>
  <si>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</si>
  <si>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</si>
  <si>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</si>
  <si>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協助資料彙整人員：南山、落染
</t>
  </si>
  <si>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</si>
  <si>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</si>
  <si>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</si>
  <si>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</si>
  <si>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</si>
  <si>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</si>
  <si>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</si>
  <si>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</si>
  <si>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</si>
  <si>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</si>
  <si>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</si>
  <si>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</si>
  <si>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</si>
  <si>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</si>
  <si>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</si>
  <si>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</si>
  <si>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</si>
  <si>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</si>
  <si>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</si>
  <si>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</si>
  <si>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</si>
  <si>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</si>
  <si>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</si>
  <si>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</si>
  <si>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</si>
  <si>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</si>
  <si>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</si>
  <si>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</si>
  <si>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</si>
  <si>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</si>
  <si>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</si>
  <si>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</si>
  <si>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</si>
  <si>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</si>
  <si>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</si>
  <si>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</si>
  <si>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</si>
  <si>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</si>
  <si>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</si>
  <si>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</si>
  <si>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</si>
  <si>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</si>
  <si>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</si>
  <si>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</si>
  <si>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</si>
  <si>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</si>
  <si>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</si>
  <si>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</si>
  <si>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</si>
  <si>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</si>
  <si>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</si>
  <si>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</si>
  <si>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</si>
  <si>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</si>
  <si>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</si>
  <si>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</si>
  <si>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</si>
  <si>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</si>
  <si>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</si>
  <si>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</si>
  <si>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</si>
  <si>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</si>
  <si>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</si>
  <si>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</si>
  <si>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</si>
  <si>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</si>
  <si>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</si>
  <si>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</si>
  <si>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</si>
  <si>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</si>
  <si>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</si>
  <si>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</si>
  <si>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</si>
  <si>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</si>
  <si>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</si>
  <si>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</si>
  <si>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</si>
  <si>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</si>
  <si>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</si>
  <si>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</si>
  <si>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</si>
  <si>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</si>
  <si>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</si>
  <si>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</si>
  <si>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</si>
  <si>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</si>
  <si>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</si>
  <si>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</si>
  <si>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</si>
  <si>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</si>
  <si>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</si>
  <si>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</si>
  <si>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</si>
  <si>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</si>
  <si>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</si>
  <si>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</si>
  <si>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</si>
  <si>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</si>
  <si>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</si>
  <si>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</si>
  <si>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</si>
  <si>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</si>
  <si>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</si>
  <si>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</si>
  <si>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</si>
  <si>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</si>
  <si>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</si>
  <si>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</si>
  <si>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</si>
  <si>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</si>
  <si>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</si>
  <si>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</si>
  <si>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</si>
  <si>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</si>
  <si>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</si>
  <si>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</si>
  <si>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</si>
  <si>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</si>
  <si>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</si>
  <si>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</si>
  <si>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</si>
  <si>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</si>
  <si>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</si>
  <si>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</si>
  <si>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</si>
  <si>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</si>
  <si>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</si>
  <si>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</si>
  <si>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</si>
  <si>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</si>
  <si>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</si>
  <si>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</si>
  <si>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</si>
  <si>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</si>
  <si>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</si>
  <si>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</si>
  <si>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</si>
  <si>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</si>
  <si>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</si>
  <si>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</si>
  <si>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</si>
  <si>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</si>
  <si>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</si>
  <si>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</si>
  <si>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</si>
  <si>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</si>
  <si>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</si>
  <si>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</si>
  <si>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</si>
  <si>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</si>
  <si>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</si>
  <si>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</si>
  <si>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</si>
  <si>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</si>
  <si>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</si>
  <si>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</si>
  <si>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</si>
  <si>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</si>
  <si>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</si>
  <si>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</si>
  <si>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</si>
  <si>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</si>
  <si>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</si>
  <si>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</si>
  <si>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</si>
  <si>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</si>
  <si>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</si>
  <si>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</si>
  <si>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</si>
  <si>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</si>
  <si>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</si>
  <si>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</si>
  <si>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</si>
  <si>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</si>
  <si>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</si>
  <si>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</si>
  <si>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</si>
  <si>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</si>
  <si>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</si>
  <si>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</si>
  <si>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</si>
  <si>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</si>
  <si>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</si>
  <si>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</si>
  <si>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</si>
  <si>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</si>
  <si>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</si>
  <si>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</si>
  <si>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</si>
  <si>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</si>
  <si>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</si>
  <si>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</si>
  <si>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</si>
  <si>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</si>
  <si>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</si>
  <si>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</si>
  <si>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</si>
  <si>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</si>
  <si>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</si>
  <si>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</si>
  <si>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</si>
  <si>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</si>
  <si>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</si>
  <si>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</si>
  <si>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</si>
  <si>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</si>
  <si>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</si>
  <si>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</si>
  <si>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</si>
  <si>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</si>
  <si>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</si>
  <si>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</si>
  <si>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</si>
  <si>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</si>
  <si>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</si>
  <si>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</si>
  <si>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</si>
  <si>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</si>
  <si>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</si>
  <si>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</si>
  <si>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</si>
  <si>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</si>
  <si>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</si>
  <si>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</si>
  <si>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</si>
  <si>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</si>
  <si>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</si>
  <si>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</si>
  <si>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</si>
  <si>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</si>
  <si>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</si>
  <si>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</si>
  <si>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</si>
  <si>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</si>
  <si>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</si>
  <si>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</si>
  <si>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</si>
  <si>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</si>
  <si>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</si>
  <si>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</si>
  <si>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</si>
  <si>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</si>
  <si>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</si>
  <si>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</si>
  <si>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</si>
  <si>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</si>
  <si>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</si>
  <si>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</si>
  <si>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</si>
  <si>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</si>
  <si>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</si>
  <si>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</si>
  <si>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</si>
  <si>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</si>
  <si>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</si>
  <si>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</si>
  <si>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</si>
  <si>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</si>
  <si>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</si>
  <si>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</si>
  <si>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</si>
  <si>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</si>
  <si>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</si>
  <si>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</si>
  <si>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</si>
  <si>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</si>
  <si>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</si>
  <si>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</si>
  <si>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</si>
  <si>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</si>
  <si>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</si>
  <si>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</si>
  <si>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</si>
  <si>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</si>
  <si>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</si>
  <si>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</si>
  <si>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</si>
  <si>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</si>
  <si>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</si>
  <si>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</si>
  <si>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</si>
  <si>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</si>
  <si>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</si>
  <si>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</si>
  <si>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</si>
  <si>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</si>
  <si>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</si>
  <si>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</si>
  <si>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</si>
  <si>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</si>
  <si>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</si>
  <si>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</si>
  <si>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</si>
  <si>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</si>
  <si>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</si>
  <si>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</si>
  <si>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</si>
  <si>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</si>
  <si>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</si>
  <si>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</si>
  <si>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</si>
  <si>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</si>
  <si>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</si>
  <si>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</si>
  <si>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</si>
  <si>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</si>
  <si>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</si>
  <si>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</si>
  <si>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</si>
  <si>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</si>
  <si>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</si>
  <si>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</si>
  <si>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</si>
  <si>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</si>
  <si>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</si>
  <si>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</si>
  <si>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</si>
  <si>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</si>
  <si>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</si>
  <si>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</si>
  <si>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</si>
  <si>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</si>
  <si>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</si>
  <si>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</si>
  <si>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</si>
  <si>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</si>
  <si>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</si>
  <si>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</si>
  <si>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</si>
  <si>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</si>
  <si>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</si>
  <si>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</si>
  <si>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</si>
  <si>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</si>
  <si>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</si>
  <si>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</si>
  <si>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</si>
  <si>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</si>
  <si>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</si>
  <si>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</si>
  <si>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</si>
  <si>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</si>
  <si>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</si>
  <si>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</si>
  <si>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</si>
  <si>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</si>
  <si>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</si>
  <si>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</si>
  <si>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</si>
  <si>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</si>
  <si>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</si>
  <si>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</si>
  <si>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</si>
  <si>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</si>
  <si>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</si>
  <si>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</si>
  <si>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</si>
  <si>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</si>
  <si>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</si>
  <si>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</si>
  <si>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</si>
  <si>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</si>
  <si>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</si>
  <si>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</si>
  <si>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</si>
  <si>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</si>
  <si>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</si>
  <si>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</si>
  <si>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</si>
  <si>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</si>
  <si>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</si>
  <si>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</si>
  <si>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</si>
  <si>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</si>
  <si>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</si>
  <si>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</si>
  <si>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</si>
  <si>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</si>
  <si>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</si>
  <si>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</si>
  <si>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</si>
  <si>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</si>
  <si>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</si>
  <si>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</si>
  <si>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</si>
  <si>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</si>
  <si>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</si>
  <si>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</si>
  <si>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</si>
  <si>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</si>
  <si>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</si>
  <si>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</si>
  <si>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</si>
  <si>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</si>
  <si>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</si>
  <si>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</si>
  <si>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</si>
  <si>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</si>
  <si>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</si>
  <si>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</si>
  <si>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</si>
  <si>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</si>
  <si>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</si>
  <si>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</si>
  <si>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</si>
  <si>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</si>
  <si>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</si>
  <si>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</si>
  <si>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</si>
  <si>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</si>
  <si>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</si>
  <si>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</si>
  <si>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</si>
  <si>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</si>
  <si>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</si>
  <si>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</si>
  <si>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</si>
  <si>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</si>
  <si>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</si>
  <si>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</si>
  <si>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</si>
  <si>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</si>
  <si>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</si>
  <si>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</si>
  <si>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</si>
  <si>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</si>
  <si>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</si>
  <si>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</si>
  <si>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</si>
  <si>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</si>
  <si>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</si>
  <si>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</si>
  <si>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</si>
  <si>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</si>
  <si>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</si>
  <si>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</si>
  <si>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</si>
  <si>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</si>
  <si>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</si>
  <si>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</si>
  <si>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</si>
  <si>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</si>
  <si>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</si>
  <si>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</si>
  <si>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</si>
  <si>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</si>
  <si>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</si>
  <si>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</si>
  <si>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</si>
  <si>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</si>
  <si>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</si>
  <si>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</si>
  <si>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</si>
  <si>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</si>
  <si>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</si>
  <si>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</si>
  <si>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</si>
  <si>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</si>
  <si>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</si>
  <si>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</si>
  <si>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</si>
  <si>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</si>
  <si>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</si>
  <si>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</si>
  <si>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</si>
  <si>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</si>
  <si>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</si>
  <si>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</si>
  <si>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</si>
  <si>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</si>
  <si>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</si>
  <si>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</si>
  <si>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</si>
  <si>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</si>
  <si>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</si>
  <si>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</si>
  <si>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</si>
  <si>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</si>
  <si>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</si>
  <si>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</si>
  <si>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</si>
  <si>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</si>
  <si>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</si>
  <si>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</si>
  <si>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</si>
  <si>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</si>
  <si>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</si>
  <si>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</si>
  <si>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</si>
  <si>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</si>
  <si>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</si>
  <si>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</si>
  <si>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</si>
  <si>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</si>
  <si>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</si>
  <si>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</si>
  <si>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</si>
  <si>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</si>
  <si>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</si>
  <si>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</si>
  <si>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</si>
  <si>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</si>
  <si>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</si>
  <si>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</si>
  <si>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</si>
  <si>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</si>
  <si>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</si>
  <si>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</si>
  <si>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</si>
  <si>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</si>
  <si>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</si>
  <si>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</si>
  <si>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</si>
  <si>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</si>
  <si>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</si>
  <si>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</si>
  <si>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</si>
  <si>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</si>
  <si>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</si>
  <si>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</si>
  <si>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</si>
  <si>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</si>
  <si>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</si>
  <si>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</si>
  <si>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</si>
  <si>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</si>
  <si>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</si>
  <si>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</si>
  <si>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</si>
  <si>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</si>
  <si>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</si>
  <si>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</si>
  <si>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</si>
  <si>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</si>
  <si>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</si>
  <si>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</si>
  <si>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</si>
  <si>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</si>
  <si>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</si>
  <si>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</si>
  <si>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</si>
  <si>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</si>
  <si>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</si>
  <si>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</si>
  <si>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</si>
  <si>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</si>
  <si>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</si>
  <si>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</si>
  <si>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</si>
  <si>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</si>
  <si>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</si>
  <si>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</si>
  <si>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</si>
  <si>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</si>
  <si>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</si>
  <si>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</si>
  <si>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</si>
  <si>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</si>
  <si>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</si>
  <si>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</si>
  <si>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</si>
  <si>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</si>
  <si>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</si>
  <si>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</si>
  <si>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</si>
  <si>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</si>
  <si>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</si>
  <si>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</si>
  <si>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</si>
  <si>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</si>
  <si>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</si>
  <si>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</si>
  <si>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</si>
  <si>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</si>
  <si>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</si>
  <si>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</si>
  <si>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</si>
  <si>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</si>
  <si>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</si>
  <si>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</si>
  <si>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</si>
  <si>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</si>
  <si>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</si>
  <si>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</si>
  <si>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</si>
  <si>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</si>
  <si>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</si>
  <si>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</si>
  <si>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</si>
  <si>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</si>
  <si>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</si>
  <si>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</si>
  <si>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</si>
  <si>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</si>
  <si>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</si>
  <si>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</si>
  <si>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</si>
  <si>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</si>
  <si>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</si>
  <si>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</si>
  <si>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</si>
  <si>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</si>
  <si>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</si>
  <si>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</si>
  <si>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</si>
  <si>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</si>
  <si>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</si>
  <si>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</si>
  <si>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</si>
  <si>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</si>
  <si>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</si>
  <si>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</si>
  <si>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</si>
  <si>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</si>
  <si>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</si>
  <si>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</si>
  <si>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</si>
  <si>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</si>
  <si>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</si>
  <si>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</si>
  <si>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</si>
  <si>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</si>
  <si>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</si>
  <si>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</si>
  <si>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</si>
  <si>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</si>
  <si>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</si>
  <si>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</si>
  <si>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</si>
  <si>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</si>
  <si>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</si>
  <si>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</si>
  <si>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</si>
  <si>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</si>
  <si>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</si>
  <si>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</si>
  <si>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</si>
  <si>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</si>
  <si>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</si>
  <si>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</si>
  <si>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</si>
  <si>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</si>
  <si>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</si>
  <si>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</si>
  <si>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</si>
  <si>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</si>
  <si>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</si>
  <si>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</si>
  <si>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</si>
  <si>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</si>
  <si>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</si>
  <si>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</si>
  <si>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</si>
  <si>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</si>
  <si>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</si>
  <si>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</si>
  <si>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</si>
  <si>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</si>
  <si>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</si>
  <si>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</si>
  <si>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</si>
  <si>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</si>
  <si>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</si>
  <si>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</si>
  <si>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</si>
  <si>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</si>
  <si>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</si>
  <si>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</si>
  <si>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</si>
  <si>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</si>
  <si>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</si>
  <si>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</si>
  <si>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</si>
  <si>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</si>
  <si>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</si>
  <si>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</si>
  <si>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</si>
  <si>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</si>
  <si>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</si>
  <si>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</si>
  <si>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</si>
  <si>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</si>
  <si>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</si>
  <si>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</si>
  <si>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</si>
  <si>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</si>
  <si>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</si>
  <si>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</si>
  <si>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</si>
  <si>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</si>
  <si>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</si>
  <si>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</si>
  <si>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</si>
  <si>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</si>
  <si>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</si>
  <si>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</si>
  <si>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</si>
  <si>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</si>
  <si>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</si>
  <si>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</si>
  <si>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</si>
  <si>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</si>
  <si>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</si>
  <si>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</si>
  <si>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</si>
  <si>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</si>
  <si>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</si>
  <si>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</si>
  <si>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</si>
  <si>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</si>
  <si>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</si>
  <si>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</si>
  <si>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</si>
  <si>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</si>
  <si>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</si>
  <si>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</si>
  <si>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</si>
  <si>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</si>
  <si>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</si>
  <si>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</si>
  <si>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</si>
  <si>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</si>
  <si>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</si>
  <si>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</si>
  <si>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</si>
  <si>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</si>
  <si>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</si>
  <si>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</si>
  <si>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</si>
  <si>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</si>
  <si>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</si>
  <si>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</si>
  <si>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</si>
  <si>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</si>
  <si>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</si>
  <si>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</si>
  <si>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</si>
  <si>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</si>
  <si>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</si>
  <si>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</si>
  <si>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</si>
  <si>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</si>
  <si>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</si>
  <si>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</si>
  <si>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</si>
  <si>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</si>
  <si>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</si>
  <si>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</si>
  <si>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</si>
  <si>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</si>
  <si>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</si>
  <si>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</si>
  <si>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</si>
  <si>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</si>
  <si>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</si>
  <si>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</si>
  <si>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</si>
  <si>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</si>
  <si>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</si>
  <si>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</si>
  <si>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</si>
  <si>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</si>
  <si>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</si>
  <si>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</si>
  <si>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</si>
  <si>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</si>
  <si>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</si>
  <si>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</si>
  <si>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</si>
  <si>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</si>
  <si>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</si>
  <si>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</si>
  <si>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</si>
  <si>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</si>
  <si>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</si>
  <si>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</si>
  <si>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</si>
  <si>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</si>
  <si>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</si>
  <si>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</si>
  <si>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</si>
  <si>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</si>
  <si>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</si>
  <si>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</si>
  <si>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</si>
  <si>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</si>
  <si>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</si>
  <si>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</si>
  <si>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</si>
  <si>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</si>
  <si>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</si>
  <si>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</si>
  <si>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</si>
  <si>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</si>
  <si>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</si>
  <si>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</si>
  <si>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</si>
  <si>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</si>
  <si>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</si>
  <si>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</si>
  <si>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</si>
  <si>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</si>
  <si>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</si>
  <si>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</si>
  <si>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</si>
  <si>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</si>
  <si>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</si>
  <si>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</si>
  <si>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</si>
  <si>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</si>
  <si>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</si>
  <si>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</si>
  <si>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</si>
  <si>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</si>
  <si>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</si>
  <si>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</si>
  <si>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</si>
  <si>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</si>
  <si>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</si>
  <si>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</si>
  <si>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</si>
  <si>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</si>
  <si>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</si>
  <si>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</si>
  <si>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</si>
  <si>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</si>
  <si>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</si>
  <si>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</si>
  <si>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</si>
  <si>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</si>
  <si>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</si>
  <si>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</si>
  <si>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</si>
  <si>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</si>
  <si>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</si>
  <si>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</si>
  <si>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</si>
  <si>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</si>
  <si>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</si>
  <si>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</si>
  <si>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</si>
  <si>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</si>
  <si>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</si>
  <si>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</si>
  <si>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</si>
  <si>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</si>
  <si>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</si>
  <si>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</si>
  <si>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</si>
  <si>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</si>
  <si>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</si>
  <si>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</si>
  <si>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</si>
  <si>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</si>
  <si>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</si>
  <si>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</si>
  <si>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</si>
  <si>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</si>
  <si>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</si>
  <si>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</si>
  <si>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</si>
  <si>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</si>
  <si>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</si>
  <si>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</si>
  <si>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</si>
  <si>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</si>
  <si>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</si>
  <si>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</si>
  <si>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</si>
  <si>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</si>
  <si>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</si>
  <si>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</si>
  <si>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</si>
  <si>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</si>
  <si>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</si>
  <si>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</si>
  <si>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</si>
  <si>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</si>
  <si>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</si>
  <si>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</si>
  <si>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</si>
  <si>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</si>
  <si>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</si>
  <si>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</si>
  <si>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</si>
  <si>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</si>
  <si>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</si>
  <si>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</si>
  <si>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</si>
  <si>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</si>
  <si>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</si>
  <si>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</si>
  <si>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</si>
  <si>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</si>
  <si>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</si>
  <si>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</si>
  <si>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</si>
  <si>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</si>
  <si>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</si>
  <si>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</si>
  <si>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</si>
  <si>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</si>
  <si>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</si>
  <si>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</si>
  <si>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</si>
  <si>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</si>
  <si>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</si>
  <si>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</si>
  <si>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</si>
  <si>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</si>
  <si>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</si>
  <si>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</si>
  <si>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</si>
  <si>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</si>
  <si>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</si>
  <si>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</si>
  <si>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</si>
  <si>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</si>
  <si>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</si>
  <si>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</si>
  <si>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</si>
  <si>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</si>
  <si>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</si>
  <si>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</si>
  <si>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</si>
  <si>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</si>
  <si>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</si>
  <si>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</si>
  <si>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</si>
  <si>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</si>
  <si>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</si>
  <si>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</si>
  <si>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</si>
  <si>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</si>
  <si>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</si>
  <si>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</si>
  <si>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</si>
  <si>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</si>
  <si>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</si>
  <si>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</si>
  <si>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</si>
  <si>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</si>
  <si>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</si>
  <si>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</si>
  <si>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</si>
  <si>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</si>
  <si>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</si>
  <si>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</si>
  <si>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</si>
  <si>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</si>
  <si>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</si>
  <si>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</si>
  <si>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</si>
  <si>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</si>
  <si>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</si>
  <si>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</si>
  <si>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</si>
  <si>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</si>
  <si>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</si>
  <si>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</si>
  <si>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</si>
  <si>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</si>
  <si>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</si>
  <si>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</si>
  <si>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</si>
  <si>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</si>
  <si>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</si>
  <si>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</si>
  <si>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</si>
  <si>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</si>
  <si>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</si>
  <si>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</si>
  <si>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</si>
  <si>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</si>
  <si>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</si>
  <si>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</si>
  <si>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</si>
  <si>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</si>
  <si>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</si>
  <si>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</si>
  <si>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</si>
  <si>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</si>
  <si>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</si>
  <si>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</si>
  <si>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</si>
  <si>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</si>
  <si>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</si>
  <si>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</si>
  <si>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</si>
  <si>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</si>
  <si>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</si>
  <si>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</si>
  <si>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</si>
  <si>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</si>
  <si>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</si>
  <si>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</si>
  <si>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</si>
  <si>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</si>
  <si>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</si>
  <si>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</si>
  <si>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</si>
  <si>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</si>
  <si>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</si>
  <si>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</si>
  <si>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</si>
  <si>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</si>
  <si>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</si>
  <si>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</si>
  <si>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</si>
  <si>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</si>
  <si>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</si>
  <si>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</si>
  <si>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</si>
  <si>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</si>
  <si>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</si>
  <si>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</si>
  <si>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</si>
  <si>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</si>
  <si>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</si>
  <si>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</si>
  <si>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</si>
  <si>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</si>
  <si>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</si>
  <si>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</si>
  <si>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</si>
  <si>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</si>
  <si>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</si>
  <si>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</si>
  <si>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</si>
  <si>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</si>
  <si>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</si>
  <si>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</si>
  <si>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</si>
  <si>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</si>
  <si>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</si>
  <si>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</si>
  <si>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</si>
  <si>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</si>
  <si>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</si>
  <si>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</si>
  <si>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</si>
  <si>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</si>
  <si>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</si>
  <si>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</si>
  <si>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</si>
  <si>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</si>
  <si>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</si>
  <si>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</si>
  <si>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</si>
  <si>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</si>
  <si>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</si>
  <si>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</si>
  <si>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</si>
  <si>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</si>
  <si>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</si>
  <si>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</si>
  <si>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</si>
  <si>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</si>
  <si>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</si>
  <si>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</si>
  <si>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</si>
  <si>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</si>
  <si>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</si>
  <si>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</si>
  <si>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</si>
  <si>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</si>
  <si>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</si>
  <si>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</si>
  <si>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</si>
  <si>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</si>
  <si>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</si>
  <si>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</si>
  <si>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</si>
  <si>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</si>
  <si>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</si>
  <si>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</si>
  <si>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</si>
  <si>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</si>
  <si>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</si>
  <si>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</si>
  <si>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</si>
  <si>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</si>
  <si>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</si>
  <si>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</si>
  <si>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</si>
  <si>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</si>
  <si>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</si>
  <si>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</si>
  <si>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</si>
  <si>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</si>
  <si>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</si>
  <si>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</si>
  <si>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</si>
  <si>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</si>
  <si>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</si>
  <si>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</si>
  <si>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</si>
  <si>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</si>
  <si>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</si>
  <si>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</si>
  <si>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</si>
  <si>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</si>
  <si>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</si>
  <si>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</si>
  <si>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</si>
  <si>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</si>
  <si>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</si>
  <si>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</si>
  <si>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</si>
  <si>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</si>
  <si>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</si>
  <si>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</si>
  <si>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</si>
  <si>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</si>
  <si>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</si>
  <si>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</si>
  <si>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</si>
  <si>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</si>
  <si>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</si>
  <si>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</si>
  <si>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</si>
  <si>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</si>
  <si>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</si>
  <si>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</si>
  <si>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</si>
  <si>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</si>
  <si>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</si>
  <si>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</si>
  <si>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</si>
  <si>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</si>
  <si>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</si>
  <si>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</si>
  <si>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</si>
  <si>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</si>
  <si>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</si>
  <si>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</si>
  <si>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</si>
  <si>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</si>
  <si>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</si>
  <si>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</si>
  <si>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</si>
  <si>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</si>
  <si>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</si>
  <si>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</si>
  <si>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</si>
  <si>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</si>
  <si>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</si>
  <si>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</si>
  <si>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</si>
  <si>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</si>
  <si>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</si>
  <si>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</si>
  <si>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</si>
  <si>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</si>
  <si>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</si>
  <si>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</si>
  <si>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</si>
  <si>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</si>
  <si>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</si>
  <si>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</si>
  <si>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</si>
  <si>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</si>
  <si>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</si>
  <si>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</si>
  <si>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</si>
  <si>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</si>
  <si>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</si>
  <si>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</si>
  <si>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</si>
  <si>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</si>
  <si>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</si>
  <si>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</si>
  <si>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</si>
  <si>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</si>
  <si>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</si>
  <si>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</si>
  <si>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</si>
  <si>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</si>
  <si>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</si>
  <si>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</si>
  <si>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</si>
  <si>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</si>
  <si>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</si>
  <si>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</si>
  <si>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</si>
  <si>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</si>
  <si>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</si>
  <si>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</si>
  <si>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</si>
  <si>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</si>
  <si>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</si>
  <si>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</si>
  <si>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</si>
  <si>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</si>
  <si>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</si>
  <si>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</si>
  <si>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</si>
  <si>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</si>
  <si>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</si>
  <si>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</si>
  <si>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</si>
  <si>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</si>
  <si>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</si>
  <si>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</si>
  <si>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</si>
  <si>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</si>
  <si>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</si>
  <si>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</si>
  <si>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</si>
  <si>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</si>
  <si>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</si>
  <si>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</si>
  <si>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</si>
  <si>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</si>
  <si>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</si>
  <si>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</si>
  <si>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</si>
  <si>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</si>
  <si>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</si>
  <si>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</si>
  <si>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</si>
  <si>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</si>
  <si>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</si>
  <si>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</si>
  <si>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</si>
  <si>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</si>
  <si>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</si>
  <si>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</si>
  <si>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</si>
  <si>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</si>
  <si>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</si>
  <si>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</si>
  <si>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</si>
  <si>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</si>
  <si>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</si>
  <si>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</si>
  <si>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</si>
  <si>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</si>
  <si>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</si>
  <si>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</si>
  <si>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</si>
  <si>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</si>
  <si>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</si>
  <si>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</si>
  <si>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</si>
  <si>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</si>
  <si>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</si>
  <si>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</si>
  <si>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</si>
  <si>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</si>
  <si>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</si>
  <si>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</si>
  <si>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</si>
  <si>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</si>
  <si>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</si>
  <si>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</si>
  <si>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</si>
  <si>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</si>
  <si>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</si>
  <si>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</si>
  <si>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</si>
  <si>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</si>
  <si>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</si>
  <si>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</si>
  <si>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</si>
  <si>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</si>
  <si>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</si>
  <si>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</si>
  <si>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</si>
  <si>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</si>
  <si>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</si>
  <si>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</si>
  <si>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</si>
  <si>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</si>
  <si>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</si>
  <si>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</si>
  <si>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</si>
  <si>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</si>
  <si>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</si>
  <si>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</si>
  <si>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</si>
  <si>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</si>
  <si>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</si>
  <si>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</si>
  <si>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</si>
  <si>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</si>
  <si>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</si>
  <si>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</si>
  <si>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</si>
  <si>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</si>
  <si>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</si>
  <si>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</si>
  <si>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</si>
  <si>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</si>
  <si>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</si>
  <si>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</si>
  <si>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</si>
  <si>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</si>
  <si>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</si>
  <si>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</si>
  <si>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</si>
  <si>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</si>
  <si>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</si>
  <si>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</si>
  <si>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</si>
  <si>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</si>
  <si>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</si>
  <si>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</si>
  <si>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</si>
  <si>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</si>
  <si>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</si>
  <si>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</si>
  <si>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</si>
  <si>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</si>
  <si>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</si>
  <si>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</si>
  <si>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</si>
  <si>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</si>
  <si>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</si>
  <si>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</si>
  <si>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</si>
  <si>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</si>
  <si>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</si>
  <si>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</si>
  <si>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</si>
  <si>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</si>
  <si>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</si>
  <si>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</si>
  <si>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</si>
  <si>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</si>
  <si>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</si>
  <si>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</si>
  <si>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</si>
  <si>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</si>
  <si>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</si>
  <si>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</si>
  <si>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</si>
  <si>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</si>
  <si>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</si>
  <si>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</si>
  <si>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</si>
  <si>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</si>
  <si>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</si>
  <si>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</si>
  <si>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</si>
  <si>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</si>
  <si>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</si>
  <si>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</si>
  <si>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</si>
  <si>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</si>
  <si>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</si>
  <si>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</si>
  <si>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</si>
  <si>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</si>
  <si>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</si>
  <si>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</si>
  <si>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</si>
  <si>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</si>
  <si>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</si>
  <si>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</si>
  <si>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</si>
  <si>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</si>
  <si>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</si>
  <si>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</si>
  <si>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</si>
  <si>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</si>
  <si>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</si>
  <si>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</si>
  <si>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</si>
  <si>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</si>
  <si>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</si>
  <si>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</si>
  <si>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</si>
  <si>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</si>
  <si>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</si>
  <si>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</si>
  <si>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</si>
  <si>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</si>
  <si>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</si>
  <si>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</si>
  <si>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</si>
  <si>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</si>
  <si>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</si>
  <si>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</si>
  <si>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</si>
  <si>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</si>
  <si>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</si>
  <si>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</si>
  <si>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</si>
  <si>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</si>
  <si>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</si>
  <si>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</si>
  <si>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</si>
  <si>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</si>
  <si>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</si>
  <si>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</si>
  <si>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</si>
  <si>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</si>
  <si>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</si>
  <si>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</si>
  <si>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</si>
  <si>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</si>
  <si>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</si>
  <si>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</si>
  <si>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</si>
  <si>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</si>
  <si>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</si>
  <si>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</si>
  <si>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</si>
  <si>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</si>
  <si>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</si>
  <si>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</si>
  <si>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</si>
  <si>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</si>
  <si>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</si>
  <si>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</si>
  <si>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</si>
  <si>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</si>
  <si>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</si>
  <si>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</si>
  <si>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</si>
  <si>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</si>
  <si>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</si>
  <si>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</si>
  <si>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</si>
  <si>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</si>
  <si>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</si>
  <si>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</si>
  <si>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</si>
  <si>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</si>
  <si>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</si>
  <si>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</si>
  <si>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</si>
  <si>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</si>
  <si>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</si>
  <si>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</si>
  <si>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</si>
  <si>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</si>
  <si>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</si>
  <si>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</si>
  <si>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</si>
  <si>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</si>
  <si>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</si>
  <si>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</si>
  <si>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</si>
  <si>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</si>
  <si>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</si>
  <si>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</si>
  <si>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</si>
  <si>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</si>
  <si>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</si>
  <si>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</si>
  <si>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</si>
  <si>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</si>
  <si>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</si>
  <si>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</si>
  <si>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</si>
  <si>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</si>
  <si>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</si>
  <si>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</si>
  <si>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</si>
  <si>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</si>
  <si>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</si>
  <si>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</si>
  <si>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</si>
  <si>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</si>
  <si>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</si>
  <si>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</si>
  <si>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</si>
  <si>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</si>
  <si>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</si>
  <si>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</si>
  <si>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</si>
  <si>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</si>
  <si>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</si>
  <si>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</si>
  <si>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</si>
  <si>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</si>
  <si>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</si>
  <si>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</si>
  <si>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</si>
  <si>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</si>
  <si>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</si>
  <si>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</si>
  <si>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</si>
  <si>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</si>
  <si>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</si>
  <si>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</si>
  <si>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</si>
  <si>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</si>
  <si>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</si>
  <si>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</si>
  <si>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</si>
  <si>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</si>
  <si>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</si>
  <si>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</si>
  <si>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</si>
  <si>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</si>
  <si>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</si>
  <si>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</si>
  <si>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</si>
  <si>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</si>
  <si>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</si>
  <si>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</si>
  <si>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</si>
  <si>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</si>
  <si>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</si>
  <si>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</si>
  <si>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</si>
  <si>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</si>
  <si>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</si>
  <si>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</si>
  <si>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</si>
  <si>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</si>
  <si>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</si>
  <si>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</si>
  <si>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</si>
  <si>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</si>
  <si>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</si>
  <si>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</si>
  <si>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</si>
  <si>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</si>
  <si>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</si>
  <si>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</si>
  <si>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</si>
  <si>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</si>
  <si>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</si>
  <si>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</si>
  <si>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</si>
  <si>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</si>
  <si>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</si>
  <si>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</si>
  <si>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</si>
  <si>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</si>
  <si>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</si>
  <si>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</si>
  <si>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</si>
  <si>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</si>
  <si>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</si>
  <si>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</si>
  <si>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</si>
  <si>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</si>
  <si>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</si>
  <si>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</si>
  <si>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</si>
  <si>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</si>
  <si>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</si>
  <si>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</si>
  <si>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</si>
  <si>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</si>
  <si>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</si>
  <si>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</si>
  <si>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</si>
  <si>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</si>
  <si>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</si>
  <si>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</si>
  <si>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</si>
  <si>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</si>
  <si>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</si>
  <si>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</si>
  <si>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</si>
  <si>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</si>
  <si>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</si>
  <si>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</si>
  <si>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</si>
  <si>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</si>
  <si>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</si>
  <si>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</si>
  <si>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</si>
  <si>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</si>
  <si>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</si>
  <si>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</si>
  <si>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</si>
  <si>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</si>
  <si>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</si>
  <si>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</si>
  <si>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</si>
  <si>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</si>
  <si>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</si>
  <si>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</si>
  <si>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</si>
  <si>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</si>
  <si>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</si>
  <si>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</si>
  <si>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</si>
  <si>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</si>
  <si>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</si>
  <si>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</si>
  <si>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</si>
  <si>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</si>
  <si>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</si>
  <si>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</si>
  <si>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</si>
  <si>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</si>
  <si>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</si>
  <si>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</si>
  <si>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</si>
  <si>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</si>
  <si>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</si>
  <si>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</si>
  <si>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</si>
  <si>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</si>
  <si>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</si>
  <si>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</si>
  <si>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</si>
  <si>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</si>
  <si>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</si>
  <si>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</si>
  <si>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</si>
  <si>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</si>
  <si>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</si>
  <si>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</si>
  <si>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</si>
  <si>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</si>
  <si>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</si>
  <si>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</si>
  <si>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</si>
  <si>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</si>
  <si>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</si>
  <si>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</si>
  <si>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</si>
  <si>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</si>
  <si>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</si>
  <si>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</si>
  <si>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</si>
  <si>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</si>
  <si>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</si>
  <si>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</si>
  <si>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</si>
  <si>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</si>
  <si>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</si>
  <si>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</si>
  <si>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</si>
  <si>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</si>
  <si>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</si>
  <si>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</si>
  <si>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</si>
  <si>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</si>
  <si>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</si>
  <si>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</si>
  <si>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</si>
  <si>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</si>
  <si>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</si>
  <si>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</si>
  <si>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</si>
  <si>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</si>
  <si>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</si>
  <si>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</si>
  <si>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</si>
  <si>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</si>
  <si>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</si>
  <si>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</si>
  <si>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</si>
  <si>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</si>
  <si>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</si>
  <si>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</si>
  <si>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</si>
  <si>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</si>
  <si>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</si>
  <si>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</si>
  <si>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</si>
  <si>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</si>
  <si>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</si>
  <si>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</si>
  <si>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</si>
  <si>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</si>
  <si>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</si>
  <si>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</si>
  <si>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</si>
  <si>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</si>
  <si>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</si>
  <si>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</si>
  <si>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</si>
  <si>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</si>
  <si>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</si>
  <si>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</si>
  <si>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</si>
  <si>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</si>
  <si>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</si>
  <si>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</si>
  <si>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</si>
  <si>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</si>
  <si>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</si>
  <si>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</si>
  <si>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</si>
  <si>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</si>
  <si>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</si>
  <si>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</si>
  <si>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</si>
  <si>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</si>
  <si>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</si>
  <si>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</si>
  <si>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</si>
  <si>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</si>
  <si>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</si>
  <si>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</si>
  <si>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</si>
  <si>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</si>
  <si>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</si>
  <si>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</si>
  <si>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</si>
  <si>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</si>
  <si>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</si>
  <si>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</si>
  <si>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</si>
  <si>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</si>
  <si>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</si>
  <si>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</si>
  <si>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</si>
  <si>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</si>
  <si>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</si>
  <si>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</si>
  <si>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</si>
  <si>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</si>
  <si>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</si>
  <si>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</si>
  <si>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</si>
  <si>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</si>
  <si>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</si>
  <si>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</si>
  <si>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</si>
  <si>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</si>
  <si>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</si>
  <si>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</si>
  <si>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</si>
  <si>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</si>
  <si>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</si>
  <si>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</si>
  <si>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</si>
  <si>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</si>
  <si>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</si>
  <si>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</si>
  <si>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</si>
  <si>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</si>
  <si>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</si>
  <si>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</si>
  <si>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</si>
  <si>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</si>
  <si>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</si>
  <si>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</si>
  <si>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</si>
  <si>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</si>
  <si>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</si>
  <si>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</si>
  <si>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</si>
  <si>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</si>
  <si>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</si>
  <si>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</si>
  <si>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</si>
  <si>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</si>
  <si>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</si>
  <si>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</si>
  <si>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</si>
  <si>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</si>
  <si>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</si>
  <si>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</si>
  <si>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</si>
  <si>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</si>
  <si>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</si>
  <si>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</si>
  <si>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</si>
  <si>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</si>
  <si>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</si>
  <si>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</si>
  <si>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</si>
  <si>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</si>
  <si>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</si>
  <si>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</si>
  <si>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</si>
  <si>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</si>
  <si>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</si>
  <si>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</si>
  <si>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</si>
  <si>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</si>
  <si>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</si>
  <si>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</si>
  <si>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</si>
  <si>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</si>
  <si>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</si>
  <si>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</si>
  <si>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</si>
  <si>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</si>
  <si>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</si>
  <si>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</si>
  <si>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</si>
  <si>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</si>
  <si>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</si>
  <si>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</si>
  <si>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</si>
  <si>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</si>
  <si>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</si>
  <si>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</si>
  <si>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</si>
  <si>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</si>
  <si>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</si>
  <si>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</si>
  <si>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</si>
  <si>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</si>
  <si>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</si>
  <si>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</si>
  <si>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</si>
  <si>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</si>
  <si>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</si>
  <si>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</si>
  <si>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</si>
  <si>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</si>
  <si>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</si>
  <si>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</si>
  <si>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</si>
  <si>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</si>
  <si>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</si>
  <si>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</si>
  <si>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</si>
  <si>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</si>
  <si>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</si>
  <si>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</si>
  <si>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</si>
  <si>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</si>
  <si>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</si>
  <si>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</si>
  <si>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</si>
  <si>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</si>
  <si>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</si>
  <si>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</si>
  <si>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</si>
  <si>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</si>
  <si>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</si>
  <si>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</si>
  <si>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</si>
  <si>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</si>
  <si>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</si>
  <si>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</si>
  <si>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</si>
  <si>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</si>
  <si>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</si>
  <si>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</si>
  <si>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</si>
  <si>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</si>
  <si>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</si>
  <si>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</si>
  <si>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</si>
  <si>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</si>
  <si>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</si>
  <si>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</si>
  <si>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</si>
  <si>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</si>
  <si>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</si>
  <si>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</si>
  <si>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</si>
  <si>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</si>
  <si>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</si>
  <si>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</si>
  <si>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</si>
  <si>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</si>
  <si>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</si>
  <si>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</si>
  <si>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</si>
  <si>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</si>
  <si>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</si>
  <si>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</si>
  <si>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</si>
  <si>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</si>
  <si>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</si>
  <si>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</si>
  <si>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</si>
  <si>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</si>
  <si>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</si>
  <si>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</si>
  <si>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</si>
  <si>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</si>
  <si>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</si>
  <si>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</si>
  <si>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</si>
  <si>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</si>
  <si>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</si>
  <si>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</si>
  <si>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</si>
  <si>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</si>
  <si>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</si>
  <si>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</si>
  <si>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</si>
  <si>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</si>
  <si>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</si>
  <si>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</si>
  <si>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</si>
  <si>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</si>
  <si>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</si>
  <si>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</si>
  <si>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</si>
  <si>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</si>
  <si>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</si>
  <si>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</si>
  <si>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</si>
  <si>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</si>
  <si>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</si>
  <si>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</si>
  <si>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</si>
  <si>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</si>
  <si>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</si>
  <si>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</si>
  <si>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</si>
  <si>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</si>
  <si>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</si>
  <si>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</si>
  <si>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</si>
  <si>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</si>
  <si>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</si>
  <si>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</si>
  <si>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</si>
  <si>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</si>
  <si>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</si>
  <si>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</si>
  <si>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</si>
  <si>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</si>
  <si>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</si>
  <si>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</si>
  <si>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</si>
  <si>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</si>
  <si>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</si>
  <si>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</si>
  <si>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</si>
  <si>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</si>
  <si>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</si>
  <si>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</si>
  <si>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</si>
  <si>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</si>
  <si>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</si>
  <si>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</si>
  <si>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</si>
  <si>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</si>
  <si>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</si>
  <si>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</si>
  <si>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</si>
  <si>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</si>
  <si>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</si>
  <si>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</si>
  <si>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</si>
  <si>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</si>
  <si>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</si>
  <si>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</si>
  <si>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</si>
  <si>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</si>
  <si>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</si>
  <si>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</si>
  <si>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</si>
  <si>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</si>
  <si>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</si>
  <si>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</si>
  <si>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</si>
  <si>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</si>
  <si>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</si>
  <si>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</si>
  <si>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</si>
  <si>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</si>
  <si>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</si>
  <si>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</si>
  <si>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</si>
  <si>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</si>
  <si>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</si>
  <si>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</si>
  <si>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</si>
  <si>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</si>
  <si>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</si>
  <si>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</si>
  <si>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</si>
  <si>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</si>
  <si>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</si>
  <si>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</si>
  <si>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</si>
  <si>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</si>
  <si>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</si>
  <si>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</si>
  <si>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</si>
  <si>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</si>
  <si>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</si>
  <si>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</si>
  <si>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</si>
  <si>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</si>
  <si>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</si>
  <si>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</si>
  <si>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</si>
  <si>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</si>
  <si>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</si>
  <si>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</si>
  <si>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</si>
  <si>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</si>
  <si>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</si>
  <si>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</si>
  <si>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</si>
  <si>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</si>
  <si>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</si>
  <si>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</si>
  <si>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</si>
  <si>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</si>
  <si>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</si>
  <si>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</si>
  <si>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</si>
  <si>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</si>
  <si>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</si>
  <si>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</si>
  <si>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</si>
  <si>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</si>
  <si>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</si>
  <si>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</si>
  <si>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</si>
  <si>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</si>
  <si>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</si>
  <si>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</si>
  <si>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</si>
  <si>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</si>
  <si>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</si>
  <si>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</si>
  <si>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</si>
  <si>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</si>
  <si>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</si>
  <si>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</si>
  <si>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</si>
  <si>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</si>
  <si>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</si>
  <si>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</si>
  <si>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</si>
  <si>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</si>
  <si>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</si>
  <si>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</si>
  <si>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</si>
  <si>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</si>
  <si>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</si>
  <si>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</si>
  <si>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</si>
  <si>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</si>
  <si>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</si>
  <si>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</si>
  <si>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</si>
  <si>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</si>
  <si>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</si>
  <si>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</si>
  <si>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</si>
  <si>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</si>
  <si>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</si>
  <si>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</si>
  <si>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</si>
  <si>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</si>
  <si>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</si>
  <si>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</si>
  <si>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</si>
  <si>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</si>
  <si>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</si>
  <si>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</si>
  <si>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</si>
  <si>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</si>
  <si>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</si>
  <si>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</si>
  <si>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</si>
  <si>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</si>
  <si>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</si>
  <si>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</si>
  <si>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</si>
  <si>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</si>
  <si>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</si>
  <si>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</si>
  <si>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</si>
  <si>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</si>
  <si>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</si>
  <si>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</si>
  <si>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</si>
  <si>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</si>
  <si>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</si>
  <si>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</si>
  <si>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</si>
  <si>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</si>
  <si>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</si>
  <si>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</si>
  <si>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</si>
  <si>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</si>
  <si>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</si>
  <si>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</si>
  <si>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</si>
  <si>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</si>
  <si>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</si>
  <si>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</si>
  <si>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</si>
  <si>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</si>
  <si>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</si>
  <si>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</si>
  <si>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</si>
  <si>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</si>
  <si>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</si>
  <si>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</si>
  <si>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</si>
  <si>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</si>
  <si>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</si>
  <si>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</si>
  <si>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</si>
  <si>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</si>
  <si>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</si>
  <si>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</si>
  <si>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</si>
  <si>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</si>
  <si>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</si>
  <si>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</si>
  <si>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</si>
  <si>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</si>
  <si>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</si>
  <si>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</si>
  <si>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</si>
  <si>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</si>
  <si>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</si>
  <si>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</si>
  <si>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</si>
  <si>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</si>
  <si>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</si>
  <si>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</si>
  <si>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</si>
  <si>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</si>
  <si>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</si>
  <si>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</si>
  <si>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</si>
  <si>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</si>
  <si>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</si>
  <si>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</si>
  <si>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</si>
  <si>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</si>
  <si>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</si>
  <si>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</si>
  <si>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</si>
  <si>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</si>
  <si>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</si>
  <si>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</si>
  <si>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</si>
  <si>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</si>
  <si>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</si>
  <si>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</si>
  <si>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</si>
  <si>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</si>
  <si>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</si>
  <si>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</si>
  <si>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</si>
  <si>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</si>
  <si>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</si>
  <si>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</si>
  <si>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</si>
  <si>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</si>
  <si>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</si>
  <si>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</si>
  <si>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</si>
  <si>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</si>
  <si>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</si>
  <si>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</si>
  <si>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</si>
  <si>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</si>
  <si>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</si>
  <si>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</si>
  <si>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</si>
  <si>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</si>
  <si>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</si>
  <si>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</si>
  <si>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</si>
  <si>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</si>
  <si>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</si>
  <si>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</si>
  <si>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</si>
  <si>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</si>
  <si>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</si>
  <si>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</si>
  <si>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</si>
  <si>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</si>
  <si>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</si>
  <si>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</si>
  <si>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</si>
  <si>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</si>
  <si>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</si>
  <si>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</si>
  <si>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</si>
  <si>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</si>
  <si>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</si>
  <si>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</si>
  <si>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</si>
  <si>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</si>
  <si>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</si>
  <si>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</si>
  <si>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</si>
  <si>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</si>
  <si>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</si>
  <si>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</si>
  <si>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</si>
  <si>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</si>
  <si>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</si>
  <si>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</si>
  <si>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</si>
  <si>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</si>
  <si>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</si>
  <si>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</si>
  <si>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</si>
  <si>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</si>
  <si>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</si>
  <si>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</si>
  <si>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</si>
  <si>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</si>
  <si>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</si>
  <si>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</si>
  <si>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</si>
  <si>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</si>
  <si>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</si>
  <si>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</si>
  <si>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</si>
  <si>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</si>
  <si>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</si>
  <si>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</si>
  <si>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</si>
  <si>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</si>
  <si>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</si>
  <si>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</si>
  <si>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</si>
  <si>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</si>
  <si>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</si>
  <si>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</si>
  <si>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</si>
  <si>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</si>
  <si>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</si>
  <si>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</si>
  <si>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</si>
  <si>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</si>
  <si>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</si>
  <si>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</si>
  <si>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</si>
  <si>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</si>
  <si>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</si>
  <si>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</si>
  <si>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</si>
  <si>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</si>
  <si>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</si>
  <si>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</si>
  <si>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</si>
  <si>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</si>
  <si>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</si>
  <si>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</si>
  <si>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</si>
  <si>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</si>
  <si>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</si>
  <si>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</si>
  <si>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</si>
  <si>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</si>
  <si>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</si>
  <si>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</si>
  <si>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</si>
  <si>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</si>
  <si>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</si>
  <si>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</si>
  <si>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</si>
  <si>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</si>
  <si>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</si>
  <si>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</si>
  <si>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</si>
  <si>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</si>
  <si>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</si>
  <si>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</si>
  <si>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</si>
  <si>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</si>
  <si>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</si>
  <si>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</si>
  <si>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</si>
  <si>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</si>
  <si>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</si>
  <si>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</si>
  <si>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</si>
  <si>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</si>
  <si>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</si>
  <si>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</si>
  <si>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</si>
  <si>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</si>
  <si>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</si>
  <si>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</si>
  <si>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</si>
  <si>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</si>
  <si>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</si>
  <si>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</si>
  <si>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</si>
  <si>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</si>
  <si>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</si>
  <si>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</si>
  <si>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</si>
  <si>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</si>
  <si>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</si>
  <si>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</si>
  <si>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</si>
  <si>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</si>
  <si>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</si>
  <si>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</si>
  <si>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</si>
  <si>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</si>
  <si>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</si>
  <si>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</si>
  <si>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</si>
  <si>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</si>
  <si>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</si>
  <si>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</si>
  <si>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</si>
  <si>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</si>
  <si>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</si>
  <si>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</si>
  <si>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</si>
  <si>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</si>
  <si>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</si>
  <si>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</si>
  <si>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</si>
  <si>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</si>
  <si>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</si>
  <si>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</si>
  <si>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</si>
  <si>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</si>
  <si>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</si>
  <si>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</si>
  <si>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</si>
  <si>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</si>
  <si>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</si>
  <si>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</si>
  <si>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</si>
  <si>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</si>
  <si>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</si>
  <si>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</si>
  <si>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</si>
  <si>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</si>
  <si>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</si>
  <si>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</si>
  <si>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</si>
  <si>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</si>
  <si>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</si>
  <si>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</si>
  <si>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</si>
  <si>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</si>
  <si>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</si>
  <si>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</si>
  <si>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</si>
  <si>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</si>
  <si>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</si>
  <si>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</si>
  <si>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</si>
  <si>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</si>
  <si>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</si>
  <si>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</si>
  <si>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</si>
  <si>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</si>
  <si>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</si>
  <si>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</si>
  <si>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</si>
  <si>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</si>
  <si>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</si>
  <si>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</si>
  <si>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</si>
  <si>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</si>
  <si>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</si>
  <si>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</si>
  <si>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</si>
  <si>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</si>
  <si>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</si>
  <si>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</si>
  <si>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</si>
  <si>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</si>
  <si>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</si>
  <si>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</si>
  <si>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</si>
  <si>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</si>
  <si>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</si>
  <si>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</si>
  <si>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</si>
  <si>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</si>
  <si>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</si>
  <si>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</si>
  <si>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</si>
  <si>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</si>
  <si>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</si>
  <si>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</si>
  <si>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</si>
  <si>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</si>
  <si>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</si>
  <si>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</si>
  <si>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</si>
  <si>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</si>
  <si>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</si>
  <si>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</si>
  <si>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</si>
  <si>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</si>
  <si>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</si>
  <si>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</si>
  <si>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</si>
  <si>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</si>
  <si>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</si>
  <si>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</si>
  <si>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</si>
  <si>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</si>
  <si>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</si>
  <si>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</si>
  <si>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</si>
  <si>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</si>
  <si>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</si>
  <si>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</si>
  <si>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</si>
  <si>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</si>
  <si>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</si>
  <si>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</si>
  <si>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</si>
  <si>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</si>
  <si>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</si>
  <si>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</si>
  <si>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</si>
  <si>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</si>
  <si>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</si>
  <si>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</si>
  <si>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</si>
  <si>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</si>
  <si>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</si>
  <si>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</si>
  <si>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</si>
  <si>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</si>
  <si>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</si>
  <si>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</si>
  <si>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</si>
  <si>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</si>
  <si>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</si>
  <si>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</si>
  <si>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</si>
  <si>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</si>
  <si>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</si>
  <si>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</si>
  <si>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</si>
  <si>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</si>
  <si>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</si>
  <si>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</si>
  <si>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</si>
  <si>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</si>
  <si>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</si>
  <si>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</si>
  <si>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</si>
  <si>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</si>
  <si>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</si>
  <si>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</si>
  <si>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</si>
  <si>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</si>
  <si>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</si>
  <si>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</si>
  <si>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</si>
  <si>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</si>
  <si>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</si>
  <si>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</si>
  <si>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</si>
  <si>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</si>
  <si>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</si>
  <si>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</si>
  <si>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</si>
  <si>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</si>
  <si>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</si>
  <si>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</si>
  <si>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</si>
  <si>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</si>
  <si>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</si>
  <si>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</si>
  <si>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</si>
  <si>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</si>
  <si>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</si>
  <si>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</si>
  <si>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</si>
  <si>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</si>
  <si>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</si>
  <si>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</si>
  <si>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</si>
  <si>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</si>
  <si>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</si>
  <si>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</si>
  <si>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</si>
  <si>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</si>
  <si>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</si>
  <si>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</si>
  <si>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</si>
  <si>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</si>
  <si>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</si>
  <si>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</si>
  <si>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</si>
  <si>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</si>
  <si>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</si>
  <si>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</si>
  <si>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</si>
  <si>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</si>
  <si>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</si>
  <si>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</si>
  <si>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</si>
  <si>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</si>
  <si>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</si>
  <si>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</si>
  <si>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</si>
  <si>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</si>
  <si>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</si>
  <si>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</si>
  <si>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</si>
  <si>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</si>
  <si>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</si>
  <si>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</si>
  <si>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</si>
  <si>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</si>
  <si>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</si>
  <si>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</si>
  <si>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</si>
  <si>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</si>
  <si>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</si>
  <si>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</si>
  <si>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</si>
  <si>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</si>
  <si>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</si>
  <si>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</si>
  <si>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</si>
  <si>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</si>
  <si>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</si>
  <si>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</si>
  <si>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</si>
  <si>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</si>
  <si>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</si>
  <si>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</si>
  <si>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</si>
  <si>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</si>
  <si>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</si>
  <si>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</si>
  <si>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</si>
  <si>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</si>
  <si>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</si>
  <si>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</si>
  <si>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</si>
  <si>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</si>
  <si>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</si>
  <si>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</si>
  <si>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</si>
  <si>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</si>
  <si>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</si>
  <si>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</si>
  <si>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</si>
  <si>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</si>
  <si>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</si>
  <si>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</si>
  <si>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</si>
  <si>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</si>
  <si>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</si>
  <si>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</si>
  <si>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</si>
  <si>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</si>
  <si>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</si>
  <si>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</si>
  <si>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</si>
  <si>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</si>
  <si>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</si>
  <si>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</si>
  <si>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</si>
  <si>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</si>
  <si>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</si>
  <si>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</si>
  <si>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</si>
  <si>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</si>
  <si>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</si>
  <si>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</si>
  <si>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</si>
  <si>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</si>
  <si>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</si>
  <si>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</si>
  <si>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</si>
  <si>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</si>
  <si>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</si>
  <si>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</si>
  <si>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</si>
  <si>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</si>
  <si>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</si>
  <si>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</si>
  <si>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</si>
  <si>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</si>
  <si>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</si>
  <si>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</si>
  <si>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</si>
  <si>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</si>
  <si>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</si>
  <si>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</si>
  <si>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</si>
  <si>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</si>
  <si>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</si>
  <si>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</si>
  <si>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</si>
  <si>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</si>
  <si>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</si>
  <si>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</si>
  <si>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</si>
  <si>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</si>
  <si>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</si>
  <si>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</si>
  <si>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</si>
  <si>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</si>
  <si>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</si>
  <si>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</si>
  <si>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</si>
  <si>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</si>
  <si>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</si>
  <si>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</si>
  <si>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</si>
  <si>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</si>
  <si>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</si>
  <si>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</si>
  <si>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</si>
  <si>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</si>
  <si>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</si>
  <si>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</si>
  <si>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</si>
  <si>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</si>
  <si>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</si>
  <si>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</si>
  <si>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</si>
  <si>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</si>
  <si>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</si>
  <si>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</si>
  <si>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</si>
  <si>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</si>
  <si>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</si>
  <si>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</si>
  <si>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</si>
  <si>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</si>
  <si>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</si>
  <si>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</si>
  <si>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</si>
  <si>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</si>
  <si>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</si>
  <si>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</si>
  <si>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</si>
  <si>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</si>
  <si>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</si>
  <si>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</si>
  <si>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</si>
  <si>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</si>
  <si>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</si>
  <si>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</si>
  <si>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</si>
  <si>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</si>
  <si>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</si>
  <si>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</si>
  <si>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</si>
  <si>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</si>
  <si>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</si>
  <si>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</si>
  <si>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</si>
  <si>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</si>
  <si>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</si>
  <si>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</si>
  <si>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</si>
  <si>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</si>
  <si>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</si>
  <si>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</si>
  <si>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</si>
  <si>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</si>
  <si>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</si>
  <si>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</si>
  <si>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</si>
  <si>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</si>
  <si>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</si>
  <si>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</si>
  <si>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</si>
  <si>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</si>
  <si>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</si>
  <si>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</si>
  <si>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</si>
  <si>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</si>
  <si>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</si>
  <si>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</si>
  <si>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</si>
  <si>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</si>
  <si>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</si>
  <si>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</si>
  <si>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</si>
  <si>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</si>
  <si>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</si>
  <si>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</si>
  <si>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</si>
  <si>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</si>
  <si>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</si>
  <si>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</si>
  <si>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</si>
  <si>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</si>
  <si>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</si>
  <si>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</si>
  <si>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</si>
  <si>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</si>
  <si>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</si>
  <si>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</si>
  <si>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</si>
  <si>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</si>
  <si>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</si>
  <si>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</si>
  <si>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</si>
  <si>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</si>
  <si>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</si>
  <si>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</si>
  <si>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</si>
  <si>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</si>
  <si>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</si>
  <si>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</si>
  <si>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</si>
  <si>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</si>
  <si>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</si>
  <si>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</si>
  <si>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</si>
  <si>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</si>
  <si>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</si>
  <si>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</si>
  <si>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</si>
  <si>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</si>
  <si>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</si>
  <si>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</si>
  <si>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</si>
  <si>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</si>
  <si>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</si>
  <si>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</si>
  <si>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</si>
  <si>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</si>
  <si>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</si>
  <si>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</si>
  <si>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</si>
  <si>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</si>
  <si>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</si>
  <si>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</si>
  <si>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</si>
  <si>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</si>
  <si>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</si>
  <si>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</si>
  <si>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</si>
  <si>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</si>
  <si>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</si>
  <si>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</si>
  <si>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</si>
  <si>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</si>
  <si>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</si>
  <si>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</si>
  <si>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</si>
  <si>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</si>
  <si>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</si>
  <si>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</si>
  <si>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</si>
  <si>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</si>
  <si>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</si>
  <si>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</si>
  <si>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</si>
  <si>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</si>
  <si>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</si>
  <si>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</si>
  <si>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</si>
  <si>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</si>
  <si>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</si>
  <si>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</si>
  <si>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</si>
  <si>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</si>
  <si>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</si>
  <si>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</si>
  <si>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</si>
  <si>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</si>
  <si>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</si>
  <si>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</si>
  <si>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</si>
  <si>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</si>
  <si>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</si>
  <si>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</si>
  <si>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</si>
  <si>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</si>
  <si>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</si>
  <si>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</si>
  <si>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</si>
  <si>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</si>
  <si>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</si>
  <si>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</si>
  <si>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</si>
  <si>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</si>
  <si>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</si>
  <si>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</si>
  <si>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</si>
  <si>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</si>
  <si>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</si>
  <si>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</si>
  <si>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</si>
  <si>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</si>
  <si>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</si>
  <si>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</si>
  <si>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</si>
  <si>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</si>
  <si>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</si>
  <si>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</si>
  <si>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</si>
  <si>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</si>
  <si>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</si>
  <si>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</si>
  <si>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</si>
  <si>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</si>
  <si>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</si>
  <si>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</si>
  <si>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</si>
  <si>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</si>
  <si>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</si>
  <si>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</si>
  <si>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</si>
  <si>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</si>
  <si>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</si>
  <si>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</si>
  <si>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</si>
  <si>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</si>
  <si>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</si>
  <si>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</si>
  <si>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</si>
  <si>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</si>
  <si>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</si>
  <si>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</si>
  <si>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</si>
  <si>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</si>
  <si>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</si>
  <si>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</si>
  <si>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</si>
  <si>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</si>
  <si>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</si>
  <si>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</si>
  <si>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</si>
  <si>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</si>
  <si>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</si>
  <si>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</si>
  <si>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</si>
  <si>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</si>
  <si>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</si>
  <si>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</si>
  <si>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</si>
  <si>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</si>
  <si>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</si>
  <si>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</si>
  <si>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</si>
  <si>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</si>
  <si>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</si>
  <si>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</si>
  <si>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</si>
  <si>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</si>
  <si>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</si>
  <si>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</si>
  <si>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</si>
  <si>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</si>
  <si>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</si>
  <si>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</si>
  <si>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</si>
  <si>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</si>
  <si>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</si>
  <si>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</si>
  <si>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</si>
  <si>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</si>
  <si>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</si>
  <si>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</si>
  <si>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</si>
  <si>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</si>
  <si>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</si>
  <si>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</si>
  <si>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</si>
  <si>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</si>
  <si>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</si>
  <si>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</si>
  <si>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</si>
  <si>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</si>
  <si>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</si>
  <si>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</si>
  <si>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</si>
  <si>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</si>
  <si>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</si>
  <si>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</si>
  <si>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</si>
  <si>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</si>
  <si>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</si>
  <si>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</si>
  <si>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</si>
  <si>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</si>
  <si>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</si>
  <si>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</si>
  <si>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</si>
  <si>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</si>
  <si>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</si>
  <si>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</si>
  <si>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</si>
  <si>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</si>
  <si>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</si>
  <si>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</si>
  <si>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</si>
  <si>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</si>
  <si>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</si>
  <si>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</si>
  <si>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</si>
  <si>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</si>
  <si>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</si>
  <si>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</si>
  <si>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</si>
  <si>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</si>
  <si>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</si>
  <si>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</si>
  <si>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</si>
  <si>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</si>
  <si>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</si>
  <si>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</si>
  <si>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</si>
  <si>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</si>
  <si>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</si>
  <si>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</si>
  <si>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</si>
  <si>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</si>
  <si>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</si>
  <si>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</si>
  <si>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</si>
  <si>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</si>
  <si>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</si>
  <si>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</si>
  <si>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</si>
  <si>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</si>
  <si>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</si>
  <si>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</si>
  <si>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</si>
  <si>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</si>
  <si>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</si>
  <si>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</si>
  <si>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</si>
  <si>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</si>
  <si>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</si>
  <si>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</si>
  <si>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</si>
  <si>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</si>
  <si>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</si>
  <si>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</si>
  <si>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</si>
  <si>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</si>
  <si>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</si>
  <si>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</si>
  <si>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</si>
  <si>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</si>
  <si>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</si>
  <si>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</si>
  <si>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</si>
  <si>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</si>
  <si>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</si>
  <si>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</si>
  <si>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</si>
  <si>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</si>
  <si>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</si>
  <si>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</si>
  <si>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</si>
  <si>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</si>
  <si>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</si>
  <si>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</si>
  <si>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</si>
  <si>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</si>
  <si>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</si>
  <si>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</si>
  <si>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</si>
  <si>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</si>
  <si>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</si>
  <si>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</si>
  <si>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</si>
  <si>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</si>
  <si>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</si>
  <si>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</si>
  <si>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</si>
  <si>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</si>
  <si>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</si>
  <si>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</si>
  <si>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</si>
  <si>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</si>
  <si>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</si>
  <si>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</si>
  <si>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</si>
  <si>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</si>
  <si>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</si>
  <si>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</si>
  <si>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</si>
  <si>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</si>
  <si>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</si>
  <si>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</si>
  <si>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</si>
  <si>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</si>
  <si>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</si>
  <si>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</si>
  <si>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</si>
  <si>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</si>
  <si>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</si>
  <si>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</si>
  <si>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</si>
  <si>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</si>
  <si>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</si>
  <si>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</si>
  <si>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</si>
  <si>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</si>
  <si>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</si>
  <si>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</si>
  <si>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</si>
  <si>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</si>
  <si>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</si>
  <si>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</si>
  <si>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</si>
  <si>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</si>
  <si>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</si>
  <si>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</si>
  <si>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</si>
  <si>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</si>
  <si>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</si>
  <si>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</si>
  <si>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</si>
  <si>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</si>
  <si>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</si>
  <si>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</si>
  <si>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</si>
  <si>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</si>
  <si>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</si>
  <si>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</si>
  <si>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</si>
  <si>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</si>
  <si>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</si>
  <si>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</si>
  <si>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</si>
  <si>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</si>
  <si>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</si>
  <si>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</si>
  <si>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</si>
  <si>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</si>
  <si>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</si>
  <si>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</si>
  <si>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</si>
  <si>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</si>
  <si>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</si>
  <si>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</si>
  <si>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</si>
  <si>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</si>
  <si>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</si>
  <si>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</si>
  <si>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</si>
  <si>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</si>
  <si>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</si>
  <si>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</si>
  <si>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</si>
  <si>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</si>
  <si>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</si>
  <si>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</si>
  <si>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</si>
  <si>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</si>
  <si>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</si>
  <si>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</si>
  <si>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</si>
  <si>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</si>
  <si>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</si>
  <si>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</si>
  <si>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</si>
  <si>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</si>
  <si>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</si>
  <si>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</si>
  <si>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</si>
  <si>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</si>
  <si>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</si>
  <si>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</si>
  <si>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</si>
  <si>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</si>
  <si>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</si>
  <si>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</si>
  <si>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</si>
  <si>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</si>
  <si>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</si>
  <si>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</si>
  <si>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</si>
  <si>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</si>
  <si>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</si>
  <si>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</si>
  <si>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</si>
  <si>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</si>
  <si>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</si>
  <si>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</si>
  <si>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</si>
  <si>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</si>
  <si>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</si>
  <si>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</si>
  <si>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</si>
  <si>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</si>
  <si>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</si>
  <si>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</si>
  <si>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</si>
  <si>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</si>
  <si>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</si>
  <si>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</si>
  <si>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</si>
  <si>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</si>
  <si>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</si>
  <si>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</si>
  <si>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</si>
  <si>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</si>
  <si>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</si>
  <si>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</si>
  <si>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</si>
  <si>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</si>
  <si>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</si>
  <si>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</si>
  <si>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</si>
  <si>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</si>
  <si>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</si>
  <si>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</si>
  <si>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</si>
  <si>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</si>
  <si>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</si>
  <si>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</si>
  <si>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</si>
  <si>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</si>
  <si>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</si>
  <si>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</si>
  <si>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</si>
  <si>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</si>
  <si>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</si>
  <si>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</si>
  <si>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</si>
  <si>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</si>
  <si>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</si>
  <si>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</si>
  <si>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</si>
  <si>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</si>
  <si>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</si>
  <si>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</si>
  <si>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</si>
  <si>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</si>
  <si>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</si>
  <si>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</si>
  <si>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</si>
  <si>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</si>
  <si>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</si>
  <si>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</si>
  <si>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</si>
  <si>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</si>
  <si>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</si>
  <si>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</si>
  <si>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</si>
  <si>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</si>
  <si>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</si>
  <si>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</si>
  <si>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</si>
  <si>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</si>
  <si>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</si>
  <si>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</si>
  <si>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</si>
  <si>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</si>
  <si>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</si>
  <si>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</si>
  <si>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</si>
  <si>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</si>
  <si>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</si>
  <si>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</si>
  <si>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</si>
  <si>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</si>
  <si>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</si>
  <si>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</si>
  <si>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</si>
  <si>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</si>
  <si>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</si>
  <si>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</si>
  <si>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</si>
  <si>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</si>
  <si>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</si>
  <si>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</si>
  <si>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</si>
  <si>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</si>
  <si>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</si>
  <si>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</si>
  <si>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</si>
  <si>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</si>
  <si>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</si>
  <si>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</si>
  <si>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</si>
  <si>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</si>
  <si>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</si>
  <si>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</si>
  <si>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</si>
  <si>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</si>
  <si>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</si>
  <si>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</si>
  <si>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</si>
  <si>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</si>
  <si>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</si>
  <si>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</si>
  <si>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</si>
  <si>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</si>
  <si>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</si>
  <si>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</si>
  <si>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</si>
  <si>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</si>
  <si>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</si>
  <si>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</si>
  <si>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</si>
  <si>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</si>
  <si>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</si>
  <si>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</si>
  <si>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</si>
  <si>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</si>
  <si>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</si>
  <si>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</si>
  <si>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</si>
  <si>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</si>
  <si>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</si>
  <si>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</si>
  <si>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</si>
  <si>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</si>
  <si>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</si>
  <si>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</si>
  <si>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</si>
  <si>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</si>
  <si>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</si>
  <si>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</si>
  <si>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</si>
  <si>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</si>
  <si>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</si>
  <si>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</si>
  <si>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</si>
  <si>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</si>
  <si>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</si>
  <si>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</si>
  <si>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</si>
  <si>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</si>
  <si>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</si>
  <si>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</si>
  <si>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</si>
  <si>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</si>
  <si>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</si>
  <si>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</si>
  <si>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</si>
  <si>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</si>
  <si>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</si>
  <si>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</si>
  <si>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</si>
  <si>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</si>
  <si>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</si>
  <si>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</si>
  <si>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</si>
  <si>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</si>
  <si>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</si>
  <si>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</si>
  <si>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</si>
  <si>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</si>
  <si>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</si>
  <si>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</si>
  <si>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</si>
  <si>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</si>
  <si>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</si>
  <si>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</si>
  <si>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</si>
  <si>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</si>
  <si>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</si>
  <si>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</si>
  <si>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</si>
  <si>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</si>
  <si>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</si>
  <si>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</si>
  <si>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</si>
  <si>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</si>
  <si>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</si>
  <si>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</si>
  <si>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</si>
  <si>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</si>
  <si>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</si>
  <si>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</si>
  <si>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</si>
  <si>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</si>
  <si>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</si>
  <si>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</si>
  <si>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</si>
  <si>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</si>
  <si>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</si>
  <si>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</si>
  <si>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</si>
  <si>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</si>
  <si>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</si>
  <si>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</si>
  <si>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</si>
  <si>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</si>
  <si>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</si>
  <si>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</si>
  <si>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</si>
  <si>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</si>
  <si>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</si>
  <si>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</si>
  <si>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</si>
  <si>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</si>
  <si>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</si>
  <si>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</si>
  <si>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</si>
  <si>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</si>
  <si>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</si>
  <si>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</si>
  <si>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</si>
  <si>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</si>
  <si>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</si>
  <si>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</si>
  <si>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</si>
  <si>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</si>
  <si>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</si>
  <si>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</si>
  <si>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</si>
  <si>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</si>
  <si>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</si>
  <si>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</si>
  <si>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</si>
  <si>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</si>
  <si>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</si>
  <si>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</si>
  <si>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</si>
  <si>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</si>
  <si>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</si>
  <si>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</si>
  <si>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</si>
  <si>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</si>
  <si>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</si>
  <si>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</si>
  <si>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</si>
  <si>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</si>
  <si>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</si>
  <si>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</si>
  <si>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</si>
  <si>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</si>
  <si>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</si>
  <si>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</si>
  <si>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</si>
  <si>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</si>
  <si>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</si>
  <si>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</si>
  <si>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</si>
  <si>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</si>
  <si>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</si>
  <si>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</si>
  <si>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</si>
  <si>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</si>
  <si>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</si>
  <si>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</si>
  <si>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</si>
  <si>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</si>
  <si>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</si>
  <si>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</si>
  <si>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</si>
  <si>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</si>
  <si>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</si>
  <si>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</si>
  <si>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</si>
  <si>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</si>
  <si>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</si>
  <si>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</si>
  <si>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</si>
  <si>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</si>
  <si>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</si>
  <si>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</si>
  <si>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</si>
  <si>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</si>
  <si>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</si>
  <si>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</si>
  <si>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</si>
  <si>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</si>
  <si>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</si>
  <si>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</si>
  <si>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</si>
  <si>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</si>
  <si>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</si>
  <si>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</si>
  <si>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</si>
  <si>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</si>
  <si>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</si>
  <si>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</si>
  <si>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</si>
  <si>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</si>
  <si>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</si>
  <si>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</si>
  <si>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</si>
  <si>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</si>
  <si>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</si>
  <si>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</si>
  <si>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</si>
  <si>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</si>
  <si>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</si>
  <si>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</si>
  <si>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</si>
  <si>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</si>
  <si>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</si>
  <si>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</si>
  <si>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</si>
  <si>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</si>
  <si>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</si>
  <si>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</si>
  <si>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</si>
  <si>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</si>
  <si>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</si>
  <si>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</si>
  <si>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</si>
  <si>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</si>
  <si>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</si>
  <si>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</si>
  <si>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</si>
  <si>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</si>
  <si>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</si>
  <si>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</si>
  <si>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</si>
  <si>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</si>
  <si>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</si>
  <si>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</si>
  <si>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</si>
  <si>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</si>
  <si>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</si>
  <si>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</si>
  <si>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</si>
  <si>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</si>
  <si>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</si>
  <si>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</si>
  <si>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</si>
  <si>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</si>
  <si>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</si>
  <si>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</si>
  <si>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</si>
  <si>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</si>
  <si>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</si>
  <si>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</si>
  <si>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</si>
  <si>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</si>
  <si>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</si>
  <si>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</si>
  <si>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</si>
  <si>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</si>
  <si>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</si>
  <si>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</si>
  <si>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</si>
  <si>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</si>
  <si>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</si>
  <si>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</si>
  <si>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</si>
  <si>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</si>
  <si>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</si>
  <si>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</si>
  <si>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</si>
  <si>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</si>
  <si>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</si>
  <si>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</si>
  <si>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</si>
  <si>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</si>
  <si>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</si>
  <si>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</si>
  <si>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</si>
  <si>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</si>
  <si>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</si>
  <si>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</si>
  <si>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</si>
  <si>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</si>
  <si>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</si>
  <si>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</si>
  <si>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</si>
  <si>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</si>
  <si>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</si>
  <si>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</si>
  <si>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</si>
  <si>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</si>
  <si>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</si>
  <si>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</si>
  <si>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</si>
  <si>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</si>
  <si>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</si>
  <si>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</si>
  <si>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</si>
  <si>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</si>
  <si>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</si>
  <si>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</si>
  <si>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</si>
  <si>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</si>
  <si>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</si>
  <si>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</si>
  <si>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</si>
  <si>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</si>
  <si>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</si>
  <si>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</si>
  <si>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</si>
  <si>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</si>
  <si>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</si>
  <si>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</si>
  <si>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</si>
  <si>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</si>
  <si>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</si>
  <si>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</si>
  <si>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</si>
  <si>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</si>
  <si>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</si>
  <si>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</si>
  <si>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</si>
  <si>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</si>
  <si>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</si>
  <si>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</si>
  <si>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</si>
  <si>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</si>
  <si>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</si>
  <si>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</si>
  <si>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</si>
  <si>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</si>
  <si>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</si>
  <si>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</si>
  <si>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</si>
  <si>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</si>
  <si>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</si>
  <si>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</si>
  <si>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</si>
  <si>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</si>
  <si>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</si>
  <si>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</si>
  <si>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</si>
  <si>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</si>
  <si>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</si>
  <si>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</si>
  <si>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</si>
  <si>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</si>
  <si>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</si>
  <si>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</si>
  <si>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</si>
  <si>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</si>
  <si>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</si>
  <si>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</si>
  <si>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</si>
  <si>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</si>
  <si>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</si>
  <si>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</si>
  <si>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</si>
  <si>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</si>
  <si>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</si>
  <si>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</si>
  <si>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</si>
  <si>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</si>
  <si>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</si>
  <si>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</si>
  <si>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</si>
  <si>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</si>
  <si>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</si>
  <si>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</si>
  <si>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</si>
  <si>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</si>
  <si>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</si>
  <si>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</si>
  <si>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</si>
  <si>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</si>
  <si>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</si>
  <si>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</si>
  <si>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</si>
  <si>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</si>
  <si>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</si>
  <si>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</si>
  <si>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</si>
  <si>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</si>
  <si>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</si>
  <si>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</si>
  <si>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</si>
  <si>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</si>
  <si>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</si>
  <si>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</si>
  <si>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</si>
  <si>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</si>
  <si>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</si>
  <si>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</si>
  <si>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</si>
  <si>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</si>
  <si>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</si>
  <si>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</si>
  <si>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</si>
  <si>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</si>
  <si>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</si>
  <si>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</si>
  <si>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</si>
  <si>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</si>
  <si>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</si>
  <si>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</si>
  <si>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</si>
  <si>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</si>
  <si>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</si>
  <si>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</si>
  <si>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</si>
  <si>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</si>
  <si>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</si>
  <si>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</si>
  <si>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</si>
  <si>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</si>
  <si>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</si>
  <si>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</si>
  <si>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</si>
  <si>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</si>
  <si>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</si>
  <si>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</si>
  <si>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</si>
  <si>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</si>
  <si>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</si>
  <si>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</si>
  <si>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</si>
  <si>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</si>
  <si>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</si>
  <si>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</si>
  <si>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</si>
  <si>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</si>
  <si>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</si>
  <si>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</si>
  <si>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</si>
  <si>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</si>
  <si>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</si>
  <si>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</si>
  <si>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</si>
  <si>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</si>
  <si>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</si>
  <si>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</si>
  <si>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</si>
  <si>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</si>
  <si>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</si>
  <si>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</si>
  <si>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</si>
  <si>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</si>
  <si>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</si>
  <si>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</si>
  <si>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</si>
  <si>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</si>
  <si>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</si>
  <si>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</si>
  <si>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</si>
  <si>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</si>
  <si>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</si>
  <si>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</si>
  <si>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</si>
  <si>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</si>
  <si>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</si>
  <si>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</si>
  <si>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</si>
  <si>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</si>
  <si>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</si>
  <si>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</si>
  <si>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</si>
  <si>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</si>
  <si>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</si>
  <si>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</si>
  <si>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</si>
  <si>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</si>
  <si>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</si>
  <si>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</si>
  <si>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</si>
  <si>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</si>
  <si>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</si>
  <si>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</si>
  <si>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</si>
  <si>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</si>
  <si>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</si>
  <si>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</si>
  <si>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</si>
  <si>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</si>
  <si>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</si>
  <si>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</si>
  <si>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</si>
  <si>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</si>
  <si>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</si>
  <si>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</si>
  <si>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</si>
  <si>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</si>
  <si>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</si>
  <si>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</si>
  <si>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</si>
  <si>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</si>
  <si>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</si>
  <si>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</si>
  <si>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</si>
  <si>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</si>
  <si>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</si>
  <si>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</si>
  <si>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</si>
  <si>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</si>
  <si>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</si>
  <si>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</si>
  <si>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</si>
  <si>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</si>
  <si>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</si>
  <si>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</si>
  <si>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</si>
  <si>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</si>
  <si>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</si>
  <si>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</si>
  <si>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</si>
  <si>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</si>
  <si>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</si>
  <si>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</si>
  <si>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</si>
  <si>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</si>
  <si>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</si>
  <si>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</si>
  <si>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</si>
  <si>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</si>
  <si>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</si>
  <si>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</si>
  <si>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</si>
  <si>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</si>
  <si>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</si>
  <si>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</si>
  <si>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</si>
  <si>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</si>
  <si>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</si>
  <si>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</si>
  <si>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</si>
  <si>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</si>
  <si>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</si>
  <si>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</si>
  <si>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</si>
  <si>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</si>
  <si>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</si>
  <si>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</si>
  <si>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</si>
  <si>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</si>
  <si>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</si>
  <si>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</si>
  <si>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</si>
  <si>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</si>
  <si>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</si>
  <si>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</si>
  <si>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</si>
  <si>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</si>
  <si>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</si>
  <si>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</si>
  <si>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</si>
  <si>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</si>
  <si>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</si>
  <si>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</si>
  <si>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</si>
  <si>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</si>
  <si>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</si>
  <si>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</si>
  <si>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</si>
  <si>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</si>
  <si>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</si>
  <si>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</si>
  <si>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</si>
  <si>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</si>
  <si>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</si>
  <si>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</si>
  <si>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</si>
  <si>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</si>
  <si>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</si>
  <si>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</si>
  <si>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</si>
  <si>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</si>
  <si>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</si>
  <si>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</si>
  <si>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</si>
  <si>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</si>
  <si>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</si>
  <si>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</si>
  <si>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</si>
  <si>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</si>
  <si>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</si>
  <si>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</si>
  <si>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</si>
  <si>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</si>
  <si>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</si>
  <si>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</si>
  <si>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</si>
  <si>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</si>
  <si>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</si>
  <si>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</si>
  <si>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</si>
  <si>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</si>
  <si>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</si>
  <si>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</si>
  <si>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</si>
  <si>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</si>
  <si>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</si>
  <si>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</si>
  <si>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</si>
  <si>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</si>
  <si>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</si>
  <si>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</si>
  <si>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</si>
  <si>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</si>
  <si>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</si>
  <si>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</si>
  <si>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</si>
  <si>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</si>
  <si>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</si>
  <si>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</si>
  <si>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</si>
  <si>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</si>
  <si>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</si>
  <si>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</si>
  <si>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</si>
  <si>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</si>
  <si>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</si>
  <si>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</si>
  <si>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</si>
  <si>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</si>
  <si>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</si>
  <si>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</si>
  <si>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</si>
  <si>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</si>
  <si>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</si>
  <si>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</si>
  <si>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</si>
  <si>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</si>
  <si>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</si>
  <si>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</si>
  <si>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</si>
  <si>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</si>
  <si>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</si>
  <si>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</si>
  <si>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</si>
  <si>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</si>
  <si>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</si>
  <si>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</si>
  <si>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</si>
  <si>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</si>
  <si>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</si>
  <si>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</si>
  <si>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</si>
  <si>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</si>
  <si>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</si>
  <si>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</si>
  <si>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</si>
  <si>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</si>
  <si>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</si>
  <si>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</si>
  <si>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</si>
  <si>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</si>
  <si>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</si>
  <si>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</si>
  <si>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</si>
  <si>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</si>
  <si>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</si>
  <si>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</si>
  <si>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</si>
  <si>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</si>
  <si>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</si>
  <si>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</si>
  <si>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</si>
  <si>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</si>
  <si>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</si>
  <si>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</si>
  <si>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</si>
  <si>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</si>
  <si>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</si>
  <si>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</si>
  <si>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</si>
  <si>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</si>
  <si>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</si>
  <si>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</si>
  <si>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</si>
  <si>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</si>
  <si>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</si>
  <si>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</si>
  <si>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</si>
  <si>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</si>
  <si>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</si>
  <si>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</si>
  <si>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</si>
  <si>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</si>
  <si>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</si>
  <si>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</si>
  <si>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</si>
  <si>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</si>
  <si>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</si>
  <si>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</si>
  <si>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</si>
  <si>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</si>
  <si>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</si>
  <si>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</si>
  <si>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</si>
  <si>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</si>
  <si>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</si>
  <si>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</si>
  <si>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</si>
  <si>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</si>
  <si>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</si>
  <si>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</si>
  <si>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</si>
  <si>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</si>
  <si>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</si>
  <si>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</si>
  <si>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</si>
  <si>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</si>
  <si>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</si>
  <si>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</si>
  <si>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</si>
  <si>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</si>
  <si>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</si>
  <si>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</si>
  <si>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</si>
  <si>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</si>
  <si>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</si>
  <si>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</si>
  <si>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</si>
  <si>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</si>
  <si>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</si>
  <si>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</si>
  <si>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</si>
  <si>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</si>
  <si>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</si>
  <si>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</si>
  <si>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</si>
  <si>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</si>
  <si>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</si>
  <si>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</si>
  <si>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</si>
  <si>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</si>
  <si>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</si>
  <si>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</si>
  <si>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</si>
  <si>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</si>
  <si>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</si>
  <si>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</si>
  <si>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</si>
  <si>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</si>
  <si>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</si>
  <si>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</si>
  <si>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</si>
  <si>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</si>
  <si>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</si>
  <si>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</si>
  <si>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</si>
  <si>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</si>
  <si>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</si>
  <si>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</si>
  <si>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</si>
  <si>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</si>
  <si>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</si>
  <si>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</si>
  <si>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</si>
  <si>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</si>
  <si>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</si>
  <si>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</si>
  <si>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</si>
  <si>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</si>
  <si>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</si>
  <si>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</si>
  <si>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</si>
  <si>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</si>
  <si>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</si>
  <si>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</si>
  <si>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</si>
  <si>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</si>
  <si>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</si>
  <si>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</si>
  <si>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</si>
  <si>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</si>
  <si>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</si>
  <si>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</si>
  <si>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</si>
  <si>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</si>
  <si>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</si>
  <si>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</si>
  <si>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</si>
  <si>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</si>
  <si>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</si>
  <si>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</si>
  <si>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</si>
  <si>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</si>
  <si>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</si>
  <si>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</si>
  <si>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</si>
  <si>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</si>
  <si>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</si>
  <si>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</si>
  <si>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</si>
  <si>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</si>
  <si>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</si>
  <si>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</si>
  <si>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</si>
  <si>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</si>
  <si>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</si>
  <si>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</si>
  <si>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</si>
  <si>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</si>
  <si>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</si>
  <si>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</si>
  <si>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</si>
  <si>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</si>
  <si>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</si>
  <si>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</si>
  <si>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</si>
  <si>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</si>
  <si>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</si>
  <si>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</si>
  <si>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</si>
  <si>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</si>
  <si>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</si>
  <si>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</si>
  <si>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</si>
  <si>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</si>
  <si>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</si>
  <si>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</si>
  <si>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</si>
  <si>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</si>
  <si>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</si>
  <si>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</si>
  <si>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</si>
  <si>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</si>
  <si>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</si>
  <si>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</si>
  <si>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</si>
  <si>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</si>
  <si>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</si>
  <si>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</si>
  <si>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</si>
  <si>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</si>
  <si>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</si>
  <si>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</si>
  <si>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</si>
  <si>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</si>
  <si>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</si>
  <si>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</si>
  <si>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</si>
  <si>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</si>
  <si>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</si>
  <si>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</si>
  <si>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</si>
  <si>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</si>
  <si>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</si>
  <si>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</si>
  <si>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</si>
  <si>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</si>
  <si>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</si>
  <si>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</si>
  <si>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</si>
  <si>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</si>
  <si>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</si>
  <si>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</si>
  <si>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</si>
  <si>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</si>
  <si>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</si>
  <si>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</si>
  <si>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</si>
  <si>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</si>
  <si>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</si>
  <si>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</si>
  <si>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</si>
  <si>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</si>
  <si>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</si>
  <si>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</si>
  <si>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</si>
  <si>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</si>
  <si>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</si>
  <si>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</si>
  <si>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</si>
  <si>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</si>
  <si>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</si>
  <si>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</si>
  <si>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</si>
  <si>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</si>
  <si>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</si>
  <si>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</si>
  <si>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</si>
  <si>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</si>
  <si>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</si>
  <si>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</si>
  <si>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</si>
  <si>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</si>
  <si>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</si>
  <si>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</si>
  <si>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</si>
  <si>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</si>
  <si>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</si>
  <si>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</si>
  <si>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</si>
  <si>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</si>
  <si>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</si>
  <si>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</si>
  <si>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</si>
  <si>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</si>
  <si>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</si>
  <si>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</si>
  <si>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</si>
  <si>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</si>
  <si>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</si>
  <si>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</si>
  <si>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</si>
  <si>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</si>
  <si>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</si>
  <si>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</si>
  <si>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</si>
  <si>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</si>
  <si>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</si>
  <si>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</si>
  <si>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</si>
  <si>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</si>
  <si>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</si>
  <si>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</si>
  <si>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</si>
  <si>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</si>
  <si>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</si>
  <si>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</si>
  <si>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</si>
  <si>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</si>
  <si>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</si>
  <si>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</si>
  <si>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</si>
  <si>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</si>
  <si>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</si>
  <si>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</si>
  <si>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</si>
  <si>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</si>
  <si>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</si>
  <si>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</si>
  <si>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</si>
  <si>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</si>
  <si>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</si>
  <si>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</si>
  <si>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</si>
  <si>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</si>
  <si>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</si>
  <si>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</si>
  <si>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</si>
  <si>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</si>
  <si>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</si>
  <si>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</si>
  <si>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</si>
  <si>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</si>
  <si>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</si>
  <si>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</si>
  <si>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</si>
  <si>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</si>
  <si>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</si>
  <si>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</si>
  <si>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</si>
  <si>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</si>
  <si>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</si>
  <si>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</si>
  <si>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</si>
  <si>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</si>
  <si>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</si>
  <si>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</si>
  <si>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</si>
  <si>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</si>
  <si>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</si>
  <si>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</si>
  <si>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</si>
  <si>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</si>
  <si>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</si>
  <si>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</si>
  <si>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</si>
  <si>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</si>
  <si>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</si>
  <si>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</si>
  <si>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</si>
  <si>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</si>
  <si>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</si>
  <si>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</si>
  <si>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</si>
  <si>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</si>
  <si>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</si>
  <si>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</si>
  <si>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</si>
  <si>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</si>
  <si>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</si>
  <si>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</si>
  <si>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</si>
  <si>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</si>
  <si>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</si>
  <si>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</si>
  <si>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</si>
  <si>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</si>
  <si>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</si>
  <si>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</si>
  <si>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</si>
  <si>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</si>
  <si>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</si>
  <si>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</si>
  <si>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</si>
  <si>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</si>
  <si>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</si>
  <si>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</si>
  <si>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</si>
  <si>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</si>
  <si>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</si>
  <si>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</si>
  <si>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</si>
  <si>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</si>
  <si>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</si>
  <si>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</si>
  <si>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</si>
  <si>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</si>
  <si>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</si>
  <si>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</si>
  <si>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</si>
  <si>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</si>
  <si>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</si>
  <si>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</si>
  <si>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</si>
  <si>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</si>
  <si>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</si>
  <si>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</si>
  <si>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</si>
  <si>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</si>
  <si>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</si>
  <si>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</si>
  <si>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</si>
  <si>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</si>
  <si>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</si>
  <si>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</si>
  <si>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</si>
  <si>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</si>
  <si>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</si>
  <si>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</si>
  <si>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</si>
  <si>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</si>
  <si>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</si>
  <si>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</si>
  <si>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</si>
  <si>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</si>
  <si>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</si>
  <si>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</si>
  <si>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</si>
  <si>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</si>
  <si>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</si>
  <si>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</si>
  <si>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</si>
  <si>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</si>
  <si>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</si>
  <si>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</si>
  <si>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</si>
  <si>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</si>
  <si>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</si>
  <si>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</si>
  <si>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</si>
  <si>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</si>
  <si>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</si>
  <si>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</si>
  <si>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</si>
  <si>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</si>
  <si>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</si>
  <si>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</si>
  <si>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</si>
  <si>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</si>
  <si>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</si>
  <si>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</si>
  <si>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</si>
  <si>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</si>
  <si>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</si>
  <si>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</si>
  <si>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</si>
  <si>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</si>
  <si>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</si>
  <si>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</si>
  <si>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</si>
  <si>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</si>
  <si>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</si>
  <si>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</si>
  <si>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</si>
  <si>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</si>
  <si>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</si>
  <si>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</si>
  <si>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</si>
  <si>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</si>
  <si>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</si>
  <si>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</si>
  <si>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</si>
  <si>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</si>
  <si>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</si>
  <si>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</si>
  <si>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</si>
  <si>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</si>
  <si>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</si>
  <si>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</si>
  <si>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</si>
  <si>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</si>
  <si>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</si>
  <si>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</si>
  <si>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</si>
  <si>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</si>
  <si>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</si>
  <si>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</si>
  <si>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</si>
  <si>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</si>
  <si>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</si>
  <si>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</si>
  <si>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</si>
  <si>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</si>
  <si>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</si>
  <si>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</si>
  <si>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</si>
  <si>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</si>
  <si>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</si>
  <si>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</si>
  <si>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</si>
  <si>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</si>
  <si>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</si>
  <si>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</si>
  <si>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</si>
  <si>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</si>
  <si>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</si>
  <si>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</si>
  <si>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</si>
  <si>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</si>
  <si>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</si>
  <si>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</si>
  <si>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</si>
  <si>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</si>
  <si>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</si>
  <si>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</si>
  <si>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</si>
  <si>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</si>
  <si>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</si>
  <si>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</si>
  <si>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</si>
  <si>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</si>
  <si>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</si>
  <si>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</si>
  <si>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</si>
  <si>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</si>
  <si>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</si>
  <si>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</si>
  <si>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</si>
  <si>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</si>
  <si>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</si>
  <si>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</si>
  <si>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</si>
  <si>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</si>
  <si>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</si>
  <si>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</si>
  <si>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</si>
  <si>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</si>
  <si>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</si>
  <si>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</si>
  <si>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</si>
  <si>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</si>
  <si>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</si>
  <si>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</si>
  <si>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</si>
  <si>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</si>
  <si>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</si>
  <si>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</si>
  <si>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</si>
  <si>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</si>
  <si>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</si>
  <si>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</si>
  <si>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</si>
  <si>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</si>
  <si>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</si>
  <si>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</si>
  <si>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</si>
  <si>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</si>
  <si>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</si>
  <si>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</si>
  <si>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</si>
  <si>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</si>
  <si>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</si>
  <si>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</si>
  <si>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</si>
  <si>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</si>
  <si>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</si>
  <si>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</si>
  <si>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</si>
  <si>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</si>
  <si>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</si>
  <si>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</si>
  <si>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</si>
  <si>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</si>
  <si>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</si>
  <si>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</si>
  <si>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</si>
  <si>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</si>
  <si>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</si>
  <si>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</si>
  <si>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</si>
  <si>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</si>
  <si>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</si>
  <si>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</si>
  <si>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</si>
  <si>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</si>
  <si>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</si>
  <si>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</si>
  <si>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</si>
  <si>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</si>
  <si>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</si>
  <si>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</si>
  <si>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</si>
  <si>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</si>
  <si>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</si>
  <si>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</si>
  <si>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</si>
  <si>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</si>
  <si>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</si>
  <si>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</si>
  <si>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</si>
  <si>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</si>
  <si>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</si>
  <si>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</si>
  <si>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</si>
  <si>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</si>
  <si>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</si>
  <si>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</si>
  <si>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</si>
  <si>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</si>
  <si>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</si>
  <si>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</si>
  <si>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</si>
  <si>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</si>
  <si>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</si>
  <si>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</si>
  <si>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</si>
  <si>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</si>
  <si>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</si>
  <si>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</si>
  <si>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</si>
  <si>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</si>
  <si>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</si>
  <si>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</si>
  <si>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</si>
  <si>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</si>
  <si>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</si>
  <si>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</si>
  <si>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</si>
  <si>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</si>
  <si>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</si>
  <si>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</si>
  <si>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</si>
  <si>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</si>
  <si>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</si>
  <si>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</si>
  <si>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</si>
  <si>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</si>
  <si>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</si>
  <si>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</si>
  <si>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</si>
  <si>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</si>
  <si>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</si>
  <si>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</si>
  <si>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</si>
  <si>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</si>
  <si>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</si>
  <si>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</si>
  <si>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</si>
  <si>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</si>
  <si>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</si>
  <si>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</si>
  <si>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</si>
  <si>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</si>
  <si>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</si>
  <si>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</si>
  <si>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</si>
  <si>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</si>
  <si>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</si>
  <si>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</si>
  <si>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</si>
  <si>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</si>
  <si>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</si>
  <si>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</si>
  <si>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</si>
  <si>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</si>
  <si>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</si>
  <si>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</si>
  <si>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</si>
  <si>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</si>
  <si>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</si>
  <si>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</si>
  <si>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</si>
  <si>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</si>
  <si>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</si>
  <si>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</si>
  <si>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</si>
  <si>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</si>
  <si>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</si>
  <si>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</si>
  <si>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</si>
  <si>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</si>
  <si>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</si>
  <si>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</si>
  <si>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</si>
  <si>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</si>
  <si>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</si>
  <si>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</si>
  <si>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</si>
  <si>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</si>
  <si>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</si>
  <si>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</si>
  <si>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</si>
  <si>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</si>
  <si>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</si>
  <si>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</si>
  <si>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</si>
  <si>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</si>
  <si>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</si>
  <si>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</si>
  <si>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</si>
  <si>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</si>
  <si>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</si>
  <si>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</si>
  <si>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</si>
  <si>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</si>
  <si>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</si>
  <si>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</si>
  <si>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</si>
  <si>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</si>
  <si>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</si>
  <si>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</si>
  <si>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</si>
  <si>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</si>
  <si>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</si>
  <si>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</si>
  <si>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</si>
  <si>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</si>
  <si>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</si>
  <si>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</si>
  <si>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</si>
  <si>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</si>
  <si>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</si>
  <si>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</si>
  <si>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</si>
  <si>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</si>
  <si>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</si>
  <si>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</si>
  <si>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</si>
  <si>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</si>
  <si>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</si>
  <si>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</si>
  <si>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</si>
  <si>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</si>
  <si>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</si>
  <si>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</si>
  <si>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</si>
  <si>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</si>
  <si>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</si>
  <si>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</si>
  <si>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</si>
  <si>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</si>
  <si>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</si>
  <si>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</si>
  <si>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</si>
  <si>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</si>
  <si>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</si>
  <si>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</si>
  <si>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</si>
  <si>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</si>
  <si>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</si>
  <si>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</si>
  <si>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</si>
  <si>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</si>
  <si>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</si>
  <si>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</si>
  <si>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</si>
  <si>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</si>
  <si>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</si>
  <si>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</si>
  <si>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</si>
  <si>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</si>
  <si>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</si>
  <si>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</si>
  <si>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</si>
  <si>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</si>
  <si>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</si>
  <si>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</si>
  <si>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</si>
  <si>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</si>
  <si>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</si>
  <si>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</si>
  <si>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</si>
  <si>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</si>
  <si>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</si>
  <si>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</si>
  <si>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</si>
  <si>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</si>
  <si>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</si>
  <si>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</si>
  <si>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</si>
  <si>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</si>
  <si>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</si>
  <si>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</si>
  <si>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</si>
  <si>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</si>
  <si>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</si>
  <si>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</si>
  <si>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</si>
  <si>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</si>
  <si>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</si>
  <si>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</si>
  <si>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</si>
  <si>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</si>
  <si>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</si>
  <si>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</si>
  <si>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</si>
  <si>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</si>
  <si>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</si>
  <si>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</si>
  <si>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</si>
  <si>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</si>
  <si>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</si>
  <si>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</si>
  <si>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</si>
  <si>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</si>
  <si>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</si>
  <si>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</si>
  <si>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</si>
  <si>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</si>
  <si>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</si>
  <si>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</si>
  <si>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</si>
  <si>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</si>
  <si>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</si>
  <si>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</si>
  <si>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</si>
  <si>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</si>
  <si>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</si>
  <si>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</si>
  <si>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</si>
  <si>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</si>
  <si>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</si>
  <si>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</si>
  <si>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</si>
  <si>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</si>
  <si>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</si>
  <si>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</si>
  <si>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</si>
  <si>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</si>
  <si>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</si>
  <si>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</si>
  <si>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</si>
  <si>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</si>
  <si>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</si>
  <si>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</si>
  <si>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</si>
  <si>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</si>
  <si>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</si>
  <si>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</si>
  <si>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</si>
  <si>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</si>
  <si>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</si>
  <si>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</si>
  <si>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</si>
  <si>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</si>
  <si>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</si>
  <si>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</si>
  <si>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</si>
  <si>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</si>
  <si>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</si>
  <si>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</si>
  <si>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</si>
  <si>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</si>
  <si>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</si>
  <si>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</si>
  <si>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</si>
  <si>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</si>
  <si>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</si>
  <si>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</si>
  <si>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</si>
  <si>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</si>
  <si>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</si>
  <si>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</si>
  <si>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</si>
  <si>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</si>
  <si>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</si>
  <si>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</si>
  <si>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</si>
  <si>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</si>
  <si>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</si>
  <si>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</si>
  <si>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</si>
  <si>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</si>
  <si>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</si>
  <si>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</si>
  <si>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</si>
  <si>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</si>
  <si>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</si>
  <si>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</si>
  <si>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</si>
  <si>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</si>
  <si>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</si>
  <si>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</si>
  <si>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</si>
  <si>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</si>
  <si>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</si>
  <si>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</si>
  <si>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</si>
  <si>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</si>
  <si>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</si>
  <si>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</si>
  <si>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</si>
  <si>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</si>
  <si>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</si>
  <si>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</si>
  <si>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</si>
  <si>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</si>
  <si>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</si>
  <si>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</si>
  <si>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</si>
  <si>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</si>
  <si>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</si>
  <si>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</si>
  <si>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</si>
  <si>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</si>
  <si>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</si>
  <si>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</si>
  <si>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</si>
  <si>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</si>
  <si>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</si>
  <si>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</si>
  <si>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</si>
  <si>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</si>
  <si>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</si>
  <si>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</si>
  <si>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</si>
  <si>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</si>
  <si>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</si>
  <si>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</si>
  <si>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</si>
  <si>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</si>
  <si>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</si>
  <si>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</si>
  <si>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</si>
  <si>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</si>
  <si>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</si>
  <si>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</si>
  <si>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</si>
  <si>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</si>
  <si>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</si>
  <si>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</si>
  <si>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</si>
  <si>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</si>
  <si>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</si>
  <si>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</si>
  <si>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</si>
  <si>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</si>
  <si>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</si>
  <si>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</si>
  <si>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</si>
  <si>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</si>
  <si>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</si>
  <si>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</si>
  <si>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</si>
  <si>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</si>
  <si>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</si>
  <si>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</si>
  <si>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</si>
  <si>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</si>
  <si>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</si>
  <si>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</si>
  <si>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</si>
  <si>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</si>
  <si>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</si>
  <si>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</si>
  <si>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</si>
  <si>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</si>
  <si>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</si>
  <si>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</si>
  <si>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</si>
  <si>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</si>
  <si>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</si>
  <si>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</si>
  <si>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</si>
  <si>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</si>
  <si>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</si>
  <si>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</si>
  <si>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</si>
  <si>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</si>
  <si>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</si>
  <si>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</si>
  <si>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</si>
  <si>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</si>
  <si>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</si>
  <si>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</si>
  <si>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</si>
  <si>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</si>
  <si>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</si>
  <si>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</si>
  <si>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</si>
  <si>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</si>
  <si>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</si>
  <si>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</si>
  <si>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</si>
  <si>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</si>
  <si>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</si>
  <si>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</si>
  <si>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</si>
  <si>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</si>
  <si>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</si>
  <si>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</si>
  <si>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</si>
  <si>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</si>
  <si>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</si>
  <si>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</si>
  <si>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</si>
  <si>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</si>
  <si>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</si>
  <si>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</si>
  <si>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</si>
  <si>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</si>
  <si>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</si>
  <si>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</si>
  <si>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</si>
  <si>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</si>
  <si>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</si>
  <si>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</si>
  <si>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</si>
  <si>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</si>
  <si>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</si>
  <si>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</si>
  <si>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</si>
  <si>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</si>
  <si>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</si>
  <si>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</si>
  <si>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</si>
  <si>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</si>
  <si>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</si>
  <si>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</si>
  <si>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</si>
  <si>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</si>
  <si>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</si>
  <si>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</si>
  <si>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</si>
  <si>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</si>
  <si>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</si>
  <si>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</si>
  <si>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</si>
  <si>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</si>
  <si>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</si>
  <si>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</si>
  <si>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</si>
  <si>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</si>
  <si>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</si>
  <si>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</si>
  <si>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</si>
  <si>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</si>
  <si>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</si>
  <si>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</si>
  <si>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</si>
  <si>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</si>
  <si>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</si>
  <si>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</si>
  <si>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</si>
  <si>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</si>
  <si>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</si>
  <si>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</si>
  <si>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</si>
  <si>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</si>
  <si>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</si>
  <si>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</si>
  <si>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</si>
  <si>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</si>
  <si>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</si>
  <si>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</si>
  <si>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</si>
  <si>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</si>
  <si>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</si>
  <si>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</si>
  <si>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</si>
  <si>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</si>
  <si>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</si>
  <si>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</si>
  <si>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</si>
  <si>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</si>
  <si>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</si>
  <si>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</si>
  <si>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</si>
  <si>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</si>
  <si>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</si>
  <si>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</si>
  <si>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</si>
  <si>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</si>
  <si>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</si>
  <si>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</si>
  <si>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</si>
  <si>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</si>
  <si>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</si>
  <si>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</si>
  <si>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</si>
  <si>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</si>
  <si>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</si>
  <si>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</si>
  <si>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</si>
  <si>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</si>
  <si>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</si>
  <si>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</si>
  <si>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</si>
  <si>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</si>
  <si>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</si>
  <si>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</si>
  <si>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</si>
  <si>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</si>
  <si>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</si>
  <si>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</si>
  <si>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</si>
  <si>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</si>
  <si>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</si>
  <si>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</si>
  <si>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</si>
  <si>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</si>
  <si>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</si>
  <si>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</si>
  <si>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</si>
  <si>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</si>
  <si>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</si>
  <si>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</si>
  <si>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</si>
  <si>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</si>
  <si>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</si>
  <si>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</si>
  <si>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</si>
  <si>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</si>
  <si>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</si>
  <si>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</si>
  <si>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</si>
  <si>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</si>
  <si>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</si>
  <si>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</si>
  <si>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</si>
  <si>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</si>
  <si>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</si>
  <si>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</si>
  <si>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</si>
  <si>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</si>
  <si>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</si>
  <si>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</si>
  <si>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</si>
  <si>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</si>
  <si>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</si>
  <si>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</si>
  <si>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</si>
  <si>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</si>
  <si>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</si>
  <si>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</si>
  <si>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</si>
  <si>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</si>
  <si>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</si>
  <si>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</si>
  <si>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</si>
  <si>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</si>
  <si>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</si>
  <si>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</si>
  <si>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</si>
  <si>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</si>
  <si>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</si>
  <si>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</si>
  <si>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</si>
  <si>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</si>
  <si>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</si>
  <si>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</si>
  <si>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</si>
  <si>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</si>
  <si>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</si>
  <si>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</si>
  <si>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</si>
  <si>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</si>
  <si>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</si>
  <si>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</si>
  <si>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</si>
  <si>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</si>
  <si>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</si>
  <si>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</si>
  <si>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</si>
  <si>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</si>
  <si>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</si>
  <si>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</si>
  <si>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</si>
  <si>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</si>
  <si>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</si>
  <si>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</si>
  <si>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</si>
  <si>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</si>
  <si>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</si>
  <si>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</si>
  <si>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</si>
  <si>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</si>
  <si>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</si>
  <si>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</si>
  <si>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</si>
  <si>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</si>
  <si>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</si>
  <si>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</si>
  <si>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</si>
  <si>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</si>
  <si>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</si>
  <si>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</si>
  <si>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</si>
  <si>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</si>
  <si>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</si>
  <si>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</si>
  <si>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</si>
  <si>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</si>
  <si>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</si>
  <si>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</si>
  <si>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</si>
  <si>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</si>
  <si>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</si>
  <si>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</si>
  <si>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</si>
  <si>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</si>
  <si>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</si>
  <si>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</si>
  <si>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</si>
  <si>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</si>
  <si>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</si>
  <si>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</si>
  <si>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</si>
  <si>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</si>
  <si>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</si>
  <si>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</si>
  <si>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</si>
  <si>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</si>
  <si>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</si>
  <si>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</si>
  <si>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</si>
  <si>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</si>
  <si>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</si>
  <si>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</si>
  <si>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</si>
  <si>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</si>
  <si>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</si>
  <si>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</si>
  <si>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</si>
  <si>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</si>
  <si>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</si>
  <si>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</si>
  <si>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</si>
  <si>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</si>
  <si>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</si>
  <si>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</si>
  <si>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</si>
  <si>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</si>
  <si>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</si>
  <si>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</si>
  <si>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</si>
  <si>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</si>
  <si>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</si>
  <si>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</si>
  <si>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</si>
  <si>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</si>
  <si>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</si>
  <si>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</si>
  <si>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</si>
  <si>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</si>
  <si>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</si>
  <si>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</si>
  <si>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</si>
  <si>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</si>
  <si>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</si>
  <si>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</si>
  <si>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</si>
  <si>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</si>
  <si>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</si>
  <si>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</si>
  <si>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</si>
  <si>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</si>
  <si>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</si>
  <si>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</si>
  <si>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</si>
  <si>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</si>
  <si>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</si>
  <si>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</si>
  <si>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</si>
  <si>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</si>
  <si>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</si>
  <si>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</si>
  <si>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</si>
  <si>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</si>
  <si>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</si>
  <si>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</si>
  <si>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</si>
  <si>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</si>
  <si>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</si>
  <si>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</si>
  <si>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</si>
  <si>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</si>
  <si>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</si>
  <si>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</si>
  <si>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</si>
  <si>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</si>
  <si>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</si>
  <si>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</si>
  <si>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</si>
  <si>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</si>
  <si>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</si>
  <si>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</si>
  <si>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</si>
  <si>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</si>
  <si>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</si>
  <si>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</si>
  <si>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</si>
  <si>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</si>
  <si>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</si>
  <si>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</si>
  <si>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</si>
  <si>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</si>
  <si>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</si>
  <si>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</si>
  <si>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</si>
  <si>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</si>
  <si>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</si>
  <si>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</si>
  <si>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</si>
  <si>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</si>
  <si>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</si>
  <si>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</si>
  <si>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</si>
  <si>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</si>
  <si>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</si>
  <si>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</si>
  <si>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</si>
  <si>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</si>
  <si>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</si>
  <si>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</si>
  <si>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</si>
  <si>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</si>
  <si>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</si>
  <si>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</si>
  <si>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</si>
  <si>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</si>
  <si>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</si>
  <si>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</si>
  <si>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</si>
  <si>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</si>
  <si>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</si>
  <si>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</si>
  <si>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</si>
  <si>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</si>
  <si>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</si>
  <si>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</si>
  <si>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</si>
  <si>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</si>
  <si>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</si>
  <si>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</si>
  <si>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</si>
  <si>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</si>
  <si>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</si>
  <si>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</si>
  <si>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</si>
  <si>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</si>
  <si>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</si>
  <si>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</si>
  <si>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</si>
  <si>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</si>
  <si>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</si>
  <si>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</si>
  <si>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</si>
  <si>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</si>
  <si>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</si>
  <si>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</si>
  <si>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</si>
  <si>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</si>
  <si>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</si>
  <si>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</si>
  <si>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</si>
  <si>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</si>
  <si>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</si>
  <si>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</si>
  <si>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</si>
  <si>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</si>
  <si>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</si>
  <si>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</si>
  <si>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</si>
  <si>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</si>
  <si>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</si>
  <si>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</si>
  <si>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</si>
  <si>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</si>
  <si>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</si>
  <si>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</si>
  <si>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</si>
  <si>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</si>
  <si>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</si>
  <si>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</si>
  <si>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</si>
  <si>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</si>
  <si>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</si>
  <si>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</si>
  <si>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</si>
  <si>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</si>
  <si>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</si>
  <si>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</si>
  <si>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</si>
  <si>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</si>
  <si>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</si>
  <si>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</si>
  <si>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</si>
  <si>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</si>
  <si>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</si>
  <si>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</si>
  <si>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</si>
  <si>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</si>
  <si>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</si>
  <si>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</si>
  <si>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</si>
  <si>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</si>
  <si>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</si>
  <si>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</si>
  <si>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</si>
  <si>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</si>
  <si>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</si>
  <si>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</si>
  <si>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</si>
  <si>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</si>
  <si>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</si>
  <si>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</si>
  <si>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</si>
  <si>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</si>
  <si>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</si>
  <si>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</si>
  <si>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</si>
  <si>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</si>
  <si>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</si>
  <si>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</si>
  <si>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</si>
  <si>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</si>
  <si>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</si>
  <si>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</si>
  <si>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</si>
  <si>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</si>
  <si>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</si>
  <si>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</si>
  <si>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</si>
  <si>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</si>
  <si>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</si>
  <si>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</si>
  <si>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</si>
  <si>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</si>
  <si>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</si>
  <si>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</si>
  <si>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</si>
  <si>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</si>
  <si>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</si>
  <si>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</si>
  <si>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</si>
  <si>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</si>
  <si>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</si>
  <si>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</si>
  <si>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</si>
  <si>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</si>
  <si>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</si>
  <si>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</si>
  <si>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</si>
  <si>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</si>
  <si>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</si>
  <si>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</si>
  <si>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</si>
  <si>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</si>
  <si>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</si>
  <si>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</si>
  <si>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</si>
  <si>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</si>
  <si>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</si>
  <si>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</si>
  <si>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</si>
  <si>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</si>
  <si>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</si>
  <si>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</si>
  <si>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</si>
  <si>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</si>
  <si>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</si>
  <si>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</si>
  <si>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</si>
  <si>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</si>
  <si>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</si>
  <si>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</si>
  <si>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</si>
  <si>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</si>
  <si>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</si>
  <si>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</si>
  <si>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</si>
  <si>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</si>
  <si>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</si>
  <si>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</si>
  <si>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</si>
  <si>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</si>
  <si>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</si>
  <si>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</si>
  <si>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</si>
  <si>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</si>
  <si>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</si>
  <si>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</si>
  <si>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</si>
  <si>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</si>
  <si>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</si>
  <si>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</si>
  <si>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</si>
  <si>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</si>
  <si>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</si>
  <si>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</si>
  <si>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</si>
  <si>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</si>
  <si>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</si>
  <si>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</si>
  <si>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</si>
  <si>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</si>
  <si>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</si>
  <si>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</si>
  <si>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</si>
  <si>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</si>
  <si>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</si>
  <si>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</si>
  <si>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</si>
  <si>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</si>
  <si>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</si>
  <si>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</si>
  <si>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</si>
  <si>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</si>
  <si>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</si>
  <si>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</si>
  <si>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</si>
  <si>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</si>
  <si>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</si>
  <si>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</si>
  <si>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</si>
  <si>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</si>
  <si>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</si>
  <si>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</si>
  <si>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</si>
  <si>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</si>
  <si>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</si>
  <si>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</si>
  <si>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</si>
  <si>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</si>
  <si>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</si>
  <si>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</si>
  <si>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</si>
  <si>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</si>
  <si>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</si>
  <si>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</si>
  <si>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</si>
  <si>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</si>
  <si>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</si>
  <si>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</si>
  <si>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</si>
  <si>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</si>
  <si>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</si>
  <si>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</si>
  <si>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</si>
  <si>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</si>
  <si>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</si>
  <si>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</si>
  <si>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</si>
  <si>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</si>
  <si>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</si>
  <si>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</si>
  <si>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</si>
  <si>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</si>
  <si>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</si>
  <si>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</si>
  <si>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</si>
  <si>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</si>
  <si>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</si>
  <si>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</si>
  <si>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</si>
  <si>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</si>
  <si>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</si>
  <si>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</si>
  <si>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</si>
  <si>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</si>
  <si>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</si>
  <si>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</si>
  <si>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</si>
  <si>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</si>
  <si>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</si>
  <si>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</si>
  <si>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</si>
  <si>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</si>
  <si>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</si>
  <si>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</si>
  <si>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</si>
  <si>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</si>
  <si>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</si>
  <si>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</si>
  <si>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</si>
  <si>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</si>
  <si>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</si>
  <si>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</si>
  <si>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</si>
  <si>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</si>
  <si>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</si>
  <si>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</si>
  <si>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</si>
  <si>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</si>
  <si>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</si>
  <si>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</si>
  <si>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</si>
  <si>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</si>
  <si>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</si>
  <si>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</si>
  <si>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</si>
  <si>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</si>
  <si>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</si>
  <si>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</si>
  <si>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</si>
  <si>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</si>
  <si>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</si>
  <si>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</si>
  <si>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</si>
  <si>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</si>
  <si>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</si>
  <si>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</si>
  <si>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</si>
  <si>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</si>
  <si>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</si>
  <si>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</si>
  <si>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</si>
  <si>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</si>
  <si>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</si>
  <si>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</si>
  <si>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</si>
  <si>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</si>
  <si>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</si>
  <si>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</si>
  <si>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</si>
  <si>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</si>
  <si>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</si>
  <si>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</si>
  <si>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</si>
  <si>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</si>
  <si>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</si>
  <si>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</si>
  <si>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</si>
  <si>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</si>
  <si>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</si>
  <si>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</si>
  <si>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</si>
  <si>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</si>
  <si>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</si>
  <si>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</si>
  <si>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</si>
  <si>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</si>
  <si>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</si>
  <si>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</si>
  <si>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</si>
  <si>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</si>
  <si>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</si>
  <si>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</si>
  <si>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</si>
  <si>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</si>
  <si>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</si>
  <si>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</si>
  <si>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</si>
  <si>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</si>
  <si>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</si>
  <si>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</si>
  <si>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</si>
  <si>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</si>
  <si>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</si>
  <si>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</si>
  <si>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</si>
  <si>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</si>
  <si>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</si>
  <si>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</si>
  <si>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</si>
  <si>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</si>
  <si>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</si>
  <si>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</si>
  <si>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</si>
  <si>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</si>
  <si>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</si>
  <si>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</si>
  <si>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</si>
  <si>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</si>
  <si>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</si>
  <si>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</si>
  <si>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</si>
  <si>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</si>
  <si>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</si>
  <si>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</si>
  <si>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</si>
  <si>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</si>
  <si>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</si>
  <si>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</si>
  <si>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</si>
  <si>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</si>
  <si>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</si>
  <si>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</si>
  <si>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</si>
  <si>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</si>
  <si>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</si>
  <si>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</si>
  <si>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</si>
  <si>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</si>
  <si>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</si>
  <si>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</si>
  <si>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</si>
  <si>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</si>
  <si>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</si>
  <si>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</si>
  <si>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</si>
  <si>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</si>
  <si>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</si>
  <si>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</si>
  <si>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</si>
  <si>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</si>
  <si>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</si>
  <si>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</si>
  <si>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</si>
  <si>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</si>
  <si>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</si>
  <si>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</si>
  <si>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</si>
  <si>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</si>
  <si>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</si>
  <si>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</si>
  <si>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</si>
  <si>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</si>
  <si>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</si>
  <si>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</si>
  <si>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</si>
  <si>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</si>
  <si>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</si>
  <si>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</si>
  <si>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</si>
  <si>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</si>
  <si>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</si>
  <si>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</si>
  <si>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</si>
  <si>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</si>
  <si>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</si>
  <si>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</si>
  <si>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</si>
  <si>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</si>
  <si>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</si>
  <si>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</si>
  <si>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</si>
  <si>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</si>
  <si>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</si>
  <si>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</si>
  <si>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</si>
  <si>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</si>
  <si>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</si>
  <si>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</si>
  <si>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</si>
  <si>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</si>
  <si>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</si>
  <si>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</si>
  <si>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</si>
  <si>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</si>
  <si>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</si>
  <si>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</si>
  <si>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</si>
  <si>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</si>
  <si>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</si>
  <si>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</si>
  <si>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</si>
  <si>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</si>
  <si>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</si>
  <si>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</si>
  <si>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</si>
  <si>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</si>
  <si>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</si>
  <si>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</si>
  <si>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</si>
  <si>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</si>
  <si>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</si>
  <si>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</si>
  <si>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</si>
  <si>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</si>
  <si>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</si>
  <si>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</si>
  <si>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</si>
  <si>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</si>
  <si>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</si>
  <si>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</si>
  <si>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</si>
  <si>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</si>
  <si>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</si>
  <si>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</si>
  <si>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</si>
  <si>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</si>
  <si>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</si>
  <si>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</si>
  <si>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</si>
  <si>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</si>
  <si>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</si>
  <si>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</si>
  <si>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</si>
  <si>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</si>
  <si>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</si>
  <si>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</si>
  <si>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</si>
  <si>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</si>
  <si>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</si>
  <si>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</si>
  <si>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</si>
  <si>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</si>
  <si>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</si>
  <si>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</si>
  <si>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</si>
  <si>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</si>
  <si>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</si>
  <si>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</si>
  <si>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</si>
  <si>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</si>
  <si>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</si>
  <si>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</si>
  <si>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</si>
  <si>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</si>
  <si>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</si>
  <si>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</si>
  <si>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</si>
  <si>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</si>
  <si>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</si>
  <si>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</si>
  <si>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</si>
  <si>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</si>
  <si>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</si>
  <si>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</si>
  <si>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</si>
  <si>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</si>
  <si>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</si>
  <si>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</si>
  <si>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</si>
  <si>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</si>
  <si>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</si>
  <si>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</si>
  <si>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</si>
  <si>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</si>
  <si>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</si>
  <si>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</si>
  <si>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</si>
  <si>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</si>
  <si>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</si>
  <si>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</si>
  <si>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</si>
  <si>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</si>
  <si>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</si>
  <si>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</si>
  <si>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</si>
  <si>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</si>
  <si>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</si>
  <si>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</si>
  <si>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</si>
  <si>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</si>
  <si>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</si>
  <si>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</si>
  <si>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</si>
  <si>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</si>
  <si>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</si>
  <si>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</si>
  <si>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</si>
  <si>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</si>
  <si>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</si>
  <si>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</si>
  <si>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</si>
  <si>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</si>
  <si>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</si>
  <si>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</si>
  <si>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</si>
  <si>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</si>
  <si>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</si>
  <si>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</si>
  <si>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</si>
  <si>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</si>
  <si>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</si>
  <si>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</si>
  <si>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</si>
  <si>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</si>
  <si>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</si>
  <si>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</si>
  <si>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</si>
  <si>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</si>
  <si>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</si>
  <si>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</si>
  <si>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</si>
  <si>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</si>
  <si>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</si>
  <si>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</si>
  <si>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</si>
  <si>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</si>
  <si>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</si>
  <si>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</si>
  <si>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</si>
  <si>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</si>
  <si>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</si>
  <si>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</si>
  <si>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</si>
  <si>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</si>
  <si>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</si>
  <si>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</si>
  <si>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</si>
  <si>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</si>
  <si>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</si>
  <si>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</si>
  <si>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</si>
  <si>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</si>
  <si>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</si>
  <si>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</si>
  <si>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</si>
  <si>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</si>
  <si>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</si>
  <si>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</si>
  <si>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</si>
  <si>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</si>
  <si>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</si>
  <si>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</si>
  <si>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</si>
  <si>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</si>
  <si>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</si>
  <si>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</si>
  <si>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</si>
  <si>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</si>
  <si>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</si>
  <si>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</si>
  <si>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</si>
  <si>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</si>
  <si>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</si>
  <si>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</si>
  <si>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</si>
  <si>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</si>
  <si>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</si>
  <si>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</si>
  <si>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</si>
  <si>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</si>
  <si>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</si>
  <si>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</si>
  <si>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</si>
  <si>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</si>
  <si>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</si>
  <si>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</si>
  <si>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</si>
  <si>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</si>
  <si>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塔羅牌-正義</t>
  </si>
  <si>
    <t>消除狀態</t>
  </si>
  <si>
    <t>ジャスティス</t>
  </si>
  <si>
    <t>全てのバフ、デバフを取り除く</t>
  </si>
  <si>
    <t>Justice</t>
  </si>
  <si>
    <t>Removes status ailments</t>
  </si>
  <si>
    <t>정의</t>
  </si>
  <si>
    <t>상태이상 제거</t>
  </si>
  <si>
    <t>Gerechtigkeit</t>
  </si>
  <si>
    <t>Entfernt alle Statuseffekte</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</si>
  <si>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</si>
  <si>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</si>
  <si>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</si>
  <si>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</si>
  <si>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</si>
  <si>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</si>
  <si>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</si>
  <si>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</si>
  <si>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</si>
  <si>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</si>
  <si>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</si>
  <si>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</si>
  <si>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</si>
  <si>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</si>
  <si>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</si>
  <si>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</si>
  <si>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</si>
  <si>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</si>
  <si>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</si>
  <si>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</si>
  <si>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</si>
  <si>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</si>
  <si>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</si>
  <si>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</si>
  <si>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</si>
  <si>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</si>
  <si>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</si>
  <si>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</si>
  <si>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</si>
  <si>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</si>
  <si>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</si>
  <si>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</si>
  <si>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</si>
  <si>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</si>
  <si>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</si>
  <si>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</si>
  <si>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</si>
  <si>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</si>
  <si>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</si>
  <si>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</si>
  <si>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</si>
  <si>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</si>
  <si>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</si>
  <si>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</si>
  <si>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</si>
  <si>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</si>
  <si>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</si>
  <si>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</si>
  <si>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</si>
  <si>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</si>
  <si>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</si>
  <si>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</si>
  <si>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</si>
  <si>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</si>
  <si>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</si>
  <si>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</si>
  <si>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</si>
  <si>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</si>
  <si>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</si>
  <si>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</si>
  <si>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</si>
  <si>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</si>
  <si>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</si>
  <si>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</si>
  <si>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</si>
  <si>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</si>
  <si>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</si>
  <si>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</si>
  <si>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</si>
  <si>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</si>
  <si>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</si>
  <si>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</si>
  <si>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</si>
  <si>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</si>
  <si>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</si>
  <si>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</si>
  <si>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</si>
  <si>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</si>
  <si>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</si>
  <si>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</si>
  <si>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</si>
  <si>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</si>
  <si>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</si>
  <si>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</si>
  <si>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</si>
  <si>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</si>
  <si>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</si>
  <si>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</si>
  <si>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</si>
  <si>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</si>
  <si>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</si>
  <si>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</si>
  <si>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</si>
  <si>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</si>
  <si>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</si>
  <si>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</si>
  <si>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</si>
  <si>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</si>
  <si>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</si>
  <si>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</si>
  <si>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</si>
  <si>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</si>
  <si>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</si>
  <si>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</si>
  <si>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</si>
  <si>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</si>
  <si>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</si>
  <si>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</si>
  <si>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</si>
  <si>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</si>
  <si>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</si>
  <si>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</si>
  <si>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</si>
  <si>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</si>
  <si>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</si>
  <si>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</si>
  <si>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</si>
  <si>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</si>
  <si>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</si>
  <si>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</si>
  <si>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</si>
  <si>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</si>
  <si>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</si>
  <si>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</si>
  <si>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</si>
  <si>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</si>
  <si>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</si>
  <si>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</si>
  <si>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</si>
  <si>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</si>
  <si>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</si>
  <si>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</si>
  <si>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</si>
  <si>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</si>
  <si>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</si>
  <si>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</si>
  <si>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</si>
  <si>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</si>
  <si>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</si>
  <si>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</si>
  <si>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</si>
  <si>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</si>
  <si>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</si>
  <si>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</si>
  <si>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</si>
  <si>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</si>
  <si>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</si>
  <si>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</si>
  <si>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</si>
  <si>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</si>
  <si>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</si>
  <si>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</si>
  <si>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</si>
  <si>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</si>
  <si>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</si>
  <si>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</si>
  <si>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</si>
  <si>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</si>
  <si>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</si>
  <si>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</si>
  <si>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</si>
  <si>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</si>
  <si>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</si>
  <si>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</si>
  <si>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</si>
  <si>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</si>
  <si>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</si>
  <si>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</si>
  <si>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</si>
  <si>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</si>
  <si>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</si>
  <si>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</si>
  <si>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</si>
  <si>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</si>
  <si>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</si>
  <si>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</si>
  <si>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</si>
  <si>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</si>
  <si>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</si>
  <si>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</si>
  <si>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</si>
  <si>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</si>
  <si>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</si>
  <si>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</si>
  <si>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</si>
  <si>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</si>
  <si>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</si>
  <si>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</si>
  <si>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</si>
  <si>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</si>
  <si>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</si>
  <si>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</si>
  <si>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</si>
  <si>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</si>
  <si>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</si>
  <si>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</si>
  <si>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</si>
  <si>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</si>
  <si>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</si>
  <si>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</si>
  <si>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</si>
  <si>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</si>
  <si>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</si>
  <si>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</si>
  <si>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</si>
  <si>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</si>
  <si>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</si>
  <si>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</si>
  <si>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</si>
  <si>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</si>
  <si>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</si>
  <si>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</si>
  <si>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</si>
  <si>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</si>
  <si>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</si>
  <si>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</si>
  <si>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</si>
  <si>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</si>
  <si>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</si>
  <si>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</si>
  <si>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</si>
  <si>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</si>
  <si>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</si>
  <si>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</si>
  <si>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</si>
  <si>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</si>
  <si>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</si>
  <si>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</si>
  <si>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</si>
  <si>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</si>
  <si>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</si>
  <si>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</si>
  <si>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</si>
  <si>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</si>
  <si>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</si>
  <si>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</si>
  <si>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</si>
  <si>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</si>
  <si>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</si>
  <si>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</si>
  <si>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</si>
  <si>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</si>
  <si>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</si>
  <si>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</si>
  <si>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</si>
  <si>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</si>
  <si>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</si>
  <si>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</si>
  <si>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</si>
  <si>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</si>
  <si>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</si>
  <si>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</si>
  <si>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</si>
  <si>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</si>
  <si>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</si>
  <si>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</si>
  <si>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</si>
  <si>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</si>
  <si>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</si>
  <si>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</si>
  <si>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</si>
  <si>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</si>
  <si>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</si>
  <si>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</si>
  <si>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</si>
  <si>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</si>
  <si>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</si>
  <si>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</si>
  <si>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</si>
  <si>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</si>
  <si>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</si>
  <si>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</si>
  <si>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</si>
  <si>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</si>
  <si>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</si>
  <si>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</si>
  <si>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</si>
  <si>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</si>
  <si>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</si>
  <si>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</si>
  <si>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</si>
  <si>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</si>
  <si>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</si>
  <si>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</si>
  <si>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</si>
  <si>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</si>
  <si>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</si>
  <si>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</si>
  <si>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</si>
  <si>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</si>
  <si>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</si>
  <si>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</si>
  <si>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</si>
  <si>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</si>
  <si>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</si>
  <si>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</si>
  <si>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</si>
  <si>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</si>
  <si>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</si>
  <si>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</si>
  <si>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</si>
  <si>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</si>
  <si>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</si>
  <si>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</si>
  <si>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</si>
  <si>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</si>
  <si>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</si>
  <si>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</si>
  <si>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</si>
  <si>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</si>
  <si>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</si>
  <si>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</si>
  <si>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</si>
  <si>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</si>
  <si>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</si>
  <si>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</si>
  <si>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</si>
  <si>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</si>
  <si>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</si>
  <si>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</si>
  <si>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</si>
  <si>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</si>
  <si>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</si>
  <si>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</si>
  <si>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</si>
  <si>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</si>
  <si>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</si>
  <si>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</si>
  <si>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</si>
  <si>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</si>
  <si>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</si>
  <si>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</si>
  <si>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</si>
  <si>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</si>
  <si>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</si>
  <si>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</si>
  <si>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</si>
  <si>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</si>
  <si>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</si>
  <si>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</si>
  <si>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</si>
  <si>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</si>
  <si>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</si>
  <si>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</si>
  <si>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</si>
  <si>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</si>
  <si>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</si>
  <si>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</si>
  <si>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</si>
  <si>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</si>
  <si>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</si>
  <si>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</si>
  <si>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</si>
  <si>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</si>
  <si>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</si>
  <si>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</si>
  <si>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</si>
  <si>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</si>
  <si>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</si>
  <si>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</si>
  <si>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</si>
  <si>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</si>
  <si>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</si>
  <si>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</si>
  <si>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</si>
  <si>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</si>
  <si>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</si>
  <si>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</si>
  <si>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</si>
  <si>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</si>
  <si>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</si>
  <si>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</si>
  <si>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</si>
  <si>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</si>
  <si>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</si>
  <si>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</si>
  <si>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</si>
  <si>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</si>
  <si>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</si>
  <si>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</si>
  <si>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</si>
  <si>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</si>
  <si>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</si>
  <si>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</si>
  <si>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</si>
  <si>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</si>
  <si>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</si>
  <si>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</si>
  <si>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</si>
  <si>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</si>
  <si>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</si>
  <si>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</si>
  <si>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</si>
  <si>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</si>
  <si>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</si>
  <si>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</si>
  <si>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</si>
  <si>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</si>
  <si>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</si>
  <si>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</si>
  <si>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</si>
  <si>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</si>
  <si>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</si>
  <si>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</si>
  <si>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</si>
  <si>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</si>
  <si>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</si>
  <si>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</si>
  <si>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</si>
  <si>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</si>
  <si>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</si>
  <si>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</si>
  <si>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</si>
  <si>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</si>
  <si>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</si>
  <si>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</si>
  <si>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</si>
  <si>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</si>
  <si>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</si>
  <si>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</si>
  <si>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</si>
  <si>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</si>
  <si>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</si>
  <si>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</si>
  <si>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</si>
  <si>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</si>
  <si>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</si>
  <si>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</si>
  <si>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</si>
  <si>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</si>
  <si>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</si>
  <si>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</si>
  <si>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</si>
  <si>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</si>
  <si>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</si>
  <si>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</si>
  <si>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</si>
  <si>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</si>
  <si>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</si>
  <si>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</si>
  <si>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</si>
  <si>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</si>
  <si>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</si>
  <si>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</si>
  <si>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</si>
  <si>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</si>
  <si>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</si>
  <si>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</si>
  <si>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</si>
  <si>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</si>
  <si>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</si>
  <si>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</si>
  <si>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</si>
  <si>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</si>
  <si>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</si>
  <si>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</si>
  <si>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</si>
  <si>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</si>
  <si>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</si>
  <si>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</si>
  <si>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</si>
  <si>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</si>
  <si>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</si>
  <si>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</si>
  <si>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</si>
  <si>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</si>
  <si>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</si>
  <si>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</si>
  <si>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</si>
  <si>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</si>
  <si>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</si>
  <si>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</si>
  <si>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</si>
  <si>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</si>
  <si>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</si>
  <si>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</si>
  <si>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</si>
  <si>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</si>
  <si>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</si>
  <si>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</si>
  <si>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</si>
  <si>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</si>
  <si>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</si>
  <si>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</si>
  <si>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</si>
  <si>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</si>
  <si>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</si>
  <si>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</si>
  <si>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</si>
  <si>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</si>
  <si>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</si>
  <si>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</si>
  <si>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</si>
  <si>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</si>
  <si>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</si>
  <si>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</si>
  <si>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</si>
  <si>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</si>
  <si>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</si>
  <si>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</si>
  <si>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</si>
  <si>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</si>
  <si>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</si>
  <si>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</si>
  <si>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</si>
  <si>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</si>
  <si>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</si>
  <si>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</si>
  <si>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</si>
  <si>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</si>
  <si>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</si>
  <si>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</si>
  <si>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</si>
  <si>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</si>
  <si>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</si>
  <si>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</si>
  <si>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</si>
  <si>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</si>
  <si>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</si>
  <si>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</si>
  <si>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</si>
  <si>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</si>
  <si>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</si>
  <si>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</si>
  <si>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</si>
  <si>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</si>
  <si>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</si>
  <si>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</si>
  <si>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</si>
  <si>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</si>
  <si>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</si>
  <si>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</si>
  <si>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</si>
  <si>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</si>
  <si>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</si>
  <si>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</si>
  <si>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</si>
  <si>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</si>
  <si>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</si>
  <si>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</si>
  <si>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</si>
  <si>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</si>
  <si>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</si>
  <si>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</si>
  <si>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</si>
  <si>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</si>
  <si>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</si>
  <si>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</si>
  <si>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</si>
  <si>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</si>
  <si>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</si>
  <si>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</si>
  <si>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</si>
  <si>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</si>
  <si>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</si>
  <si>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</si>
  <si>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</si>
  <si>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</si>
  <si>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</si>
  <si>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</si>
  <si>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</si>
  <si>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</si>
  <si>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</si>
  <si>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</si>
  <si>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</si>
  <si>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</si>
  <si>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</si>
  <si>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</si>
  <si>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</si>
  <si>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</si>
  <si>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</si>
  <si>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</si>
  <si>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</si>
  <si>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</si>
  <si>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</si>
  <si>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</si>
  <si>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</si>
  <si>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</si>
  <si>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</si>
  <si>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</si>
  <si>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</si>
  <si>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</si>
  <si>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</si>
  <si>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</si>
  <si>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</si>
  <si>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</si>
  <si>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</si>
  <si>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</si>
  <si>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</si>
  <si>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</si>
  <si>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</si>
  <si>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</si>
  <si>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</si>
  <si>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</si>
  <si>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</si>
  <si>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</si>
  <si>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</si>
  <si>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</si>
  <si>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</si>
  <si>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</si>
  <si>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</si>
  <si>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</si>
  <si>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</si>
  <si>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</si>
  <si>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</si>
  <si>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</si>
  <si>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</si>
  <si>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</si>
  <si>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</si>
  <si>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</si>
  <si>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</si>
  <si>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</si>
  <si>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</si>
  <si>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</si>
  <si>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</si>
  <si>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</si>
  <si>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</si>
  <si>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</si>
  <si>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</si>
  <si>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</si>
  <si>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</si>
  <si>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</si>
  <si>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</si>
  <si>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</si>
  <si>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</si>
  <si>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</si>
  <si>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</si>
  <si>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</si>
  <si>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</si>
  <si>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</si>
  <si>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</si>
  <si>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</si>
  <si>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</si>
  <si>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</si>
  <si>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</si>
  <si>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</si>
  <si>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</si>
  <si>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</si>
  <si>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</si>
  <si>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</si>
  <si>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</si>
  <si>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</si>
  <si>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</si>
  <si>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</si>
  <si>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</si>
  <si>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</si>
  <si>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</si>
  <si>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</si>
  <si>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</si>
  <si>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</si>
  <si>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</si>
  <si>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</si>
  <si>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</si>
  <si>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</si>
  <si>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</si>
  <si>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</si>
  <si>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</si>
  <si>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</si>
  <si>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</si>
  <si>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</si>
  <si>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</si>
  <si>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</si>
  <si>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</si>
  <si>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</si>
  <si>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</si>
  <si>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</si>
  <si>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</si>
  <si>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</si>
  <si>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</si>
  <si>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</si>
  <si>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</si>
  <si>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</si>
  <si>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</si>
  <si>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</si>
  <si>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</si>
  <si>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</si>
  <si>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</si>
  <si>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</si>
  <si>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</si>
  <si>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</si>
  <si>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</si>
  <si>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</si>
  <si>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</si>
  <si>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</si>
  <si>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</si>
  <si>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</si>
  <si>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</si>
  <si>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</si>
  <si>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</si>
  <si>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</si>
  <si>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</si>
  <si>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</si>
  <si>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</si>
  <si>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</si>
  <si>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</si>
  <si>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</si>
  <si>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</si>
  <si>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</si>
  <si>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</si>
  <si>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</si>
  <si>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</si>
  <si>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</si>
  <si>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</si>
  <si>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</si>
  <si>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</si>
  <si>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</si>
  <si>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</si>
  <si>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</si>
  <si>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</si>
  <si>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</si>
  <si>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</si>
  <si>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</si>
  <si>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</si>
  <si>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</si>
  <si>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</si>
  <si>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</si>
  <si>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南山、落染,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</si>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</sst>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7">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sz val="12.0"/>
      <color theme="1"/>
      <name val="Arial"/>
      <scheme val="minor"/>
    </font>
    <font>
      <b/>
      <sz val="10.0"/>
      <color theme="1"/>
      <name val="Microsoft JhengHei"/>
    </font>
    <font>
      <color theme="1"/>
      <name val="Arial"/>
      <scheme val="minor"/>
    </font>
    <font>
      <color theme="1"/>
      <name val="Microsoft JhengHei"/>
    </font>
    <font>
      <b/>
      <u/>
      <sz val="11.0"/>
      <color rgb="FF0000FF"/>
    </font>
    <font>
      <b/>
      <sz val="10.0"/>
      <color rgb="FF0000FF"/>
      <name val="Microsoft JhengHei"/>
    </font>
    <font>
      <b/>
      <u/>
      <sz val="11.0"/>
      <color rgb="FF0000FF"/>
    </font>
    <font>
      <b/>
      <u/>
      <sz val="12.0"/>
      <color rgb="FF0000FF"/>
      <name val="Microsoft JhengHei"/>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b/>
      <sz val="8.0"/>
      <color theme="1"/>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6"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7" numFmtId="0" xfId="0" applyAlignment="1" applyFont="1">
      <alignment horizontal="left" readingOrder="0" shrinkToFit="0" vertical="center" wrapText="1"/>
    </xf>
    <xf borderId="0" fillId="5" fontId="8" numFmtId="0" xfId="0" applyAlignment="1" applyFont="1">
      <alignment vertical="center"/>
    </xf>
    <xf borderId="0" fillId="0" fontId="9"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3"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5" numFmtId="0" xfId="0" applyAlignment="1" applyFont="1">
      <alignment horizontal="left" readingOrder="0" shrinkToFit="0" vertical="center" wrapText="1"/>
    </xf>
    <xf borderId="0" fillId="5" fontId="16" numFmtId="0" xfId="0" applyAlignment="1" applyFont="1">
      <alignment horizontal="center" shrinkToFit="0" vertical="center" wrapText="1"/>
    </xf>
    <xf borderId="0" fillId="5" fontId="14"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4" numFmtId="0" xfId="0" applyAlignment="1" applyFont="1">
      <alignment horizontal="left" readingOrder="0" shrinkToFit="0" vertical="center" wrapText="1"/>
    </xf>
    <xf borderId="0" fillId="5" fontId="8" numFmtId="0" xfId="0" applyAlignment="1" applyFont="1">
      <alignment vertical="center"/>
    </xf>
    <xf borderId="0" fillId="5" fontId="2" numFmtId="0" xfId="0" applyAlignment="1" applyFont="1">
      <alignment horizontal="left" readingOrder="0" shrinkToFit="0" vertical="center" wrapText="1"/>
    </xf>
    <xf borderId="0" fillId="5" fontId="17"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8"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9"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0" fontId="9" numFmtId="0" xfId="0" applyAlignment="1" applyFont="1">
      <alignment horizontal="left" shrinkToFit="0" vertical="center" wrapText="1"/>
    </xf>
    <xf borderId="0" fillId="5" fontId="21" numFmtId="0" xfId="0" applyAlignment="1" applyFont="1">
      <alignment horizontal="left" readingOrder="0" shrinkToFit="0" vertical="center" wrapText="1"/>
    </xf>
    <xf borderId="0" fillId="5" fontId="8" numFmtId="0" xfId="0" applyAlignment="1" applyFont="1">
      <alignment readingOrder="0" shrinkToFit="0" vertical="center" wrapText="1"/>
    </xf>
    <xf borderId="0" fillId="5" fontId="8" numFmtId="0" xfId="0" applyAlignment="1" applyFont="1">
      <alignment shrinkToFit="0" vertical="center" wrapText="1"/>
    </xf>
    <xf borderId="0" fillId="5" fontId="19"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5" fontId="9" numFmtId="0" xfId="0" applyAlignment="1" applyFont="1">
      <alignment vertical="center"/>
    </xf>
    <xf borderId="0" fillId="5" fontId="22" numFmtId="0" xfId="0" applyAlignment="1" applyFont="1">
      <alignment horizontal="left" readingOrder="0" shrinkToFit="0" vertical="center" wrapText="1"/>
    </xf>
    <xf borderId="0" fillId="5" fontId="9" numFmtId="0" xfId="0" applyAlignment="1" applyFont="1">
      <alignment horizontal="left" shrinkToFit="0" vertical="center" wrapText="1"/>
    </xf>
    <xf borderId="0" fillId="5" fontId="9" numFmtId="0" xfId="0" applyAlignment="1" applyFont="1">
      <alignment vertical="center"/>
    </xf>
    <xf borderId="0" fillId="7" fontId="23" numFmtId="0" xfId="0" applyAlignment="1" applyFill="1" applyFont="1">
      <alignment horizontal="center" readingOrder="0" shrinkToFit="0" vertical="center" wrapText="1"/>
    </xf>
    <xf borderId="0" fillId="7" fontId="23" numFmtId="0" xfId="0" applyAlignment="1" applyFont="1">
      <alignment horizontal="center" shrinkToFit="0" vertical="center" wrapText="1"/>
    </xf>
    <xf borderId="0" fillId="7" fontId="9" numFmtId="0" xfId="0" applyAlignment="1" applyFont="1">
      <alignment horizontal="center" shrinkToFit="0" vertical="center" wrapText="1"/>
    </xf>
    <xf borderId="0" fillId="7" fontId="9" numFmtId="0" xfId="0" applyAlignment="1" applyFont="1">
      <alignment horizontal="center" readingOrder="0" shrinkToFit="0" vertical="center" wrapText="1"/>
    </xf>
    <xf borderId="0" fillId="7" fontId="24" numFmtId="0" xfId="0" applyAlignment="1" applyFont="1">
      <alignment horizontal="center" readingOrder="0" shrinkToFit="0" vertical="center" wrapText="1"/>
    </xf>
    <xf borderId="0" fillId="4" fontId="18" numFmtId="0" xfId="0" applyAlignment="1" applyFont="1">
      <alignment horizontal="center" shrinkToFit="0" vertical="center" wrapText="1"/>
    </xf>
    <xf borderId="0" fillId="3" fontId="18" numFmtId="0" xfId="0" applyAlignment="1" applyFont="1">
      <alignment horizontal="center" shrinkToFit="0" vertical="center" wrapText="1"/>
    </xf>
    <xf borderId="0" fillId="8" fontId="18" numFmtId="0" xfId="0" applyAlignment="1" applyFill="1" applyFont="1">
      <alignment horizontal="center" shrinkToFit="0" vertical="center" wrapText="1"/>
    </xf>
    <xf borderId="0" fillId="5"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3" fontId="18" numFmtId="0" xfId="0" applyAlignment="1" applyFont="1">
      <alignment horizontal="center" shrinkToFit="0" vertical="center" wrapText="1"/>
    </xf>
    <xf borderId="0" fillId="8" fontId="18" numFmtId="0" xfId="0" applyAlignment="1" applyFont="1">
      <alignment horizontal="center" shrinkToFit="0" vertical="center" wrapText="1"/>
    </xf>
    <xf borderId="0" fillId="5"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8" fontId="18" numFmtId="0" xfId="0" applyAlignment="1" applyFont="1">
      <alignment horizontal="center" readingOrder="0" shrinkToFit="0" vertical="center" wrapText="1"/>
    </xf>
    <xf borderId="0" fillId="5" fontId="18"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6" numFmtId="0" xfId="0" applyAlignment="1" applyFont="1">
      <alignment horizontal="center" shrinkToFit="0" vertical="center" wrapText="1"/>
    </xf>
    <xf borderId="0" fillId="8" fontId="26" numFmtId="0" xfId="0" applyAlignment="1" applyFont="1">
      <alignment horizontal="center" shrinkToFit="0" vertical="center" wrapText="1"/>
    </xf>
    <xf borderId="0" fillId="5" fontId="26" numFmtId="0" xfId="0" applyAlignment="1" applyFont="1">
      <alignment horizontal="center" shrinkToFit="0" vertical="center" wrapText="1"/>
    </xf>
    <xf borderId="0" fillId="0" fontId="9" numFmtId="0" xfId="0" applyAlignment="1" applyFont="1">
      <alignment horizontal="center" shrinkToFit="0" vertical="center" wrapText="1"/>
    </xf>
    <xf borderId="0" fillId="0" fontId="9" numFmtId="0" xfId="0" applyAlignment="1" applyFont="1">
      <alignment horizontal="left" shrinkToFit="0" vertical="center" wrapText="1"/>
    </xf>
    <xf borderId="0" fillId="0" fontId="24"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4" numFmtId="0" xfId="0" applyAlignment="1" applyFont="1">
      <alignment horizontal="center" shrinkToFit="0" vertical="center" wrapText="1"/>
    </xf>
    <xf borderId="0" fillId="9" fontId="27" numFmtId="0" xfId="0" applyAlignment="1" applyFont="1">
      <alignment horizontal="center" shrinkToFit="0" vertical="center" wrapText="1"/>
    </xf>
    <xf borderId="0" fillId="4" fontId="28" numFmtId="0" xfId="0" applyAlignment="1" applyFont="1">
      <alignment horizontal="center" shrinkToFit="0" vertical="center" wrapText="1"/>
    </xf>
    <xf borderId="0" fillId="3" fontId="9" numFmtId="0" xfId="0" applyAlignment="1" applyFont="1">
      <alignment horizontal="left" shrinkToFit="0" vertical="center" wrapText="1"/>
    </xf>
    <xf borderId="0" fillId="8" fontId="9" numFmtId="0" xfId="0" applyAlignment="1" applyFont="1">
      <alignment horizontal="left" shrinkToFit="0" vertical="center" wrapText="1"/>
    </xf>
    <xf borderId="0" fillId="5" fontId="9" numFmtId="0" xfId="0" applyAlignment="1" applyFont="1">
      <alignment horizontal="left" shrinkToFit="0" vertical="center" wrapText="1"/>
    </xf>
    <xf borderId="0" fillId="3" fontId="9" numFmtId="0" xfId="0" applyAlignment="1" applyFont="1">
      <alignment horizontal="left" shrinkToFit="0" vertical="center" wrapText="1"/>
    </xf>
    <xf borderId="0" fillId="8" fontId="9" numFmtId="0" xfId="0" applyAlignment="1" applyFont="1">
      <alignment horizontal="left" shrinkToFit="0" vertical="center" wrapText="1"/>
    </xf>
    <xf borderId="0" fillId="3"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4" numFmtId="0" xfId="0" applyAlignment="1" applyFont="1">
      <alignment horizontal="left" shrinkToFit="0" vertical="center" wrapText="1"/>
    </xf>
    <xf borderId="0" fillId="8" fontId="24" numFmtId="0" xfId="0" applyAlignment="1" applyFont="1">
      <alignment horizontal="left" shrinkToFit="0" vertical="center" wrapText="1"/>
    </xf>
    <xf borderId="0" fillId="5" fontId="24" numFmtId="0" xfId="0" applyAlignment="1" applyFont="1">
      <alignment horizontal="left" shrinkToFit="0" vertical="center" wrapText="1"/>
    </xf>
    <xf borderId="0" fillId="8" fontId="9" numFmtId="0" xfId="0" applyAlignment="1" applyFont="1">
      <alignment horizontal="left" readingOrder="0" shrinkToFit="0" vertical="center" wrapText="1"/>
    </xf>
    <xf quotePrefix="1" borderId="0" fillId="5" fontId="9"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3" fontId="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8" fontId="24" numFmtId="0" xfId="0" applyAlignment="1" applyFont="1">
      <alignment horizontal="left" readingOrder="0" shrinkToFit="0" vertical="center" wrapText="1"/>
    </xf>
    <xf borderId="0" fillId="5" fontId="24" numFmtId="0" xfId="0" applyAlignment="1" applyFont="1">
      <alignment horizontal="left" readingOrder="0" shrinkToFit="0" vertical="center" wrapText="1"/>
    </xf>
    <xf borderId="0" fillId="8" fontId="19" numFmtId="0" xfId="0" applyAlignment="1" applyFont="1">
      <alignment horizontal="left" shrinkToFit="0" vertical="center" wrapText="1"/>
    </xf>
    <xf borderId="0" fillId="3" fontId="19" numFmtId="0" xfId="0" applyAlignment="1" applyFont="1">
      <alignment horizontal="left" shrinkToFit="0" vertical="center" wrapText="1"/>
    </xf>
    <xf borderId="0" fillId="8" fontId="19" numFmtId="0" xfId="0" applyAlignment="1" applyFont="1">
      <alignment horizontal="left" shrinkToFit="0" vertical="center" wrapText="1"/>
    </xf>
    <xf borderId="0" fillId="3" fontId="24" numFmtId="0" xfId="0" applyAlignment="1" applyFont="1">
      <alignment horizontal="left" readingOrder="0" shrinkToFit="0" vertical="center" wrapText="1"/>
    </xf>
    <xf borderId="0" fillId="5" fontId="20" numFmtId="0" xfId="0" applyAlignment="1" applyFont="1">
      <alignment horizontal="left" readingOrder="0" shrinkToFit="0" vertical="center" wrapText="1"/>
    </xf>
    <xf borderId="0" fillId="3" fontId="20" numFmtId="0" xfId="0" applyAlignment="1" applyFont="1">
      <alignment horizontal="left" readingOrder="0" shrinkToFit="0" vertical="center" wrapText="1"/>
    </xf>
    <xf borderId="0" fillId="4" fontId="28" numFmtId="0" xfId="0" applyAlignment="1" applyFont="1">
      <alignment horizontal="center" readingOrder="0" shrinkToFit="0" vertical="center" wrapText="1"/>
    </xf>
    <xf borderId="0" fillId="8" fontId="29" numFmtId="0" xfId="0" applyAlignment="1" applyFont="1">
      <alignment horizontal="left" readingOrder="0" shrinkToFit="0" vertical="center" wrapText="1"/>
    </xf>
    <xf borderId="0" fillId="8" fontId="30" numFmtId="0" xfId="0" applyAlignment="1" applyFont="1">
      <alignment horizontal="left" shrinkToFit="0" vertical="center" wrapText="1"/>
    </xf>
    <xf borderId="0" fillId="9" fontId="27" numFmtId="0" xfId="0" applyAlignment="1" applyFont="1">
      <alignment horizontal="center" readingOrder="0" shrinkToFit="0" vertical="center" wrapText="1"/>
    </xf>
    <xf borderId="0" fillId="3" fontId="9" numFmtId="0" xfId="0" applyAlignment="1" applyFont="1">
      <alignment horizontal="left" shrinkToFit="0" wrapText="1"/>
    </xf>
    <xf borderId="0" fillId="8" fontId="9" numFmtId="0" xfId="0" applyAlignment="1" applyFont="1">
      <alignment horizontal="left" shrinkToFit="0" wrapText="1"/>
    </xf>
    <xf borderId="0" fillId="8" fontId="9" numFmtId="0" xfId="0" applyAlignment="1" applyFont="1">
      <alignment horizontal="left" shrinkToFit="0" wrapText="1"/>
    </xf>
    <xf borderId="0" fillId="4" fontId="28" numFmtId="0" xfId="0" applyAlignment="1" applyFont="1">
      <alignment horizontal="center" shrinkToFit="0" vertical="center" wrapText="1"/>
    </xf>
    <xf borderId="0" fillId="4" fontId="28" numFmtId="0" xfId="0" applyAlignment="1" applyFont="1">
      <alignment horizontal="left" shrinkToFit="0" vertical="center" wrapText="1"/>
    </xf>
    <xf borderId="0" fillId="4" fontId="28" numFmtId="0" xfId="0" applyAlignment="1" applyFont="1">
      <alignment horizontal="left" shrinkToFit="0" vertical="center" wrapText="1"/>
    </xf>
    <xf borderId="0" fillId="4" fontId="26"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24" numFmtId="0" xfId="0" applyAlignment="1" applyFont="1">
      <alignment horizontal="left" shrinkToFit="0" vertical="center" wrapText="1"/>
    </xf>
    <xf borderId="0" fillId="8" fontId="24" numFmtId="0" xfId="0" applyAlignment="1" applyFont="1">
      <alignment horizontal="left" shrinkToFit="0" vertical="center" wrapText="1"/>
    </xf>
    <xf borderId="0" fillId="5" fontId="24" numFmtId="0" xfId="0" applyAlignment="1" applyFont="1">
      <alignment horizontal="left" shrinkToFit="0" vertical="center" wrapText="1"/>
    </xf>
    <xf borderId="0" fillId="0" fontId="24" numFmtId="0" xfId="0" applyAlignment="1" applyFont="1">
      <alignment horizontal="left" vertical="center"/>
    </xf>
    <xf borderId="0" fillId="9" fontId="2" numFmtId="0" xfId="0" applyAlignment="1" applyFont="1">
      <alignment horizontal="center" shrinkToFit="0" vertical="center" wrapText="1"/>
    </xf>
    <xf borderId="0" fillId="9" fontId="27"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4" numFmtId="0" xfId="0" applyAlignment="1" applyFont="1">
      <alignment horizontal="left" shrinkToFit="0" vertical="center" wrapText="1"/>
    </xf>
    <xf borderId="0" fillId="9" fontId="27" numFmtId="0" xfId="0" applyAlignment="1" applyFont="1">
      <alignment horizontal="left" shrinkToFit="0" vertical="center" wrapText="1"/>
    </xf>
    <xf borderId="0" fillId="10" fontId="24" numFmtId="0" xfId="0" applyAlignment="1" applyFill="1" applyFont="1">
      <alignment horizontal="left" vertical="center"/>
    </xf>
    <xf borderId="0" fillId="11" fontId="24" numFmtId="0" xfId="0" applyAlignment="1" applyFill="1" applyFont="1">
      <alignment horizontal="left" vertical="center"/>
    </xf>
    <xf borderId="0" fillId="12" fontId="24" numFmtId="0" xfId="0" applyAlignment="1" applyFill="1" applyFont="1">
      <alignment horizontal="left" vertical="center"/>
    </xf>
    <xf borderId="0" fillId="5" fontId="24" numFmtId="0" xfId="0" applyAlignment="1" applyFont="1">
      <alignment horizontal="left" vertical="center"/>
    </xf>
    <xf borderId="0" fillId="0" fontId="28" numFmtId="0" xfId="0" applyAlignment="1" applyFont="1">
      <alignment horizontal="left" shrinkToFit="0" vertical="center" wrapText="1"/>
    </xf>
    <xf borderId="0" fillId="0" fontId="20" numFmtId="0" xfId="0" applyAlignment="1" applyFont="1">
      <alignment horizontal="left" shrinkToFit="0" vertical="center" wrapText="1"/>
    </xf>
    <xf borderId="0" fillId="13" fontId="7" numFmtId="0" xfId="0" applyAlignment="1" applyFill="1" applyFont="1">
      <alignment horizontal="center" readingOrder="0" shrinkToFit="0" vertical="center" wrapText="1"/>
    </xf>
    <xf borderId="0" fillId="13" fontId="7" numFmtId="0" xfId="0" applyAlignment="1" applyFont="1">
      <alignment horizontal="center" shrinkToFit="0" vertical="center" wrapText="1"/>
    </xf>
    <xf borderId="0" fillId="13" fontId="26" numFmtId="0" xfId="0" applyAlignment="1" applyFont="1">
      <alignment horizontal="center" shrinkToFit="0" vertical="center" wrapText="1"/>
    </xf>
    <xf borderId="0" fillId="5" fontId="7" numFmtId="0" xfId="0" applyAlignment="1" applyFont="1">
      <alignment horizontal="left" shrinkToFit="0" vertical="center" wrapText="1"/>
    </xf>
    <xf borderId="0" fillId="4" fontId="18" numFmtId="0" xfId="0" applyAlignment="1" applyFont="1">
      <alignment horizontal="center" readingOrder="0" shrinkToFit="0" vertical="center" wrapText="1"/>
    </xf>
    <xf borderId="0" fillId="5" fontId="18"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7" numFmtId="0" xfId="0" applyAlignment="1" applyFont="1">
      <alignment horizontal="center" shrinkToFit="0" vertical="center" wrapText="1"/>
    </xf>
    <xf borderId="0" fillId="3" fontId="27" numFmtId="0" xfId="0" applyAlignment="1" applyFont="1">
      <alignment horizontal="center" shrinkToFit="0" vertical="center" wrapText="1"/>
    </xf>
    <xf borderId="0" fillId="14" fontId="27" numFmtId="0" xfId="0" applyAlignment="1" applyFill="1" applyFont="1">
      <alignment horizontal="center" shrinkToFit="0" vertical="center" wrapText="1"/>
    </xf>
    <xf borderId="0" fillId="5" fontId="27"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3" fontId="9" numFmtId="0" xfId="0" applyAlignment="1" applyFont="1">
      <alignment horizontal="center" shrinkToFit="0" vertical="center" wrapText="1"/>
    </xf>
    <xf borderId="0" fillId="4" fontId="9" numFmtId="0" xfId="0" applyAlignment="1" applyFont="1">
      <alignment horizontal="center" shrinkToFit="0" vertical="center" wrapText="1"/>
    </xf>
    <xf borderId="0" fillId="8" fontId="20" numFmtId="0" xfId="0" applyAlignment="1" applyFont="1">
      <alignment horizontal="left" shrinkToFit="0" vertical="center" wrapText="1"/>
    </xf>
    <xf borderId="0" fillId="4" fontId="20" numFmtId="0" xfId="0" applyAlignment="1" applyFont="1">
      <alignment horizontal="left" shrinkToFit="0" vertical="center" wrapText="1"/>
    </xf>
    <xf borderId="0" fillId="8" fontId="20" numFmtId="0" xfId="0" applyAlignment="1" applyFont="1">
      <alignment horizontal="left" readingOrder="0" shrinkToFit="0" vertical="center" wrapText="1"/>
    </xf>
    <xf borderId="0" fillId="3" fontId="24" numFmtId="0" xfId="0" applyAlignment="1" applyFont="1">
      <alignment horizontal="center" shrinkToFit="0" vertical="center" wrapText="1"/>
    </xf>
    <xf borderId="0" fillId="14" fontId="24" numFmtId="0" xfId="0" applyAlignment="1" applyFont="1">
      <alignment shrinkToFit="0" vertical="center" wrapText="1"/>
    </xf>
    <xf borderId="0" fillId="5" fontId="24" numFmtId="0" xfId="0" applyAlignment="1" applyFont="1">
      <alignment shrinkToFit="0" vertical="center" wrapText="1"/>
    </xf>
    <xf borderId="0" fillId="8" fontId="9" numFmtId="0" xfId="0" applyAlignment="1" applyFont="1">
      <alignment horizontal="center" readingOrder="0" shrinkToFit="0" vertical="center" wrapText="1"/>
    </xf>
    <xf borderId="0" fillId="3" fontId="24" numFmtId="0" xfId="0" applyAlignment="1" applyFont="1">
      <alignment horizontal="center" readingOrder="0" shrinkToFit="0" vertical="center" wrapText="1"/>
    </xf>
    <xf borderId="0" fillId="14" fontId="24" numFmtId="0" xfId="0" applyAlignment="1" applyFont="1">
      <alignment horizontal="center" readingOrder="0" shrinkToFit="0" vertical="center" wrapText="1"/>
    </xf>
    <xf borderId="0" fillId="5" fontId="24" numFmtId="0" xfId="0" applyAlignment="1" applyFont="1">
      <alignment readingOrder="0" shrinkToFit="0" vertical="center" wrapText="1"/>
    </xf>
    <xf borderId="0" fillId="5" fontId="9" numFmtId="0" xfId="0" applyAlignment="1" applyFont="1">
      <alignment horizontal="center" readingOrder="0" shrinkToFit="0" vertical="center" wrapText="1"/>
    </xf>
    <xf borderId="0" fillId="5" fontId="9" numFmtId="0" xfId="0" applyAlignment="1" applyFont="1">
      <alignment horizontal="center" shrinkToFit="0" vertical="center" wrapText="1"/>
    </xf>
    <xf borderId="0" fillId="5" fontId="19" numFmtId="0" xfId="0" applyAlignment="1" applyFont="1">
      <alignment horizontal="center" shrinkToFit="0" vertical="center" wrapText="1"/>
    </xf>
    <xf borderId="0" fillId="5" fontId="24" numFmtId="0" xfId="0" applyAlignment="1" applyFont="1">
      <alignment horizontal="center" shrinkToFit="0" vertical="center" wrapText="1"/>
    </xf>
    <xf borderId="0" fillId="3" fontId="9" numFmtId="0" xfId="0" applyAlignment="1" applyFont="1">
      <alignment horizontal="center" shrinkToFit="0" vertical="center" wrapText="1"/>
    </xf>
    <xf borderId="0" fillId="8" fontId="9" numFmtId="0" xfId="0" applyAlignment="1" applyFont="1">
      <alignment readingOrder="0" shrinkToFit="0" vertical="center" wrapText="1"/>
    </xf>
    <xf borderId="0" fillId="14" fontId="24" numFmtId="0" xfId="0" applyAlignment="1" applyFont="1">
      <alignment readingOrder="0" shrinkToFit="0" vertical="center" wrapText="1"/>
    </xf>
    <xf borderId="0" fillId="5" fontId="9" numFmtId="0" xfId="0" applyAlignment="1" applyFont="1">
      <alignment readingOrder="0" shrinkToFit="0" vertical="center" wrapText="1"/>
    </xf>
    <xf borderId="0" fillId="8" fontId="9" numFmtId="0" xfId="0" applyAlignment="1" applyFont="1">
      <alignment shrinkToFit="0" vertical="center" wrapText="1"/>
    </xf>
    <xf borderId="0" fillId="5" fontId="9" numFmtId="0" xfId="0" applyAlignment="1" applyFont="1">
      <alignment shrinkToFit="0" vertical="center" wrapText="1"/>
    </xf>
    <xf borderId="0" fillId="8" fontId="9" numFmtId="0" xfId="0" applyAlignment="1" applyFont="1">
      <alignment shrinkToFit="0" vertical="center" wrapText="1"/>
    </xf>
    <xf borderId="0" fillId="4" fontId="9" numFmtId="0" xfId="0" applyAlignment="1" applyFont="1">
      <alignment horizontal="center" readingOrder="0" shrinkToFit="0" vertical="center" wrapText="1"/>
    </xf>
    <xf borderId="0" fillId="4" fontId="20" numFmtId="0" xfId="0" applyAlignment="1" applyFont="1">
      <alignment horizontal="center" shrinkToFit="0" vertical="center" wrapText="1"/>
    </xf>
    <xf borderId="0" fillId="3" fontId="20" numFmtId="0" xfId="0" applyAlignment="1" applyFont="1">
      <alignment horizontal="center" readingOrder="0" shrinkToFit="0" vertical="center" wrapText="1"/>
    </xf>
    <xf borderId="0" fillId="8" fontId="9" numFmtId="0" xfId="0" applyAlignment="1" applyFont="1">
      <alignment horizontal="center" shrinkToFit="0" vertical="center" wrapText="1"/>
    </xf>
    <xf borderId="0" fillId="5" fontId="9" numFmtId="0" xfId="0" applyAlignment="1" applyFont="1">
      <alignment shrinkToFit="0" vertical="center" wrapText="1"/>
    </xf>
    <xf borderId="0" fillId="5" fontId="19" numFmtId="0" xfId="0" applyAlignment="1" applyFont="1">
      <alignment shrinkToFit="0" vertical="center" wrapText="1"/>
    </xf>
    <xf borderId="0" fillId="8"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3" fontId="24" numFmtId="0" xfId="0" applyAlignment="1" applyFont="1">
      <alignment horizontal="center" shrinkToFit="0" vertical="center" wrapText="1"/>
    </xf>
    <xf borderId="0" fillId="14"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5" fontId="24" numFmtId="0" xfId="0" applyAlignment="1" applyFont="1">
      <alignment shrinkToFit="0" vertical="center" wrapText="1"/>
    </xf>
    <xf borderId="0" fillId="14" fontId="24"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5" fontId="24" numFmtId="0" xfId="0" applyAlignment="1" applyFont="1">
      <alignment horizontal="center" readingOrder="0"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shrinkToFit="0" vertical="center" wrapText="1"/>
    </xf>
    <xf borderId="0" fillId="4" fontId="24" numFmtId="0" xfId="0" applyAlignment="1" applyFont="1">
      <alignment shrinkToFit="0" vertical="center" wrapText="1"/>
    </xf>
    <xf borderId="0" fillId="3" fontId="24" numFmtId="0" xfId="0" applyAlignment="1" applyFont="1">
      <alignment shrinkToFit="0" vertical="center" wrapText="1"/>
    </xf>
    <xf borderId="0" fillId="3" fontId="26" numFmtId="0" xfId="0" applyAlignment="1" applyFont="1">
      <alignment horizontal="center" shrinkToFit="0" vertical="center" wrapText="1"/>
    </xf>
    <xf borderId="0" fillId="8" fontId="31" numFmtId="0" xfId="0" applyAlignment="1" applyFont="1">
      <alignment horizontal="left" shrinkToFit="0" vertical="center" wrapText="1"/>
    </xf>
    <xf borderId="0" fillId="5" fontId="27" numFmtId="0" xfId="0" applyAlignment="1" applyFont="1">
      <alignment shrinkToFit="0" vertical="center" wrapText="1"/>
    </xf>
    <xf borderId="0" fillId="8" fontId="32" numFmtId="0" xfId="0" applyAlignment="1" applyFont="1">
      <alignment horizontal="left" shrinkToFit="0" vertical="center" wrapText="1"/>
    </xf>
    <xf borderId="0" fillId="5" fontId="32" numFmtId="0" xfId="0" applyAlignment="1" applyFont="1">
      <alignment horizontal="left" shrinkToFit="0" vertical="center" wrapText="1"/>
    </xf>
    <xf borderId="0" fillId="4" fontId="24" numFmtId="0" xfId="0" applyAlignment="1" applyFont="1">
      <alignment vertical="center"/>
    </xf>
    <xf borderId="0" fillId="3" fontId="24" numFmtId="0" xfId="0" applyAlignment="1" applyFont="1">
      <alignment vertical="center"/>
    </xf>
    <xf borderId="0" fillId="14" fontId="24" numFmtId="0" xfId="0" applyAlignment="1" applyFont="1">
      <alignment vertical="center"/>
    </xf>
    <xf borderId="0" fillId="0" fontId="24" numFmtId="0" xfId="0" applyAlignment="1" applyFont="1">
      <alignment vertical="center"/>
    </xf>
    <xf borderId="0" fillId="0" fontId="28" numFmtId="0" xfId="0" applyAlignment="1" applyFont="1">
      <alignment horizontal="center" shrinkToFit="0" vertical="center" wrapText="1"/>
    </xf>
    <xf borderId="0" fillId="0" fontId="7" numFmtId="0" xfId="0" applyAlignment="1" applyFont="1">
      <alignment horizontal="left" shrinkToFit="0" vertical="center" wrapText="1"/>
    </xf>
    <xf borderId="0" fillId="0" fontId="2" numFmtId="0" xfId="0" applyAlignment="1" applyFont="1">
      <alignment horizontal="center" shrinkToFit="0" vertical="center" wrapText="1"/>
    </xf>
    <xf borderId="0" fillId="0" fontId="19" numFmtId="0" xfId="0" applyAlignment="1" applyFont="1">
      <alignment horizontal="center" shrinkToFit="0" vertical="center" wrapText="1"/>
    </xf>
    <xf borderId="0" fillId="0" fontId="20" numFmtId="0" xfId="0" applyAlignment="1" applyFont="1">
      <alignment horizontal="center" shrinkToFit="0" vertical="center" wrapText="1"/>
    </xf>
    <xf borderId="0" fillId="5" fontId="33" numFmtId="0" xfId="0" applyAlignment="1" applyFont="1">
      <alignment horizontal="left" readingOrder="0" shrinkToFit="0" vertical="center" wrapText="1"/>
    </xf>
    <xf borderId="0" fillId="15" fontId="33" numFmtId="0" xfId="0" applyAlignment="1" applyFill="1" applyFont="1">
      <alignment horizontal="left" readingOrder="0" shrinkToFit="0" vertical="center" wrapText="1"/>
    </xf>
    <xf borderId="0" fillId="5" fontId="23" numFmtId="0" xfId="0" applyAlignment="1" applyFont="1">
      <alignment horizontal="left" readingOrder="0" shrinkToFit="0" vertical="center" wrapText="1"/>
    </xf>
    <xf borderId="0" fillId="5" fontId="33" numFmtId="0" xfId="0" applyAlignment="1" applyFont="1">
      <alignment horizontal="left" shrinkToFit="0" vertical="center" wrapText="1"/>
    </xf>
    <xf borderId="0" fillId="15" fontId="23" numFmtId="0" xfId="0" applyAlignment="1" applyFont="1">
      <alignment horizontal="left" shrinkToFit="0" vertical="center" wrapText="1"/>
    </xf>
    <xf borderId="0" fillId="0" fontId="34"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20"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5" fontId="30" numFmtId="0" xfId="0" applyAlignment="1" applyFont="1">
      <alignment shrinkToFit="0" vertical="center" wrapText="1"/>
    </xf>
    <xf borderId="0" fillId="15" fontId="29" numFmtId="0" xfId="0" applyAlignment="1" applyFont="1">
      <alignment horizontal="left" readingOrder="0" shrinkToFit="0" vertical="center" wrapText="1"/>
    </xf>
    <xf borderId="0" fillId="15" fontId="24" numFmtId="0" xfId="0" applyAlignment="1" applyFont="1">
      <alignment horizontal="left" shrinkToFit="0" vertical="center" wrapText="1"/>
    </xf>
    <xf borderId="0" fillId="5" fontId="24" numFmtId="0" xfId="0" applyAlignment="1" applyFont="1">
      <alignment vertical="center"/>
    </xf>
    <xf borderId="1" fillId="7" fontId="2" numFmtId="0" xfId="0" applyAlignment="1" applyBorder="1" applyFont="1">
      <alignment horizontal="center" readingOrder="0" shrinkToFit="0" vertical="center" wrapText="1"/>
    </xf>
    <xf borderId="2" fillId="0" fontId="36" numFmtId="0" xfId="0" applyBorder="1" applyFont="1"/>
    <xf borderId="3" fillId="0" fontId="36" numFmtId="0" xfId="0" applyBorder="1" applyFont="1"/>
    <xf borderId="1" fillId="7" fontId="37"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6" numFmtId="0" xfId="0" applyBorder="1" applyFont="1"/>
    <xf borderId="5" fillId="0" fontId="36" numFmtId="0" xfId="0" applyBorder="1" applyFont="1"/>
    <xf borderId="6" fillId="0" fontId="36" numFmtId="0" xfId="0" applyBorder="1" applyFont="1"/>
    <xf borderId="0" fillId="2" fontId="38" numFmtId="0" xfId="0" applyAlignment="1" applyFont="1">
      <alignment horizontal="center" readingOrder="0" shrinkToFit="0" vertical="center" wrapText="1"/>
    </xf>
    <xf borderId="7" fillId="0" fontId="36" numFmtId="0" xfId="0" applyBorder="1" applyFont="1"/>
    <xf borderId="1" fillId="5" fontId="37" numFmtId="0" xfId="0" applyAlignment="1" applyBorder="1" applyFont="1">
      <alignment horizontal="center" shrinkToFit="0" vertical="center" wrapText="1"/>
    </xf>
    <xf borderId="8" fillId="2" fontId="28" numFmtId="0" xfId="0" applyAlignment="1" applyBorder="1" applyFont="1">
      <alignment horizontal="center" readingOrder="0" vertical="center"/>
    </xf>
    <xf borderId="9" fillId="0" fontId="36" numFmtId="0" xfId="0" applyBorder="1" applyFont="1"/>
    <xf borderId="10" fillId="0" fontId="36" numFmtId="0" xfId="0" applyBorder="1" applyFont="1"/>
    <xf borderId="8" fillId="2" fontId="23" numFmtId="0" xfId="0" applyAlignment="1" applyBorder="1" applyFont="1">
      <alignment horizontal="center" readingOrder="0" shrinkToFit="0" vertical="center" wrapText="1"/>
    </xf>
    <xf borderId="8" fillId="2" fontId="26"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7" fontId="9" numFmtId="0" xfId="0" applyAlignment="1" applyBorder="1" applyFont="1">
      <alignment horizontal="center" readingOrder="0" shrinkToFit="0" vertical="center" wrapText="1"/>
    </xf>
    <xf borderId="11" fillId="7" fontId="39" numFmtId="0" xfId="0" applyAlignment="1" applyBorder="1" applyFont="1">
      <alignment horizontal="center" readingOrder="0" shrinkToFit="0" vertical="center" wrapText="1"/>
    </xf>
    <xf borderId="11" fillId="5" fontId="9" numFmtId="0" xfId="0" applyAlignment="1" applyBorder="1" applyFont="1">
      <alignment horizontal="center" readingOrder="0" shrinkToFit="0" vertical="center" wrapText="1"/>
    </xf>
    <xf borderId="11" fillId="5" fontId="9" numFmtId="0" xfId="0" applyAlignment="1" applyBorder="1" applyFont="1">
      <alignment horizontal="center" readingOrder="0" shrinkToFit="0" vertical="center" wrapText="1"/>
    </xf>
    <xf borderId="11" fillId="5" fontId="40" numFmtId="0" xfId="0" applyAlignment="1" applyBorder="1" applyFont="1">
      <alignment horizontal="center" readingOrder="0" shrinkToFit="0" vertical="center" wrapText="1"/>
    </xf>
    <xf borderId="11" fillId="15" fontId="20" numFmtId="0" xfId="0" applyAlignment="1" applyBorder="1" applyFont="1">
      <alignment horizontal="center" readingOrder="0" shrinkToFit="0" vertical="center" wrapText="1"/>
    </xf>
    <xf borderId="11" fillId="15" fontId="20" numFmtId="0" xfId="0" applyAlignment="1" applyBorder="1" applyFont="1">
      <alignment horizontal="center" readingOrder="0" shrinkToFit="0" vertical="center" wrapText="1"/>
    </xf>
    <xf borderId="11" fillId="15" fontId="41" numFmtId="0" xfId="0" applyAlignment="1" applyBorder="1" applyFont="1">
      <alignment horizontal="center" readingOrder="0" shrinkToFit="0" vertical="center" wrapText="1"/>
    </xf>
    <xf borderId="11" fillId="16" fontId="20" numFmtId="0" xfId="0" applyAlignment="1" applyBorder="1" applyFill="1" applyFont="1">
      <alignment horizontal="center" readingOrder="0" shrinkToFit="0" vertical="center" wrapText="1"/>
    </xf>
    <xf borderId="11" fillId="16" fontId="20" numFmtId="0" xfId="0" applyAlignment="1" applyBorder="1" applyFont="1">
      <alignment horizontal="center" readingOrder="0" shrinkToFit="0" vertical="center" wrapText="1"/>
    </xf>
    <xf borderId="11" fillId="16" fontId="42" numFmtId="0" xfId="0" applyAlignment="1" applyBorder="1" applyFont="1">
      <alignment horizontal="center" readingOrder="0" shrinkToFit="0" vertical="center" wrapText="1"/>
    </xf>
    <xf borderId="12" fillId="15" fontId="24" numFmtId="0" xfId="0" applyAlignment="1" applyBorder="1" applyFont="1">
      <alignment horizontal="center" shrinkToFit="0" vertical="center" wrapText="1"/>
    </xf>
    <xf borderId="6" fillId="15" fontId="24" numFmtId="0" xfId="0" applyAlignment="1" applyBorder="1" applyFont="1">
      <alignment horizontal="center" shrinkToFit="0" vertical="center" wrapText="1"/>
    </xf>
    <xf borderId="6" fillId="15" fontId="43" numFmtId="0" xfId="0" applyAlignment="1" applyBorder="1" applyFont="1">
      <alignment horizontal="center" shrinkToFit="0" vertical="center" wrapText="1"/>
    </xf>
    <xf borderId="0" fillId="16" fontId="20" numFmtId="0" xfId="0" applyAlignment="1" applyFont="1">
      <alignment horizontal="center" readingOrder="0" shrinkToFit="0" vertical="center" wrapText="1"/>
    </xf>
    <xf borderId="11" fillId="7" fontId="9" numFmtId="0" xfId="0" applyAlignment="1" applyBorder="1" applyFont="1">
      <alignment horizontal="center" readingOrder="0" shrinkToFit="0" vertical="center" wrapText="1"/>
    </xf>
    <xf borderId="11" fillId="7" fontId="44" numFmtId="0" xfId="0" applyAlignment="1" applyBorder="1" applyFont="1">
      <alignment horizontal="center" readingOrder="0" vertical="center"/>
    </xf>
    <xf borderId="11" fillId="5" fontId="45" numFmtId="0" xfId="0" applyAlignment="1" applyBorder="1" applyFont="1">
      <alignment horizontal="center" readingOrder="0" vertical="center"/>
    </xf>
    <xf borderId="11" fillId="15" fontId="46" numFmtId="0" xfId="0" applyAlignment="1" applyBorder="1" applyFont="1">
      <alignment horizontal="center" readingOrder="0" vertical="center"/>
    </xf>
    <xf borderId="11" fillId="16" fontId="20" numFmtId="0" xfId="0" applyAlignment="1" applyBorder="1" applyFont="1">
      <alignment horizontal="center" readingOrder="0" vertical="center"/>
    </xf>
    <xf borderId="11" fillId="16" fontId="47" numFmtId="0" xfId="0" applyAlignment="1" applyBorder="1" applyFont="1">
      <alignment horizontal="center" readingOrder="0" vertical="center"/>
    </xf>
    <xf borderId="6" fillId="15" fontId="24" numFmtId="0" xfId="0" applyAlignment="1" applyBorder="1" applyFont="1">
      <alignment horizontal="center" vertical="center"/>
    </xf>
    <xf borderId="12" fillId="15" fontId="48" numFmtId="0" xfId="0" applyAlignment="1" applyBorder="1" applyFont="1">
      <alignment horizontal="center" shrinkToFit="0" vertical="center" wrapText="1"/>
    </xf>
    <xf borderId="8" fillId="7" fontId="49" numFmtId="0" xfId="0" applyAlignment="1" applyBorder="1" applyFont="1">
      <alignment horizontal="center" readingOrder="0" shrinkToFit="0" vertical="center" wrapText="1"/>
    </xf>
    <xf borderId="13" fillId="7" fontId="35" numFmtId="0" xfId="0" applyAlignment="1" applyBorder="1" applyFont="1">
      <alignment horizontal="center" readingOrder="0" shrinkToFit="0" vertical="center" wrapText="1"/>
    </xf>
    <xf borderId="13" fillId="5" fontId="50" numFmtId="0" xfId="0" applyAlignment="1" applyBorder="1" applyFont="1">
      <alignment horizontal="center" readingOrder="0" shrinkToFit="0" vertical="center" wrapText="1"/>
    </xf>
    <xf borderId="13" fillId="15"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1" fillId="16" fontId="54" numFmtId="0" xfId="0" applyAlignment="1" applyBorder="1" applyFont="1">
      <alignment horizontal="center" readingOrder="0" shrinkToFit="0" vertical="center" wrapText="1"/>
    </xf>
    <xf borderId="0" fillId="16" fontId="54" numFmtId="0" xfId="0" applyAlignment="1" applyFont="1">
      <alignment horizontal="center" readingOrder="0" shrinkToFit="0" vertical="center" wrapText="1"/>
    </xf>
    <xf borderId="12" fillId="0" fontId="36" numFmtId="0" xfId="0" applyBorder="1" applyFont="1"/>
    <xf borderId="0" fillId="16" fontId="20" numFmtId="0" xfId="0" applyAlignment="1" applyFont="1">
      <alignment horizontal="center" readingOrder="0" shrinkToFit="0" vertical="center" wrapText="1"/>
    </xf>
    <xf borderId="6" fillId="15" fontId="24" numFmtId="0" xfId="0" applyAlignment="1" applyBorder="1" applyFont="1">
      <alignment vertical="center"/>
    </xf>
    <xf borderId="12" fillId="15" fontId="24" numFmtId="0" xfId="0" applyAlignment="1" applyBorder="1" applyFont="1">
      <alignment horizontal="center" readingOrder="0" shrinkToFit="0" vertical="center" wrapText="1"/>
    </xf>
    <xf borderId="4" fillId="2" fontId="26" numFmtId="0" xfId="0" applyAlignment="1" applyBorder="1" applyFont="1">
      <alignment horizontal="center" vertical="center"/>
    </xf>
    <xf borderId="0" fillId="2" fontId="28" numFmtId="0" xfId="0" applyAlignment="1" applyFont="1">
      <alignment horizontal="center" readingOrder="0" vertical="center"/>
    </xf>
    <xf borderId="11" fillId="5" fontId="55" numFmtId="0" xfId="0" applyAlignment="1" applyBorder="1" applyFont="1">
      <alignment horizontal="center" readingOrder="0"/>
    </xf>
    <xf borderId="11" fillId="5" fontId="9" numFmtId="0" xfId="0" applyAlignment="1" applyBorder="1" applyFont="1">
      <alignment horizontal="center" shrinkToFit="0" vertical="center" wrapText="1"/>
    </xf>
    <xf borderId="11" fillId="15" fontId="29"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6" fontId="9"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15" fontId="24" numFmtId="0" xfId="0" applyAlignment="1" applyBorder="1" applyFont="1">
      <alignment vertical="center"/>
    </xf>
    <xf borderId="6" fillId="15" fontId="58" numFmtId="0" xfId="0" applyAlignment="1" applyBorder="1" applyFont="1">
      <alignment horizontal="center" vertical="center"/>
    </xf>
    <xf borderId="0" fillId="16" fontId="9" numFmtId="0" xfId="0" applyAlignment="1" applyFont="1">
      <alignment horizontal="center" readingOrder="0" shrinkToFit="0" vertical="center" wrapText="1"/>
    </xf>
    <xf borderId="11" fillId="15" fontId="59" numFmtId="0" xfId="0" applyAlignment="1" applyBorder="1" applyFont="1">
      <alignment horizontal="center" readingOrder="0" shrinkToFit="0" vertical="center" wrapText="1"/>
    </xf>
    <xf borderId="11" fillId="15" fontId="60" numFmtId="0" xfId="0" applyAlignment="1" applyBorder="1" applyFont="1">
      <alignment horizontal="center" readingOrder="0" shrinkToFit="0" vertical="center" wrapText="1"/>
    </xf>
    <xf borderId="11" fillId="16" fontId="61" numFmtId="0" xfId="0" applyAlignment="1" applyBorder="1" applyFont="1">
      <alignment horizontal="center" readingOrder="0" shrinkToFit="0" vertical="center" wrapText="1"/>
    </xf>
    <xf borderId="11" fillId="7" fontId="62" numFmtId="0" xfId="0" applyAlignment="1" applyBorder="1" applyFont="1">
      <alignment horizontal="center" readingOrder="0" shrinkToFit="0" vertical="center" wrapText="1"/>
    </xf>
    <xf borderId="11" fillId="5" fontId="62" numFmtId="0" xfId="0" applyAlignment="1" applyBorder="1" applyFont="1">
      <alignment horizontal="center" readingOrder="0" shrinkToFit="0" vertical="center" wrapText="1"/>
    </xf>
    <xf borderId="11" fillId="15" fontId="63" numFmtId="0" xfId="0" applyAlignment="1" applyBorder="1" applyFont="1">
      <alignment horizontal="center" readingOrder="0"/>
    </xf>
    <xf borderId="11" fillId="16" fontId="63" numFmtId="0" xfId="0" applyAlignment="1" applyBorder="1" applyFont="1">
      <alignment horizontal="center" readingOrder="0"/>
    </xf>
    <xf borderId="11" fillId="15" fontId="62" numFmtId="0" xfId="0" applyAlignment="1" applyBorder="1" applyFont="1">
      <alignment horizontal="center" readingOrder="0" shrinkToFit="0" vertical="center" wrapText="1"/>
    </xf>
    <xf borderId="11" fillId="16" fontId="62" numFmtId="0" xfId="0" applyAlignment="1" applyBorder="1" applyFont="1">
      <alignment horizontal="center" readingOrder="0" shrinkToFit="0" vertical="center" wrapText="1"/>
    </xf>
    <xf borderId="13" fillId="7" fontId="9" numFmtId="0" xfId="0" applyAlignment="1" applyBorder="1" applyFont="1">
      <alignment horizontal="center" readingOrder="0" shrinkToFit="0" vertical="center" wrapText="1"/>
    </xf>
    <xf borderId="0" fillId="0" fontId="9" numFmtId="0" xfId="0" applyAlignment="1" applyFont="1">
      <alignment horizontal="center" readingOrder="0" shrinkToFit="0" vertical="center" wrapText="1"/>
    </xf>
    <xf borderId="0" fillId="0" fontId="24" numFmtId="0" xfId="0" applyAlignment="1" applyFont="1">
      <alignment vertical="center"/>
    </xf>
    <xf borderId="0" fillId="0" fontId="9" numFmtId="0" xfId="0" applyAlignment="1" applyFont="1">
      <alignment horizontal="center" vertical="center"/>
    </xf>
    <xf borderId="12" fillId="0" fontId="9" numFmtId="0" xfId="0" applyAlignment="1" applyBorder="1" applyFont="1">
      <alignment horizontal="center" shrinkToFit="0" vertical="center" wrapText="1"/>
    </xf>
    <xf borderId="11" fillId="0" fontId="9" numFmtId="0" xfId="0" applyAlignment="1" applyBorder="1" applyFont="1">
      <alignment horizontal="center" shrinkToFit="0" vertical="center" wrapText="1"/>
    </xf>
    <xf borderId="0" fillId="7" fontId="29" numFmtId="0" xfId="0" applyAlignment="1" applyFont="1">
      <alignment horizontal="center" shrinkToFit="0" vertical="center" wrapText="1"/>
    </xf>
    <xf borderId="0" fillId="7" fontId="64" numFmtId="0" xfId="0" applyAlignment="1" applyFont="1">
      <alignment horizontal="center" readingOrder="0" shrinkToFit="0" vertical="center" wrapText="1"/>
    </xf>
    <xf borderId="0" fillId="0" fontId="29"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15" fontId="18"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5" fontId="18"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3"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7" numFmtId="0" xfId="0" applyAlignment="1" applyFont="1">
      <alignment horizontal="center" shrinkToFit="0" vertical="center" wrapText="1"/>
    </xf>
    <xf borderId="0" fillId="15" fontId="27" numFmtId="0" xfId="0" applyAlignment="1" applyFont="1">
      <alignment horizontal="center" shrinkToFit="0" vertical="center" wrapText="1"/>
    </xf>
    <xf borderId="0" fillId="0" fontId="65" numFmtId="0" xfId="0" applyAlignment="1" applyFont="1">
      <alignment horizontal="center" shrinkToFit="0" vertical="center" wrapText="1"/>
    </xf>
    <xf borderId="0" fillId="15" fontId="9" numFmtId="0" xfId="0" applyAlignment="1" applyFont="1">
      <alignment horizontal="center" readingOrder="0" shrinkToFit="0" vertical="center" wrapText="1"/>
    </xf>
    <xf borderId="0" fillId="3" fontId="20" numFmtId="0" xfId="0" applyAlignment="1" applyFont="1">
      <alignment horizontal="center" shrinkToFit="0" vertical="center" wrapText="1"/>
    </xf>
    <xf borderId="0" fillId="5" fontId="20" numFmtId="0" xfId="0" applyAlignment="1" applyFont="1">
      <alignment horizontal="center" shrinkToFit="0" vertical="center" wrapText="1"/>
    </xf>
    <xf borderId="0" fillId="15" fontId="20" numFmtId="0" xfId="0" applyAlignment="1" applyFont="1">
      <alignment horizontal="center" shrinkToFit="0" vertical="center" wrapText="1"/>
    </xf>
    <xf borderId="0" fillId="5" fontId="20"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15" fontId="20" numFmtId="0" xfId="0" applyAlignment="1" applyFont="1">
      <alignment horizontal="center" readingOrder="0" shrinkToFit="0" vertical="center" wrapText="1"/>
    </xf>
    <xf borderId="0" fillId="15" fontId="24" numFmtId="0" xfId="0" applyAlignment="1" applyFont="1">
      <alignment horizontal="center" shrinkToFit="0" vertical="center" wrapText="1"/>
    </xf>
    <xf borderId="0" fillId="15" fontId="24" numFmtId="0" xfId="0" applyAlignment="1" applyFont="1">
      <alignment horizontal="center" readingOrder="0" shrinkToFit="0" vertical="center" wrapText="1"/>
    </xf>
    <xf borderId="0" fillId="5" fontId="9" numFmtId="0" xfId="0" applyAlignment="1" applyFont="1">
      <alignment horizontal="center" shrinkToFit="0" vertical="center" wrapText="1"/>
    </xf>
    <xf borderId="0" fillId="5" fontId="24" numFmtId="0" xfId="0" applyAlignment="1" applyFont="1">
      <alignment horizontal="center" readingOrder="0" vertical="center"/>
    </xf>
    <xf borderId="0" fillId="3" fontId="24" numFmtId="0" xfId="0" applyAlignment="1" applyFont="1">
      <alignment horizontal="center" vertical="center"/>
    </xf>
    <xf borderId="0" fillId="5" fontId="24" numFmtId="0" xfId="0" applyAlignment="1" applyFont="1">
      <alignment horizontal="center" vertical="center"/>
    </xf>
    <xf borderId="0" fillId="15" fontId="24" numFmtId="0" xfId="0" applyAlignment="1" applyFont="1">
      <alignment horizontal="center" vertical="center"/>
    </xf>
    <xf borderId="0" fillId="7" fontId="26" numFmtId="0" xfId="0" applyAlignment="1" applyFont="1">
      <alignment horizontal="center" readingOrder="0" shrinkToFit="0" vertical="center" wrapText="1"/>
    </xf>
    <xf borderId="0" fillId="17" fontId="18"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8" numFmtId="0" xfId="0" applyAlignment="1" applyFont="1">
      <alignment horizontal="center" shrinkToFit="0" vertical="center" wrapText="1"/>
    </xf>
    <xf borderId="0" fillId="17" fontId="66" numFmtId="0" xfId="0" applyAlignment="1" applyFont="1">
      <alignment horizontal="center" vertical="center"/>
    </xf>
    <xf borderId="0" fillId="5" fontId="66" numFmtId="0" xfId="0" applyAlignment="1" applyFont="1">
      <alignment horizontal="center" vertical="center"/>
    </xf>
    <xf borderId="0" fillId="17" fontId="9" numFmtId="0" xfId="0" applyAlignment="1" applyFont="1">
      <alignment horizontal="center" readingOrder="0" shrinkToFit="0" vertical="center" wrapText="1"/>
    </xf>
    <xf borderId="0" fillId="17" fontId="20" numFmtId="0" xfId="0" applyAlignment="1" applyFont="1">
      <alignment horizontal="center" readingOrder="0" shrinkToFit="0" vertical="center" wrapText="1"/>
    </xf>
    <xf borderId="0" fillId="17" fontId="9" numFmtId="0" xfId="0" applyAlignment="1" applyFont="1">
      <alignment horizontal="center" shrinkToFit="0" vertical="center" wrapText="1"/>
    </xf>
    <xf borderId="0" fillId="17" fontId="20" numFmtId="0" xfId="0" applyAlignment="1" applyFont="1">
      <alignment horizontal="center" shrinkToFit="0" vertical="center" wrapText="1"/>
    </xf>
    <xf borderId="0" fillId="17" fontId="24" numFmtId="0" xfId="0" applyAlignment="1" applyFont="1">
      <alignment horizontal="center" vertical="center"/>
    </xf>
    <xf borderId="0" fillId="5" fontId="24" numFmtId="0" xfId="0" applyAlignment="1" applyFont="1">
      <alignment horizontal="center" vertical="center"/>
    </xf>
    <xf borderId="0" fillId="17" fontId="9" numFmtId="0" xfId="0" applyAlignment="1" applyFont="1">
      <alignment horizontal="center" shrinkToFit="0" vertical="center" wrapText="1"/>
    </xf>
    <xf borderId="0" fillId="17" fontId="24" numFmtId="0" xfId="0" applyAlignment="1" applyFont="1">
      <alignment horizontal="center" shrinkToFit="0" vertical="center" wrapText="1"/>
    </xf>
    <xf borderId="0" fillId="17" fontId="24" numFmtId="0" xfId="0" applyAlignment="1" applyFont="1">
      <alignment horizontal="center" shrinkToFit="0" vertical="center" wrapText="1"/>
    </xf>
    <xf borderId="0" fillId="17" fontId="9" numFmtId="0" xfId="0" applyAlignment="1" applyFont="1">
      <alignment shrinkToFit="0" vertical="center" wrapText="1"/>
    </xf>
    <xf borderId="0" fillId="17" fontId="67"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17" fontId="8" numFmtId="0" xfId="0" applyAlignment="1" applyFont="1">
      <alignment horizontal="center" shrinkToFit="0" vertical="center" wrapText="1"/>
    </xf>
    <xf borderId="0" fillId="17" fontId="24" numFmtId="0" xfId="0" applyAlignment="1" applyFont="1">
      <alignment horizontal="center" readingOrder="0" vertical="center"/>
    </xf>
    <xf borderId="0" fillId="17" fontId="68" numFmtId="0" xfId="0" applyAlignment="1" applyFont="1">
      <alignment horizontal="center" readingOrder="0" shrinkToFit="0" vertical="center" wrapText="1"/>
    </xf>
    <xf borderId="0" fillId="5" fontId="68" numFmtId="0" xfId="0" applyAlignment="1" applyFont="1">
      <alignment horizontal="center" readingOrder="0" shrinkToFit="0" vertical="center" wrapText="1"/>
    </xf>
    <xf borderId="0" fillId="17" fontId="24" numFmtId="0" xfId="0" applyAlignment="1" applyFont="1">
      <alignment horizontal="center" vertical="center"/>
    </xf>
    <xf borderId="0" fillId="5" fontId="24" numFmtId="0" xfId="0" applyAlignment="1" applyFont="1">
      <alignment horizontal="center" shrinkToFit="0" vertical="center" wrapText="0"/>
    </xf>
    <xf borderId="0" fillId="17" fontId="24" numFmtId="0" xfId="0" applyAlignment="1" applyFont="1">
      <alignment horizontal="center" readingOrder="0" shrinkToFit="0" vertical="center" wrapText="1"/>
    </xf>
    <xf borderId="0" fillId="0" fontId="24" numFmtId="0" xfId="0" applyAlignment="1" applyFont="1">
      <alignment horizontal="center" shrinkToFit="0" vertical="center" wrapText="1"/>
    </xf>
    <xf borderId="0" fillId="5" fontId="69" numFmtId="0" xfId="0" applyAlignment="1" applyFont="1">
      <alignment horizontal="center" shrinkToFit="0" vertical="center" wrapText="1"/>
    </xf>
    <xf borderId="0" fillId="17" fontId="24" numFmtId="0" xfId="0" applyAlignment="1" applyFont="1">
      <alignment vertical="center"/>
    </xf>
    <xf borderId="0" fillId="7" fontId="70" numFmtId="0" xfId="0" applyAlignment="1" applyFont="1">
      <alignment horizontal="center" readingOrder="0" shrinkToFit="0" vertical="center" wrapText="1"/>
    </xf>
    <xf borderId="0" fillId="17" fontId="66" numFmtId="0" xfId="0" applyAlignment="1" applyFont="1">
      <alignment horizontal="center" shrinkToFit="0" vertical="center" wrapText="1"/>
    </xf>
    <xf borderId="0" fillId="5" fontId="66" numFmtId="0" xfId="0" applyAlignment="1" applyFont="1">
      <alignment horizontal="center" shrinkToFit="0" vertical="center" wrapText="1"/>
    </xf>
    <xf borderId="0" fillId="0" fontId="18" numFmtId="0" xfId="0" applyAlignment="1" applyFont="1">
      <alignment horizontal="center" shrinkToFit="0" vertical="center" wrapText="1"/>
    </xf>
    <xf borderId="0" fillId="17" fontId="71" numFmtId="0" xfId="0" applyAlignment="1" applyFont="1">
      <alignment horizontal="center" readingOrder="0" shrinkToFit="0" vertical="center" wrapText="1"/>
    </xf>
    <xf borderId="0" fillId="17" fontId="24" numFmtId="0" xfId="0" applyAlignment="1" applyFont="1">
      <alignment shrinkToFit="0" vertical="center" wrapText="1"/>
    </xf>
    <xf borderId="0" fillId="0" fontId="24" numFmtId="0" xfId="0" applyAlignment="1" applyFont="1">
      <alignment shrinkToFit="0" vertical="center" wrapText="1"/>
    </xf>
    <xf borderId="0" fillId="8" fontId="19" numFmtId="0" xfId="0" applyAlignment="1" applyFont="1">
      <alignment horizontal="center" shrinkToFit="0" vertical="center" wrapText="1"/>
    </xf>
    <xf borderId="0" fillId="4" fontId="19" numFmtId="0" xfId="0" applyAlignment="1" applyFont="1">
      <alignment horizontal="center" shrinkToFit="0" vertical="center" wrapText="1"/>
    </xf>
    <xf borderId="0" fillId="5" fontId="34" numFmtId="0" xfId="0" applyAlignment="1" applyFont="1">
      <alignment readingOrder="0" shrinkToFit="0" vertical="center" wrapText="1"/>
    </xf>
    <xf borderId="0" fillId="5" fontId="34" numFmtId="0" xfId="0" applyAlignment="1" applyFont="1">
      <alignment horizontal="left" shrinkToFit="0" vertical="center" wrapText="1"/>
    </xf>
    <xf borderId="0" fillId="5" fontId="34" numFmtId="0" xfId="0" applyAlignment="1" applyFont="1">
      <alignment shrinkToFit="0" vertical="center" wrapText="1"/>
    </xf>
    <xf borderId="0" fillId="8" fontId="19" numFmtId="0" xfId="0" applyAlignment="1" applyFont="1">
      <alignment horizontal="center" readingOrder="0" shrinkToFit="0" vertical="center" wrapText="1"/>
    </xf>
    <xf borderId="0" fillId="14" fontId="32" numFmtId="0" xfId="0" applyAlignment="1" applyFont="1">
      <alignment horizontal="center" shrinkToFit="0" vertical="center" wrapText="1"/>
    </xf>
    <xf borderId="0" fillId="4" fontId="72"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73" numFmtId="0" xfId="0" applyAlignment="1" applyFont="1">
      <alignment horizontal="center" shrinkToFit="0" vertical="center" wrapText="1"/>
    </xf>
    <xf borderId="0" fillId="4" fontId="73" numFmtId="0" xfId="0" applyAlignment="1" applyFont="1">
      <alignment horizontal="center" shrinkToFit="0" vertical="center" wrapText="1"/>
    </xf>
    <xf borderId="0" fillId="4" fontId="73" numFmtId="0" xfId="0" applyAlignment="1" applyFont="1">
      <alignment horizontal="center" readingOrder="0" shrinkToFit="0" vertical="center" wrapText="1"/>
    </xf>
    <xf borderId="0" fillId="3" fontId="73" numFmtId="0" xfId="0" applyAlignment="1" applyFont="1">
      <alignment horizontal="center" readingOrder="0" shrinkToFit="0" vertical="center" wrapText="1"/>
    </xf>
    <xf borderId="0" fillId="3" fontId="66" numFmtId="0" xfId="0" applyAlignment="1" applyFont="1">
      <alignment horizontal="center" shrinkToFit="0" vertical="center" wrapText="1"/>
    </xf>
    <xf borderId="0" fillId="4" fontId="66" numFmtId="0" xfId="0" applyAlignment="1" applyFont="1">
      <alignment horizontal="center" shrinkToFit="0" vertical="center" wrapText="1"/>
    </xf>
    <xf borderId="0" fillId="3" fontId="19" numFmtId="0" xfId="0" applyAlignment="1" applyFont="1">
      <alignment shrinkToFit="0" vertical="center" wrapText="1"/>
    </xf>
    <xf borderId="0" fillId="4" fontId="9" numFmtId="0" xfId="0" applyAlignment="1" applyFont="1">
      <alignment shrinkToFit="0" vertical="center" wrapText="1"/>
    </xf>
    <xf borderId="0" fillId="3" fontId="18" numFmtId="0" xfId="0" applyAlignment="1" applyFont="1">
      <alignment horizontal="left" shrinkToFit="0" vertical="center" wrapText="1"/>
    </xf>
    <xf borderId="0" fillId="3"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3" fontId="19" numFmtId="0" xfId="0" applyAlignment="1" applyFont="1">
      <alignment readingOrder="0" shrinkToFit="0" vertical="center" wrapText="1"/>
    </xf>
    <xf borderId="0" fillId="4" fontId="25" numFmtId="0" xfId="0" applyAlignment="1" applyFont="1">
      <alignment horizontal="center" shrinkToFit="0" vertical="center" wrapText="1"/>
    </xf>
    <xf borderId="0" fillId="5" fontId="71" numFmtId="0" xfId="0" applyAlignment="1" applyFont="1">
      <alignment horizontal="center" readingOrder="0" shrinkToFit="0" vertical="center" wrapText="1"/>
    </xf>
    <xf borderId="0" fillId="4" fontId="74" numFmtId="0" xfId="0" applyAlignment="1" applyFont="1">
      <alignment horizontal="center" readingOrder="0" shrinkToFit="0" vertical="center" wrapText="1"/>
    </xf>
    <xf borderId="0" fillId="4" fontId="19" numFmtId="0" xfId="0" applyAlignment="1" applyFont="1">
      <alignment shrinkToFit="0" vertical="center" wrapText="1"/>
    </xf>
    <xf borderId="0" fillId="4" fontId="19" numFmtId="0" xfId="0" applyAlignment="1" applyFont="1">
      <alignment horizontal="center" readingOrder="0" shrinkToFit="0" vertical="center" wrapText="1"/>
    </xf>
    <xf borderId="0" fillId="3" fontId="9" numFmtId="0" xfId="0" applyAlignment="1" applyFont="1">
      <alignment shrinkToFit="0" vertical="center" wrapText="1"/>
    </xf>
    <xf borderId="0" fillId="3" fontId="2" numFmtId="0" xfId="0" applyAlignment="1" applyFont="1">
      <alignment horizontal="center" readingOrder="0" shrinkToFit="0" vertical="center" wrapText="1"/>
    </xf>
    <xf borderId="0" fillId="3" fontId="37" numFmtId="0" xfId="0" applyAlignment="1" applyFont="1">
      <alignment horizontal="center" shrinkToFit="0" vertical="center" wrapText="1"/>
    </xf>
    <xf borderId="0" fillId="15" fontId="37" numFmtId="0" xfId="0" applyAlignment="1" applyFont="1">
      <alignment horizontal="center" shrinkToFit="0" vertical="center" wrapText="1"/>
    </xf>
    <xf borderId="0" fillId="8" fontId="37" numFmtId="0" xfId="0" applyAlignment="1" applyFont="1">
      <alignment horizontal="center" shrinkToFit="0" vertical="center" wrapText="1"/>
    </xf>
    <xf borderId="0" fillId="8" fontId="20" numFmtId="0" xfId="0" applyAlignment="1" applyFont="1">
      <alignment horizontal="center" readingOrder="0" shrinkToFit="0" vertical="center" wrapText="1"/>
    </xf>
    <xf borderId="0" fillId="8" fontId="20" numFmtId="0" xfId="0" applyAlignment="1" applyFont="1">
      <alignment horizontal="center" shrinkToFit="0" vertical="center" wrapText="1"/>
    </xf>
    <xf borderId="0" fillId="8" fontId="24" numFmtId="0" xfId="0" applyAlignment="1" applyFont="1">
      <alignment horizontal="center" shrinkToFit="0" vertical="center" wrapText="1"/>
    </xf>
    <xf borderId="0" fillId="8" fontId="24" numFmtId="0" xfId="0" applyAlignment="1" applyFont="1">
      <alignment vertical="center"/>
    </xf>
    <xf borderId="0" fillId="15" fontId="24" numFmtId="0" xfId="0" applyAlignment="1" applyFont="1">
      <alignment vertical="center"/>
    </xf>
    <xf borderId="0" fillId="3" fontId="24" numFmtId="0" xfId="0" applyAlignment="1" applyFont="1">
      <alignment readingOrder="0" vertical="center"/>
    </xf>
    <xf borderId="0" fillId="15" fontId="24" numFmtId="0" xfId="0" applyAlignment="1" applyFont="1">
      <alignment readingOrder="0" shrinkToFit="0" vertical="center" wrapText="1"/>
    </xf>
    <xf borderId="0" fillId="8" fontId="24" numFmtId="0" xfId="0" applyAlignment="1" applyFont="1">
      <alignment vertical="center"/>
    </xf>
    <xf borderId="0" fillId="3" fontId="24" numFmtId="0" xfId="0" applyAlignment="1" applyFont="1">
      <alignment horizontal="center" readingOrder="0" vertical="center"/>
    </xf>
    <xf borderId="0" fillId="8" fontId="24" numFmtId="0" xfId="0" applyAlignment="1" applyFont="1">
      <alignment shrinkToFit="0" vertical="center" wrapText="1"/>
    </xf>
    <xf borderId="0" fillId="15" fontId="24" numFmtId="0" xfId="0" applyAlignment="1" applyFont="1">
      <alignment vertical="center"/>
    </xf>
    <xf borderId="0" fillId="3" fontId="32" numFmtId="0" xfId="0" applyAlignment="1" applyFont="1">
      <alignment vertical="center"/>
    </xf>
    <xf borderId="0" fillId="5" fontId="32" numFmtId="0" xfId="0" applyAlignment="1" applyFont="1">
      <alignment vertical="center"/>
    </xf>
    <xf borderId="0" fillId="15" fontId="32" numFmtId="0" xfId="0" applyAlignment="1" applyFont="1">
      <alignment vertical="center"/>
    </xf>
    <xf borderId="0" fillId="8" fontId="32" numFmtId="0" xfId="0" applyAlignment="1" applyFont="1">
      <alignment vertical="center"/>
    </xf>
    <xf borderId="0" fillId="3" fontId="28" numFmtId="0" xfId="0" applyAlignment="1" applyFont="1">
      <alignment horizontal="left" readingOrder="0" shrinkToFit="0" vertical="center" wrapText="1"/>
    </xf>
    <xf borderId="0" fillId="5" fontId="28" numFmtId="0" xfId="0" applyAlignment="1" applyFont="1">
      <alignment horizontal="left" shrinkToFit="0" vertical="center" wrapText="1"/>
    </xf>
    <xf borderId="0" fillId="15" fontId="28" numFmtId="0" xfId="0" applyAlignment="1" applyFont="1">
      <alignment horizontal="left" shrinkToFit="0" vertical="center" wrapText="1"/>
    </xf>
    <xf borderId="0" fillId="8" fontId="24" numFmtId="0" xfId="0" applyAlignment="1" applyFont="1">
      <alignment horizontal="center" vertical="center"/>
    </xf>
    <xf borderId="0" fillId="3" fontId="75"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4"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4" numFmtId="0" xfId="0" applyAlignment="1" applyFont="1">
      <alignment horizontal="left" vertical="center"/>
    </xf>
    <xf borderId="0" fillId="15" fontId="24" numFmtId="0" xfId="0" applyAlignment="1" applyFont="1">
      <alignment horizontal="left" vertical="center"/>
    </xf>
    <xf borderId="0" fillId="18" fontId="24" numFmtId="0" xfId="0" applyAlignment="1" applyFont="1">
      <alignment horizontal="center" vertical="center"/>
    </xf>
    <xf borderId="0" fillId="7" fontId="7"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16" fontId="7" numFmtId="0" xfId="0" applyAlignment="1" applyFont="1">
      <alignment horizontal="center" shrinkToFit="0" vertical="center" wrapText="1"/>
    </xf>
    <xf borderId="0" fillId="14" fontId="7" numFmtId="0" xfId="0" applyAlignment="1" applyFont="1">
      <alignment horizontal="center" readingOrder="0" shrinkToFit="0" vertical="center" wrapText="1"/>
    </xf>
    <xf borderId="0" fillId="4" fontId="2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7" fontId="20" numFmtId="0" xfId="0" applyAlignment="1" applyFont="1">
      <alignment horizontal="left" readingOrder="0" shrinkToFit="0" vertical="center" wrapText="1"/>
    </xf>
    <xf borderId="0" fillId="16" fontId="20" numFmtId="0" xfId="0" applyAlignment="1" applyFont="1">
      <alignment horizontal="left" shrinkToFit="0" vertical="center" wrapText="1"/>
    </xf>
    <xf borderId="0" fillId="14" fontId="20" numFmtId="0" xfId="0" applyAlignment="1" applyFont="1">
      <alignment horizontal="left" readingOrder="0" shrinkToFit="0" vertical="center" wrapText="1"/>
    </xf>
    <xf borderId="0" fillId="7" fontId="76" numFmtId="0" xfId="0" applyAlignment="1" applyFont="1">
      <alignment readingOrder="0" shrinkToFit="0" wrapText="1"/>
    </xf>
    <xf borderId="0" fillId="5" fontId="77" numFmtId="0" xfId="0" applyAlignment="1" applyFont="1">
      <alignment readingOrder="0" shrinkToFit="0" wrapText="1"/>
    </xf>
    <xf borderId="0" fillId="15" fontId="78" numFmtId="0" xfId="0" applyAlignment="1" applyFont="1">
      <alignment readingOrder="0" shrinkToFit="0" wrapText="1"/>
    </xf>
    <xf borderId="0" fillId="16" fontId="79" numFmtId="0" xfId="0" applyAlignment="1" applyFont="1">
      <alignment readingOrder="0" shrinkToFit="0" wrapText="1"/>
    </xf>
    <xf borderId="0" fillId="14" fontId="80" numFmtId="0" xfId="0" applyAlignment="1" applyFont="1">
      <alignment readingOrder="0" shrinkToFit="0" wrapText="1"/>
    </xf>
    <xf borderId="0" fillId="4" fontId="81" numFmtId="0" xfId="0" applyAlignment="1" applyFont="1">
      <alignment shrinkToFit="0" vertical="center" wrapText="1"/>
    </xf>
    <xf borderId="0" fillId="0" fontId="20" numFmtId="0" xfId="0" applyAlignment="1" applyFont="1">
      <alignment horizontal="left" readingOrder="0" shrinkToFit="0" vertical="center" wrapText="1"/>
    </xf>
    <xf borderId="0" fillId="0" fontId="9" numFmtId="0" xfId="0" applyAlignment="1" applyFont="1">
      <alignment shrinkToFit="0" vertical="center" wrapText="1"/>
    </xf>
    <xf borderId="0" fillId="15" fontId="28"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15" fontId="9" numFmtId="0" xfId="0" applyAlignment="1" applyFont="1">
      <alignment readingOrder="0" shrinkToFit="0" vertical="center" wrapText="1"/>
    </xf>
    <xf borderId="0" fillId="16" fontId="20" numFmtId="0" xfId="0" applyAlignment="1" applyFont="1">
      <alignment horizontal="left" readingOrder="0" shrinkToFit="0" vertical="center" wrapText="1"/>
    </xf>
    <xf borderId="0" fillId="7" fontId="82" numFmtId="0" xfId="0" applyAlignment="1" applyFont="1">
      <alignment horizontal="left" readingOrder="0" shrinkToFit="0" vertical="center" wrapText="1"/>
    </xf>
    <xf borderId="0" fillId="5" fontId="20" numFmtId="0" xfId="0" applyAlignment="1" applyFont="1">
      <alignment horizontal="left" shrinkToFit="0" vertical="center" wrapText="1"/>
    </xf>
    <xf borderId="0" fillId="5" fontId="83" numFmtId="0" xfId="0" applyAlignment="1" applyFont="1">
      <alignment horizontal="left" readingOrder="0" shrinkToFit="0" vertical="center" wrapText="1"/>
    </xf>
    <xf borderId="0" fillId="15" fontId="20" numFmtId="0" xfId="0" applyAlignment="1" applyFont="1">
      <alignment horizontal="left" shrinkToFit="0" vertical="center" wrapText="1"/>
    </xf>
    <xf borderId="0" fillId="15" fontId="84" numFmtId="0" xfId="0" applyAlignment="1" applyFont="1">
      <alignment horizontal="left" readingOrder="0" shrinkToFit="0" vertical="center" wrapText="1"/>
    </xf>
    <xf borderId="0" fillId="16" fontId="85" numFmtId="0" xfId="0" applyAlignment="1" applyFont="1">
      <alignment horizontal="left" readingOrder="0" shrinkToFit="0" vertical="center" wrapText="1"/>
    </xf>
    <xf borderId="0" fillId="14" fontId="20" numFmtId="0" xfId="0" applyAlignment="1" applyFont="1">
      <alignment horizontal="left" shrinkToFit="0" vertical="center" wrapText="1"/>
    </xf>
    <xf borderId="0" fillId="14" fontId="86" numFmtId="0" xfId="0" applyAlignment="1" applyFont="1">
      <alignment horizontal="left" readingOrder="0" shrinkToFit="0" vertical="center" wrapText="1"/>
    </xf>
    <xf borderId="0" fillId="0" fontId="24" numFmtId="0" xfId="0" applyFont="1"/>
    <xf borderId="0" fillId="0" fontId="5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discord.gg/2Bt7RWknyH" TargetMode="External"/><Relationship Id="rId6" Type="http://schemas.openxmlformats.org/officeDocument/2006/relationships/hyperlink" Target="https://nlch.itch.io/sister/devlog/879085/demo-v065a-release"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ci-en.dlsite.com/creator/24375/plan" TargetMode="External"/><Relationship Id="rId33" Type="http://schemas.openxmlformats.org/officeDocument/2006/relationships/hyperlink" Target="https://nlch.fanbox.cc/posts/9317203" TargetMode="External"/><Relationship Id="rId32" Type="http://schemas.openxmlformats.org/officeDocument/2006/relationships/hyperlink" Target="https://nlch.fanbox.cc/posts/9317203" TargetMode="External"/><Relationship Id="rId35" Type="http://schemas.openxmlformats.org/officeDocument/2006/relationships/hyperlink" Target="https://nlch.fanbox.cc/posts/9317203"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perohub.com/posts/6773ed3e7e0707642a5c7882" TargetMode="External"/><Relationship Id="rId25" Type="http://schemas.openxmlformats.org/officeDocument/2006/relationships/hyperlink" Target="https://perohub.com/posts/6773ed3e7e0707642a5c7882" TargetMode="External"/><Relationship Id="rId28" Type="http://schemas.openxmlformats.org/officeDocument/2006/relationships/hyperlink" Target="https://ci-en.dlsite.com/creator/24375/plan" TargetMode="External"/><Relationship Id="rId27" Type="http://schemas.openxmlformats.org/officeDocument/2006/relationships/hyperlink" Target="https://nlch.fanbox.cc/posts/9317203" TargetMode="External"/><Relationship Id="rId29" Type="http://schemas.openxmlformats.org/officeDocument/2006/relationships/hyperlink" Target="https://ci-en.dlsite.com/creator/24375/plan"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drawing" Target="../drawings/drawing1.xml"/><Relationship Id="rId10" Type="http://schemas.openxmlformats.org/officeDocument/2006/relationships/hyperlink" Target="https://store.steampowered.com/app/3238940/_/" TargetMode="External"/><Relationship Id="rId54" Type="http://schemas.openxmlformats.org/officeDocument/2006/relationships/hyperlink" Target="https://home.gamer.com.tw/artwork.php?sn=6032493"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56" Type="http://schemas.openxmlformats.org/officeDocument/2006/relationships/vmlDrawing" Target="../drawings/vmlDrawing1.vml"/><Relationship Id="rId15" Type="http://schemas.openxmlformats.org/officeDocument/2006/relationships/hyperlink" Target="https://store.steampowered.com/app/3238940/_/"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1" t="s">
        <v>1</v>
      </c>
      <c r="C1" s="2"/>
      <c r="D1" s="3"/>
      <c r="E1" s="4"/>
      <c r="F1" s="5"/>
      <c r="G1" s="4"/>
      <c r="H1" s="6" t="s">
        <v>2</v>
      </c>
      <c r="I1" s="7"/>
      <c r="J1" s="8"/>
      <c r="K1" s="8"/>
      <c r="L1" s="8"/>
      <c r="M1" s="8"/>
      <c r="N1" s="8"/>
      <c r="O1" s="8"/>
      <c r="P1" s="8"/>
      <c r="Q1" s="8"/>
      <c r="R1" s="8"/>
      <c r="S1" s="8"/>
      <c r="T1" s="8"/>
      <c r="U1" s="8"/>
      <c r="V1" s="8"/>
      <c r="W1" s="8"/>
    </row>
    <row r="2" ht="156.75" customHeight="1">
      <c r="A2" s="2" t="s">
        <v>3</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3"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mục này không thể mở các liên kết ngoài như liên kết trang web/bản đồ, người chơi cần mục này nên sử dụng trang web thông thường để truy cập hướng dẫn này nhằm sử dụng đúng các chức năng liên kết khác"&amp;" nhau.
(Ở một số khu vực, vẫn có thể cần VPN để truy cập chính xác).")</f>
        <v>Về mục chiến lược trong trò chơi "Mẹo Phiêu lưu", vì mục này không thể mở các liên kết ngoài như liên kết trang web/bản đồ, người chơi cần mục này nên sử dụng trang web thông thường để truy cập hướng dẫn này nhằm sử dụng đúng các chức năng liên kết khác nhau.
(Ở một số khu vực, vẫn có thể cần VPN để truy cập chính xác).</v>
      </c>
      <c r="J2" s="8"/>
      <c r="K2" s="8"/>
      <c r="L2" s="8"/>
      <c r="M2" s="8"/>
      <c r="N2" s="8"/>
      <c r="O2" s="8"/>
      <c r="P2" s="8"/>
      <c r="Q2" s="8"/>
      <c r="R2" s="8"/>
      <c r="S2" s="8"/>
      <c r="T2" s="8"/>
      <c r="U2" s="8"/>
      <c r="V2" s="8"/>
      <c r="W2" s="8"/>
    </row>
    <row r="3" ht="405.0" customHeight="1">
      <c r="A3" s="3" t="s">
        <v>4</v>
      </c>
      <c r="B3" s="5" t="str">
        <f>IFERROR(__xludf.DUMMYFUNCTION("GOOGLETRANSLATE(A3,""zh-tw"",""ja"")"),"※※※
1. 公式プロモーション資料やプレビュー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悪質な海賊版利用者が本ウェブサイトから素材をダウンロードし、バンドルして販売している事例が発生しています。これは重大な権利侵害です。無料で閲覧できるからといって、盗んでよいというわけではありません。海賊版利用者の皆様、この権利を尊"&amp;"重してください。
3. メジャーバージョンアップのたびに、公式サイトから最新バージョンを手動でダウンロードし、自動更新機能を使用することを推奨します（一部の地域では、このアップデート機能を利用するためにVPN接続が必要となる場合があります）。
4. iOS版については、現在公式チームでは検討しておりません。
5. このドキュメントは許可不要です。下部のタブから直接閲覧できます。")</f>
        <v>※※※
1. 公式プロモーション資料やプレビュー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悪質な海賊版利用者が本ウェブサイトから素材をダウンロードし、バンドルして販売している事例が発生しています。これは重大な権利侵害です。無料で閲覧できるからといって、盗んでよいというわけではありません。海賊版利用者の皆様、この権利を尊重してください。
3. メジャーバージョンアップのたびに、公式サイトから最新バージョンを手動でダウンロードし、自動更新機能を使用することを推奨します（一部の地域では、このアップデート機能を利用するためにVPN接続が必要となる場合があります）。
4. iOS版については、現在公式チームでは検討しておりません。
5. このドキュメントは許可不要です。下部のタブから直接閲覧できます。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possible; the answer is always ""not yet,"" not that the"&amp;" guide is incomplete!
2. Recently, unscrupulous pirates have been downloading and bundling materials from this website for sale. This is a serious infringement. Free viewing does not mean you can steal them. Please, pirates, respect this right.
3. For e"&amp;"ach major version update, it is recommended to manually download the latest version from the official website and use automatic updates to the latest version (in some regions, a VPN is required to access other regions for this update function).
4. An iOS"&amp;" version is not currently being considered by the official team.
5. This document does not require permission; everyone can directly view it from the tabs at the bottom.")</f>
        <v>※※※
1. Images in official promotional materials or previews, and some items already implemented, do not guarantee full implementation. Therefore, please do not ask how to do things that are not yet possible; the answer is always "not yet," not that the guide is incomplete!
2. Recently, unscrupulous pirates have been downloading and bundling materials from this website for sale. This is a serious infringement. Free viewing does not mean you can steal them. Please, pirates, respect this right.
3. For each major version update, it is recommended to manually download the latest version from the official website and use automatic updates to the latest version (in some regions, a VPN is required to access other regions for this update function).
4. An iOS version is not currently being considered by the official team.
5. This document does not require permission; everyone can directly view it from the tabs at the bottom.</v>
      </c>
      <c r="D3" s="3" t="str">
        <f>IFERROR(__xludf.DUMMYFUNCTION("GOOGLETRANSLATE(A3,""zh-tw"",""zh"")"),"※※※
1.官方宣传或预告的图片，以及部分已实装的物品，不代表已经完全实装，因此不要再问某些无法做到的事情该怎么做，答案永远是""还没做好""，并非攻略不齐全！
2.近期有不肖盗版商人将本网站资料下载并捆售，这是严重的侵权，免费观看并非是能盗用，请盗版者自重。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5.本文件不用申请权限，所有人都可以在最下方的分页标签中，直接点选查"&amp;"看。")</f>
        <v>※※※
1.官方宣传或预告的图片，以及部分已实装的物品，不代表已经完全实装，因此不要再问某些无法做到的事情该怎么做，答案永远是"还没做好"，并非攻略不齐全！
2.近期有不肖盗版商人将本网站资料下载并捆售，这是严重的侵权，免费观看并非是能盗用，请盗版者自重。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5.本文件不用申请权限，所有人都可以在最下方的分页标签中，直接点选查看。</v>
      </c>
      <c r="E3" s="4" t="str">
        <f>IFERROR(__xludf.DUMMYFUNCTION("GOOGLETRANSLATE(A3,""zh-tw"",""es-MX"")"),"※※※
1. Las imágenes en materiales promocionales oficiales o avances, y algunos elementos ya implementados, no garantizan una implementación completa. Por lo tanto, no pregunte cómo hacer cosas que aún no son posibles; la respuesta siempre es ""aún no"", "&amp;"¡no es que la guía esté incompleta!
2. Recientemente, piratas sin escrúpulos han estado descargando y agrupando materiales de este sitio web para su venta. Esto constituye una infracción grave. Verlos gratis no significa que puedan robarlos. Por favor, p"&amp;"iratas, respeten este derecho.
3. Para cada actualización importante, se recomienda descargar manualmente la última versión del sitio web oficial y usar las actualizaciones automáticas (en algunas regiones, se requiere una VPN para acceder a otras region"&amp;"es para esta función de actualización).
4. El equipo oficial no está considerando actualmente una versión para iOS.
5. Este documento no requiere permiso; todos pueden verlo directamente desde las pestañas de la parte inferior.")</f>
        <v>※※※
1. Las imágenes en materiales promocionales oficiales o avances, y algunos elementos ya implementados, no garantizan una implementación completa. Por lo tanto, no pregunte cómo hacer cosas que aún no son posibles; la respuesta siempre es "aún no", ¡no es que la guía esté incompleta!
2. Recientemente, piratas sin escrúpulos han estado descargando y agrupando materiales de este sitio web para su venta. Esto constituye una infracción grave. Verlos gratis no significa que puedan robarlos. Por favor, piratas, respeten este derecho.
3. Para cada actualización importante, se recomienda descargar manualmente la última versión del sitio web oficial y usar las actualizaciones automáticas (en algunas regiones, se requiere una VPN para acceder a otras regiones para esta función de actualización).
4. El equipo oficial no está considerando actualmente una versión para iOS.
5. Este documento no requiere permiso; todos pueden verlo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불가능한 작업을 어떻게 해야 하는지 묻지 마십시오. 항상 ""아직 안 됨""이라고 답할 뿐, 가이드가 불완전하다는 것은 아닙니다!
2. 최근 악의적인 불법 복제자들이 이 웹사이트에서 자료를 다운로드하고 번들로 묶어 판매하고 있습니다. 이는 심각한 저작권 침해입니다. 무료로 시청한다고 해서 도용해도 된다는 것은 아닙니다. 불법"&amp;" 복제자 여러분, 이 권리를 존중해 주십시오.
3. 주요 버전 업데이트 시에는 공식 웹사이트에서 최신 버전을 수동으로 다운로드하고 자동 업데이트를 사용하는 것이 좋습니다(일부 지역에서는 업데이트 기능을 위해 다른 지역에 접속하려면 VPN이 필요합니다).
4. iOS 버전은 현재 공식 팀에서 검토 중이 아닙니다.
5. 이 문서는 권한이 필요하지 않으며, 누구나 하단 탭을 통해 직접 볼 수 있습니다.")</f>
        <v>※※※
1. 공식 홍보 자료나 미리보기 이미지, 그리고 이미 구현된 일부 항목은 완전한 구현을 보장하지 않습니다. 따라서 아직 불가능한 작업을 어떻게 해야 하는지 묻지 마십시오. 항상 "아직 안 됨"이라고 답할 뿐, 가이드가 불완전하다는 것은 아닙니다!
2. 최근 악의적인 불법 복제자들이 이 웹사이트에서 자료를 다운로드하고 번들로 묶어 판매하고 있습니다. 이는 심각한 저작권 침해입니다. 무료로 시청한다고 해서 도용해도 된다는 것은 아닙니다. 불법 복제자 여러분, 이 권리를 존중해 주십시오.
3. 주요 버전 업데이트 시에는 공식 웹사이트에서 최신 버전을 수동으로 다운로드하고 자동 업데이트를 사용하는 것이 좋습니다(일부 지역에서는 업데이트 기능을 위해 다른 지역에 접속하려면 VPN이 필요합니다).
4. iOS 버전은 현재 공식 팀에서 검토 중이 아닙니다.
5. 이 문서는 권한이 필요하지 않으며, 누구나 하단 탭을 통해 직접 볼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 чт"&amp;"о руководство неполное!
2. В последнее время недобросовестные пираты скачивают и продают материалы с этого сайта. Это серьёзное нарушение. Бесплатный просмотр не означает, что вы можете их украсть. Пожалуйста, пираты, уважайте это право.
3. Для каждого "&amp;"обновления основной версии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"&amp;"время не рассматривается официальной командой.
5. Этот документ не требует разрешения; любой желающий может просмотреть его напрямую с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 что руководство неполное!
2. В последнее время недобросовестные пираты скачивают и продают материалы с этого сайта. Это серьёзное нарушение. Бесплатный просмотр не означает, что вы можете их украсть. Пожалуйста, пираты, уважайте это право.
3. Для каждого обновления основной версии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Этот документ не требует разрешения; любой желающий может просмотреть его напрямую с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etwa, dass die Anleitung unvollständig ist!
2. In letzter Zeit laden skrupellose Nutzer Inhalte dieser Website herunter und bündeln sie zum Verkauf. Dies stellt eine schwerwiegende Urheberrechtsverletzung dar. Kostenloses Ansehen b"&amp;"erechtigt nicht zum Diebstahl. Bitte respektieren Sie dieses Recht.
3. Für jedes größere Versionsupdate wird empfohlen, die neueste Version manuell von der offiziellen Website herunterzuladen und die automatischen Updates zu nutzen (in einigen Regionen i"&amp;"st für diese Update-Funktion ein VPN erforderlich).
4. Eine iOS-Version wird vom offiziellen Team derzeit nicht in Betracht gezogen.
5. Dieses Dokument benötigt keine Berechtigung;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etwa, dass die Anleitung unvollständig ist!
2. In letzter Zeit laden skrupellose Nutzer Inhalte dieser Website herunter und bündeln sie zum Verkauf. Dies stellt eine schwerwiegende Urheberrechtsverletzung dar. Kostenloses Ansehen berechtigt nicht zum Diebstahl. Bitte respektieren Sie dieses Recht.
3. Für jedes größere Versionsupdate wird empfohlen, die neueste Version manuell von der offiziellen Website herunterzuladen und die automatischen Updates zu nutzen (in einigen Regionen ist für diese Update-Funktion ein VPN erforderlich).
4. Eine iOS-Version wird vom offiziellen Team derzeit nicht in Betracht gezogen.
5. Dieses Dokument benötigt keine Berechtigung; jeder kann es direkt über die Tabs am unteren Rand einsehen.</v>
      </c>
      <c r="I3" s="4" t="str">
        <f>IFERROR(__xludf.DUMMYFUNCTION("GOOGLETRANSLATE(A3,""zh-tw"",""VI"")"),"※※※
1. Hình ảnh trong tài liệu quảng cáo chính thức hoặc bản xem trước, và một số mục đã được triển khai, không đảm bảo việc triển khai đầy đủ. Do đó, vui lòng không hỏi cách thực hiện những việc chưa thể thực hiện được; câu trả lời luôn là ""chưa"", chứ"&amp;" không phải hướng dẫn chưa đầy đủ!
2. Gần đây, những kẻ vi phạm bản quyền vô đạo đức đã tải xuống và đóng gói tài liệu từ trang web này để bán. Đây là một hành vi vi phạm nghiêm trọng. Xem miễn phí không có nghĩa là bạn có thể đánh cắp chúng. Xin hãy tôn"&amp;" trọng quyền này, những kẻ vi phạm bản quyền.
3. Đối với mỗi bản cập nhật phiên bản chính, bạn nên tải xuống thủ công phiên bản mới nhất từ ​​trang web chính thức và sử dụng tính năng cập nhật tự động lên phiên bản mới nhất (ở một số khu vực, cần có VPN "&amp;"để truy cập các khu vực khác cho chức năng cập nhật này).
4. Nhóm chính thức hiện chưa xem xét phiên bản iOS.
5. Tài liệu này không yêu cầu quyền truy cập; mọi người đều có thể xem trực tiếp từ các tab ở cuối trang.")</f>
        <v>※※※
1. Hình ảnh trong tài liệu quảng cáo chính thức hoặc bản xem trước, và một số mục đã được triển khai, không đảm bảo việc triển khai đầy đủ. Do đó, vui lòng không hỏi cách thực hiện những việc chưa thể thực hiện được; câu trả lời luôn là "chưa", chứ không phải hướng dẫn chưa đầy đủ!
2. Gần đây, những kẻ vi phạm bản quyền vô đạo đức đã tải xuống và đóng gói tài liệu từ trang web này để bán. Đây là một hành vi vi phạm nghiêm trọng. Xem miễn phí không có nghĩa là bạn có thể đánh cắp chúng. Xin hãy tôn trọng quyền này, những kẻ vi phạm bản quyền.
3. Đối với mỗi bản cập nhật phiên bản chính, bạn nên tải xuống thủ công phiên bản mới nhất từ ​​trang web chính thức và sử dụng tính năng cập nhật tự động lên phiên bản mới nhất (ở một số khu vực, cần có VPN để truy cập các khu vực khác cho chức năng cập nhật này).
4. Nhóm chính thức hiện chưa xem xét phiên bản iOS.
5. Tài liệu này không yêu cầu quyền truy cập; mọi người đều có thể xem trực tiếp từ các tab ở cuối trang.</v>
      </c>
      <c r="J3" s="8"/>
      <c r="K3" s="8"/>
      <c r="L3" s="8"/>
      <c r="M3" s="8"/>
      <c r="N3" s="8"/>
      <c r="O3" s="8"/>
      <c r="P3" s="8"/>
      <c r="Q3" s="8"/>
      <c r="R3" s="8"/>
      <c r="S3" s="8"/>
      <c r="T3" s="8"/>
      <c r="U3" s="8"/>
      <c r="V3" s="8"/>
      <c r="W3" s="8"/>
    </row>
    <row r="4" ht="94.5" customHeight="1">
      <c r="A4" s="10" t="s">
        <v>5</v>
      </c>
      <c r="B4" s="11" t="str">
        <f>IFERROR(__xludf.DUMMYFUNCTION("GOOGLETRANSLATE(A4,""zh-tw"",""ja"")"),"一部の言語コンテンツは現在開発中のため、地図ページが正しく表示されない場合がございます。ご不便をおかけして申し訳ございません。繁体字中国語版との比較もご参照ください。")</f>
        <v>一部の言語コンテンツは現在開発中のため、地図ページが正しく表示されない場合がございます。ご不便をおかけして申し訳ございません。繁体字中国語版との比較もご参照ください。</v>
      </c>
      <c r="C4" s="12" t="str">
        <f>IFERROR(__xludf.DUMMYFUNCTION("GOOGLETRANSLATE(A4,""zh-tw"",""en"")"),"The map page may not be viewable properly as some language content is still under development. We apologize for the inconvenience. You can refer to the Traditional Chinese version for comparison.")</f>
        <v>The map page may not be viewable properly as some language content is still under development. We apologize for the inconvenience. You can refer to the Traditional Chinese version for comparison.</v>
      </c>
      <c r="D4" s="10" t="str">
        <f>IFERROR(__xludf.DUMMYFUNCTION("GOOGLETRANSLATE(A4,""zh-tw"",""zh"")"),"地图MAP，因目前该分页的部分语言内容还在制作中，可能无法正常浏览，请见谅
可以先参考繁体中文版进行对照。")</f>
        <v>地图MAP，因目前该分页的部分语言内容还在制作中，可能无法正常浏览，请见谅
可以先参考繁体中文版进行对照。</v>
      </c>
      <c r="E4" s="11" t="str">
        <f>IFERROR(__xludf.DUMMYFUNCTION("GOOGLETRANSLATE(A4,""zh-tw"",""es-MX"")"),"Es posible que la página del mapa no se visualice correctamente, ya que algunos contenidos en otros idiomas aún están en desarrollo. Disculpen las molestias. Pueden consultar la versión en chino tradicional para comparar.")</f>
        <v>Es posible que la página del mapa no se visualice correctamente, ya que algunos contenidos en otros idiomas aún están en desarrollo. Disculpen las molestias. Pueden consultar la versión en chino tradicional para comparar.</v>
      </c>
      <c r="F4" s="11" t="str">
        <f>IFERROR(__xludf.DUMMYFUNCTION("GOOGLETRANSLATE(A4,""zh-tw"",""KO"")"),"일부 언어 콘텐츠가 아직 개발 중이어서 지도 페이지가 제대로 표시되지 않을 수 있습니다. 불편을 드려 죄송합니다. 중국어 번체 버전을 참고하여 비교해 보세요.")</f>
        <v>일부 언어 콘텐츠가 아직 개발 중이어서 지도 페이지가 제대로 표시되지 않을 수 있습니다. 불편을 드려 죄송합니다. 중국어 번체 버전을 참고하여 비교해 보세요.</v>
      </c>
      <c r="G4" s="11" t="str">
        <f>IFERROR(__xludf.DUMMYFUNCTION("GOOGLETRANSLATE(A4,""zh-tw"",""RU"")"),"Страница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f>
        <v>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v>
      </c>
      <c r="H4" s="11" t="str">
        <f>IFERROR(__xludf.DUMMYFUNCTION("GOOGLETRANSLATE(A4,""zh-tw"",""DE"")"),"Die Kartenseite wird möglicherweise nicht korrekt angezeigt, da einige Sprachinhalte noch in der Entwicklung sind. Wir bitten die Unannehmlichkeiten zu entschuldigen. Zum Vergleich können Sie die Version in traditionellem Chinesisch heranziehen.")</f>
        <v>Die Kartenseite wird möglicherweise nicht korrekt angezeigt, da einige Sprachinhalte noch in der Entwicklung sind. Wir bitten die Unannehmlichkeiten zu entschuldigen. Zum Vergleich können Sie die Version in traditionellem Chinesisch heranziehen.</v>
      </c>
      <c r="I4" s="13" t="s">
        <v>6</v>
      </c>
      <c r="J4" s="8"/>
      <c r="K4" s="8"/>
      <c r="L4" s="8"/>
      <c r="M4" s="8"/>
      <c r="N4" s="8"/>
      <c r="O4" s="8"/>
      <c r="P4" s="8"/>
      <c r="Q4" s="8"/>
      <c r="R4" s="8"/>
      <c r="S4" s="8"/>
      <c r="T4" s="8"/>
      <c r="U4" s="8"/>
      <c r="V4" s="8"/>
      <c r="W4" s="8"/>
    </row>
    <row r="5">
      <c r="A5" s="14"/>
      <c r="B5" s="14"/>
      <c r="C5" s="14"/>
      <c r="D5" s="14"/>
      <c r="E5" s="15"/>
      <c r="F5" s="15"/>
      <c r="G5" s="15"/>
      <c r="H5" s="15"/>
      <c r="I5" s="16"/>
      <c r="J5" s="17"/>
      <c r="K5" s="17"/>
      <c r="L5" s="17"/>
      <c r="M5" s="17"/>
      <c r="N5" s="17"/>
      <c r="O5" s="17"/>
      <c r="P5" s="17"/>
      <c r="Q5" s="17"/>
      <c r="R5" s="17"/>
      <c r="S5" s="17"/>
      <c r="T5" s="17"/>
      <c r="U5" s="17"/>
      <c r="V5" s="17"/>
      <c r="W5" s="17"/>
    </row>
    <row r="6">
      <c r="A6" s="1" t="s">
        <v>7</v>
      </c>
      <c r="B6" s="18" t="str">
        <f>IFERROR(__xludf.DUMMYFUNCTION("GOOGLETRANSLATE(A6,""zh-tw"",""ja"")"),"公式Discordグループ:
https://discord.gg/2Bt7RWknyH")</f>
        <v>公式Discordグループ:
https://discord.gg/2Bt7RWknyH</v>
      </c>
      <c r="C6" s="19" t="str">
        <f>IFERROR(__xludf.DUMMYFUNCTION("GOOGLETRANSLATE(A6,""zh-tw"",""en"")"),"Official Discord group:
https://discord.gg/2Bt7RWknyH")</f>
        <v>Official Discord group:
https://discord.gg/2Bt7RWknyH</v>
      </c>
      <c r="D6" s="18" t="str">
        <f>IFERROR(__xludf.DUMMYFUNCTION("GOOGLETRANSLATE(C6,""zh-tw"",""zh"")"),"Official Discord group:
https://discord.gg/2Bt7RWknyH")</f>
        <v>Official Discord group:
https://discord.gg/2Bt7RWknyH</v>
      </c>
      <c r="E6" s="19" t="str">
        <f>IFERROR(__xludf.DUMMYFUNCTION("GOOGLETRANSLATE(C6,""zh-tw"",""en"")"),"Official Discord group:
https://discord.gg/2Bt7RWknyH")</f>
        <v>Official Discord group:
https://discord.gg/2Bt7RWknyH</v>
      </c>
      <c r="F6" s="20" t="str">
        <f>IFERROR(__xludf.DUMMYFUNCTION("GOOGLETRANSLATE(A6,""zh-tw"",""KO"")"),"공식 디스코드 그룹:
https://discord.gg/2Bt7RWknyH")</f>
        <v>공식 디스코드 그룹:
https://discord.gg/2Bt7RWknyH</v>
      </c>
      <c r="G6" s="20" t="str">
        <f>IFERROR(__xludf.DUMMYFUNCTION("GOOGLETRANSLATE(A6,""zh-tw"",""RU"")"),"Официальная группа Discord:
https://discord.gg/2Bt7RWknyH")</f>
        <v>Официальная группа Discord:
https://discord.gg/2Bt7RWknyH</v>
      </c>
      <c r="H6" s="20" t="str">
        <f>IFERROR(__xludf.DUMMYFUNCTION("GOOGLETRANSLATE(A6,""zh-tw"",""DE"")"),"Offizielle Discord-Gruppe:
https://discord.gg/2Bt7RWknyH")</f>
        <v>Offizielle Discord-Gruppe:
https://discord.gg/2Bt7RWknyH</v>
      </c>
      <c r="I6" s="21" t="s">
        <v>8</v>
      </c>
      <c r="J6" s="17"/>
      <c r="K6" s="17"/>
      <c r="L6" s="17"/>
      <c r="M6" s="17"/>
      <c r="N6" s="17"/>
      <c r="O6" s="17"/>
      <c r="P6" s="17"/>
      <c r="Q6" s="17"/>
      <c r="R6" s="17"/>
      <c r="S6" s="17"/>
      <c r="T6" s="17"/>
      <c r="U6" s="17"/>
      <c r="V6" s="17"/>
      <c r="W6" s="17"/>
    </row>
    <row r="7">
      <c r="A7" s="1" t="s">
        <v>9</v>
      </c>
      <c r="B7" s="1" t="s">
        <v>10</v>
      </c>
      <c r="C7" s="1" t="s">
        <v>10</v>
      </c>
      <c r="D7" s="1" t="s">
        <v>10</v>
      </c>
      <c r="E7" s="1" t="s">
        <v>10</v>
      </c>
      <c r="F7" s="1" t="s">
        <v>10</v>
      </c>
      <c r="G7" s="1" t="s">
        <v>10</v>
      </c>
      <c r="H7" s="1" t="s">
        <v>10</v>
      </c>
      <c r="I7" s="1" t="s">
        <v>10</v>
      </c>
      <c r="J7" s="17"/>
      <c r="K7" s="17"/>
      <c r="L7" s="17"/>
      <c r="M7" s="17"/>
      <c r="N7" s="17"/>
      <c r="O7" s="17"/>
      <c r="P7" s="17"/>
      <c r="Q7" s="17"/>
      <c r="R7" s="17"/>
      <c r="S7" s="17"/>
      <c r="T7" s="17"/>
      <c r="U7" s="17"/>
      <c r="V7" s="17"/>
      <c r="W7" s="17"/>
    </row>
    <row r="8">
      <c r="A8" s="1" t="s">
        <v>11</v>
      </c>
      <c r="B8" s="1" t="s">
        <v>12</v>
      </c>
      <c r="C8" s="1" t="s">
        <v>13</v>
      </c>
      <c r="D8" s="1" t="s">
        <v>14</v>
      </c>
      <c r="E8" s="22" t="s">
        <v>15</v>
      </c>
      <c r="F8" s="22" t="s">
        <v>16</v>
      </c>
      <c r="G8" s="22" t="s">
        <v>17</v>
      </c>
      <c r="H8" s="22" t="s">
        <v>18</v>
      </c>
      <c r="I8" s="23" t="s">
        <v>19</v>
      </c>
      <c r="J8" s="17"/>
      <c r="K8" s="17"/>
      <c r="L8" s="17"/>
      <c r="M8" s="17"/>
      <c r="N8" s="17"/>
      <c r="O8" s="17"/>
      <c r="P8" s="17"/>
      <c r="Q8" s="17"/>
      <c r="R8" s="17"/>
      <c r="S8" s="17"/>
      <c r="T8" s="17"/>
      <c r="U8" s="17"/>
      <c r="V8" s="17"/>
      <c r="W8" s="17"/>
    </row>
    <row r="9">
      <c r="A9" s="1" t="s">
        <v>20</v>
      </c>
      <c r="B9" s="18" t="str">
        <f>IFERROR(__xludf.DUMMYFUNCTION("GOOGLETRANSLATE(A9,""zh-tw"",""ja"")"),"公式Perohubゲームへのリンク（Alipay対応）: https://perohub.com/posts/6773ed3e7e0707642a5c7882")</f>
        <v>公式Perohubゲームへのリンク（Alipay対応）: https://perohub.com/posts/6773ed3e7e0707642a5c7882</v>
      </c>
      <c r="C9" s="19" t="str">
        <f>IFERROR(__xludf.DUMMYFUNCTION("GOOGLETRANSLATE(A9,""zh-tw"",""en"")"),"Link to official Perohub games (Alipay supported): https://perohub.com/posts/6773ed3e7e0707642a5c7882")</f>
        <v>Link to official Perohub games (Alipay supported): https://perohub.com/posts/6773ed3e7e0707642a5c7882</v>
      </c>
      <c r="D9" s="24" t="s">
        <v>21</v>
      </c>
      <c r="E9" s="19" t="str">
        <f>IFERROR(__xludf.DUMMYFUNCTION("GOOGLETRANSLATE(C9,""zh-tw"",""en"")"),"Link to official Perohub games (Alipay supported): https://perohub.com/posts/6773ed3e7e0707642a5c7882")</f>
        <v>Link to official Perohub games (Alipay supported): https://perohub.com/posts/6773ed3e7e0707642a5c7882</v>
      </c>
      <c r="F9" s="19" t="str">
        <f>IFERROR(__xludf.DUMMYFUNCTION("GOOGLETRANSLATE(D9,""zh-tw"",""en"")"),"Perohub (Supports Alipay)
https://perohub.com/posts/6773ed3e7e0707642a5c7882")</f>
        <v>Perohub (Supports Alipay)
https://perohub.com/posts/6773ed3e7e0707642a5c7882</v>
      </c>
      <c r="G9" s="19" t="str">
        <f>IFERROR(__xludf.DUMMYFUNCTION("GOOGLETRANSLATE(E9,""zh-tw"",""en"")"),"Link to official Perohub games (Alipay supported): https://perohub.com/posts/6773ed3e7e0707642a5c7882")</f>
        <v>Link to official Perohub games (Alipay supported): https://perohub.com/posts/6773ed3e7e0707642a5c7882</v>
      </c>
      <c r="H9" s="19" t="str">
        <f>IFERROR(__xludf.DUMMYFUNCTION("GOOGLETRANSLATE(F9,""zh-tw"",""en"")"),"Perohub (Supports Alipay)
https://perohub.com/posts/6773ed3e7e0707642a5c7882")</f>
        <v>Perohub (Supports Alipay)
https://perohub.com/posts/6773ed3e7e0707642a5c7882</v>
      </c>
      <c r="I9" s="19" t="str">
        <f>IFERROR(__xludf.DUMMYFUNCTION("GOOGLETRANSLATE(G9,""zh-tw"",""en"")"),"Link to official Perohub games (Alipay supported): https://perohub.com/posts/6773ed3e7e0707642a5c7882")</f>
        <v>Link to official Perohub games (Alipay supported): https://perohub.com/posts/6773ed3e7e0707642a5c7882</v>
      </c>
      <c r="J9" s="17"/>
      <c r="K9" s="17"/>
      <c r="L9" s="17"/>
      <c r="M9" s="17"/>
      <c r="N9" s="17"/>
      <c r="O9" s="17"/>
      <c r="P9" s="17"/>
      <c r="Q9" s="17"/>
      <c r="R9" s="17"/>
      <c r="S9" s="17"/>
      <c r="T9" s="17"/>
      <c r="U9" s="17"/>
      <c r="V9" s="17"/>
      <c r="W9" s="17"/>
    </row>
    <row r="10">
      <c r="A10" s="1" t="s">
        <v>22</v>
      </c>
      <c r="B10" s="25" t="s">
        <v>23</v>
      </c>
      <c r="C10" s="25" t="s">
        <v>24</v>
      </c>
      <c r="D10" s="25" t="s">
        <v>25</v>
      </c>
      <c r="E10" s="22" t="s">
        <v>26</v>
      </c>
      <c r="F10" s="22" t="s">
        <v>27</v>
      </c>
      <c r="G10" s="22" t="s">
        <v>28</v>
      </c>
      <c r="H10" s="22" t="s">
        <v>29</v>
      </c>
      <c r="I10" s="21" t="s">
        <v>30</v>
      </c>
      <c r="J10" s="17"/>
      <c r="K10" s="17"/>
      <c r="L10" s="17"/>
      <c r="M10" s="17"/>
      <c r="N10" s="17"/>
      <c r="O10" s="17"/>
      <c r="P10" s="17"/>
      <c r="Q10" s="17"/>
      <c r="R10" s="17"/>
      <c r="S10" s="17"/>
      <c r="T10" s="17"/>
      <c r="U10" s="17"/>
      <c r="V10" s="17"/>
      <c r="W10" s="17"/>
    </row>
    <row r="11">
      <c r="A11" s="25" t="s">
        <v>31</v>
      </c>
      <c r="B11" s="25" t="s">
        <v>32</v>
      </c>
      <c r="C11" s="25" t="s">
        <v>33</v>
      </c>
      <c r="D11" s="25" t="s">
        <v>34</v>
      </c>
      <c r="E11" s="22" t="s">
        <v>35</v>
      </c>
      <c r="F11" s="22" t="s">
        <v>36</v>
      </c>
      <c r="G11" s="22" t="s">
        <v>37</v>
      </c>
      <c r="H11" s="22" t="s">
        <v>38</v>
      </c>
      <c r="I11" s="21"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データ編集協力：Nanshan、Luoran
</v>
      </c>
      <c r="C13" s="27"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translators: zNagato, AndyJango
German translator: Gabriel
Russian translator: Libeti
Korean translator: maltesey
Vietnamese translators: IntenseLag, Nian Sprout
Data compilation assistance: Nanshan, Lu"&amp;"oran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Nanshan, Luoran
</v>
      </c>
      <c r="D13" s="27"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协助资料汇整人员：南山、落染
</v>
      </c>
      <c r="E13" s="26" t="str">
        <f>IFERROR(__xludf.DUMMYFUNCTION("GOOGLETRANSLATE(A13,""zh-tw"",""es-MX"")"),"Este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Creación de mapas: Discord: mioakatukaze
Traductor de chino simplificado: ShigeLuna
Traductor d"&amp;"e japonés: 눈_눈
Traductor de inglés: Ruika
Traductores de español: zNagato, AndyJango
Traductor de alemán: Gabriel
Traductor de ruso: Libeti
Traductor de coreano: maltesey
Traductores de vietnamita: IntenseLag, Nian Sprout
Asistencia en la compilación de d"&amp;"atos: Nanshan, Luoran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Nanshan, Luoran
</v>
      </c>
      <c r="F13" s="26"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Nanshan, Luoran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корейский"&amp;": maltesey
Переводчик на вьетнамский: IntenseLag, Nian Sprout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Nanshan, Luoran
</v>
      </c>
      <c r="H13" s="26" t="str">
        <f>IFERROR(__xludf.DUMMYFUNCTION("GOOGLETRANSLATE(A13,""zh-tw"",""DE"")"),"Dieses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 Kartenerstellung: Discord: mioakatukaze
Übersetzer (Vereinfachtes Chinesisch): ShigeLuna
Übersetzer (Japanisch): 눈_눈
Übersetzer (Englisch): Ruika
Übersetzer (Spanis"&amp;"ch): zNagato, AndyJango
Übersetzer (Deutsch): Gabriel
Übersetzer (Russisch): Libeti
Übersetzer (Koreanisch): maltesey
Übersetzer (Vietnamesisch): IntenseLag, Nian Sprout
Unterstützung bei der Datenerfassung: Nanshan, Luoran
")</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Nanshan, Luoran
</v>
      </c>
      <c r="I13" s="28" t="s">
        <v>50</v>
      </c>
      <c r="J13" s="17"/>
      <c r="K13" s="17"/>
      <c r="L13" s="17"/>
      <c r="M13" s="17"/>
      <c r="N13" s="17"/>
      <c r="O13" s="17"/>
      <c r="P13" s="17"/>
      <c r="Q13" s="17"/>
      <c r="R13" s="17"/>
      <c r="S13" s="17"/>
      <c r="T13" s="17"/>
      <c r="U13" s="17"/>
      <c r="V13" s="17"/>
      <c r="W13" s="17"/>
    </row>
    <row r="14">
      <c r="A14" s="29" t="s">
        <v>51</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52</v>
      </c>
      <c r="E14" s="1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32" t="s">
        <v>53</v>
      </c>
      <c r="J14" s="17"/>
      <c r="K14" s="17"/>
      <c r="L14" s="17"/>
      <c r="M14" s="17"/>
      <c r="N14" s="17"/>
      <c r="O14" s="17"/>
      <c r="P14" s="17"/>
      <c r="Q14" s="17"/>
      <c r="R14" s="17"/>
      <c r="S14" s="17"/>
      <c r="T14" s="17"/>
      <c r="U14" s="17"/>
      <c r="V14" s="17"/>
      <c r="W14" s="17"/>
    </row>
    <row r="15">
      <c r="A15" s="33" t="s">
        <v>54</v>
      </c>
      <c r="B15" s="14"/>
      <c r="C15" s="34"/>
      <c r="D15" s="35" t="s">
        <v>55</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56</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57</v>
      </c>
      <c r="J18" s="17"/>
      <c r="K18" s="17"/>
      <c r="L18" s="17"/>
      <c r="M18" s="17"/>
      <c r="N18" s="17"/>
      <c r="O18" s="17"/>
      <c r="P18" s="17"/>
      <c r="Q18" s="17"/>
      <c r="R18" s="17"/>
      <c r="S18" s="17"/>
      <c r="T18" s="17"/>
      <c r="U18" s="17"/>
      <c r="V18" s="17"/>
      <c r="W18" s="17"/>
    </row>
    <row r="19">
      <c r="A19" s="43" t="s">
        <v>58</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59</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agregó la versión 0.85: SLG-C-23~SLG-C-29, SLG-A-24")</f>
        <v>3 de noviembre de 2025: Se agregó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60</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Se agregaron 0.82D: R4, R68, Artículos +3")</f>
        <v>14 de octubre de 2025: Se agregaron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61</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agregó la traducción al vietnamita el 6 de octubre de 2025.")</f>
        <v>Se agregó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62</v>
      </c>
      <c r="J22" s="46"/>
      <c r="K22" s="46"/>
      <c r="L22" s="46"/>
      <c r="M22" s="46"/>
      <c r="N22" s="46"/>
      <c r="O22" s="46"/>
      <c r="P22" s="46"/>
      <c r="Q22" s="46"/>
      <c r="R22" s="46"/>
      <c r="S22" s="46"/>
      <c r="T22" s="46"/>
      <c r="U22" s="46"/>
      <c r="V22" s="46"/>
      <c r="W22" s="46"/>
    </row>
    <row r="23">
      <c r="A23" s="43" t="s">
        <v>63</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IFERROR(__xludf.DUMMYFUNCTION("GOOGLETRANSLATE(A23,""zh-tw"",""es-MX"")"),"1/10/2025
Actualización 0.82:
R21, R66~R68, R83~89, Armas: 45~49, Objetos: 15, 47~49, Equipamiento: 75~78, Consejos: 106~112")</f>
        <v>1/10/2025
Actualización 0.82:
R21, R66~R68, R83~89, Armas: 45~49, Objetos: 15, 47~49, Equipamiento: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64</v>
      </c>
      <c r="J23" s="46"/>
      <c r="K23" s="46"/>
      <c r="L23" s="46"/>
      <c r="M23" s="46"/>
      <c r="N23" s="46"/>
      <c r="O23" s="46"/>
      <c r="P23" s="46"/>
      <c r="Q23" s="46"/>
      <c r="R23" s="46"/>
      <c r="S23" s="46"/>
      <c r="T23" s="46"/>
      <c r="U23" s="46"/>
      <c r="V23" s="46"/>
      <c r="W23" s="46"/>
    </row>
    <row r="24">
      <c r="A24" s="43" t="s">
        <v>65</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14/9/2025:
R69~R82, R24 / CONSEJOS 105~106 / Objetos 46 / Armas 45.46 / Equipos 64~74 / Objetos 42")</f>
        <v>Actualización 0.81 del 14/9/2025:
R69~R82, R24 / CONSEJOS 105~106 / Objetos 46 / Armas 45.46 / Equipos 64~74 / 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66</v>
      </c>
      <c r="J24" s="46"/>
      <c r="K24" s="46"/>
      <c r="L24" s="46"/>
      <c r="M24" s="46"/>
      <c r="N24" s="46"/>
      <c r="O24" s="46"/>
      <c r="P24" s="46"/>
      <c r="Q24" s="46"/>
      <c r="R24" s="46"/>
      <c r="S24" s="46"/>
      <c r="T24" s="46"/>
      <c r="U24" s="46"/>
      <c r="V24" s="46"/>
      <c r="W24" s="46"/>
    </row>
    <row r="25">
      <c r="A25" s="43" t="s">
        <v>67</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agregó paginación de video/audio el 4 de septiembre de 2025.")</f>
        <v>Se agregó paginación de video/audio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68</v>
      </c>
      <c r="J25" s="46"/>
      <c r="K25" s="46"/>
      <c r="L25" s="46"/>
      <c r="M25" s="46"/>
      <c r="N25" s="46"/>
      <c r="O25" s="46"/>
      <c r="P25" s="46"/>
      <c r="Q25" s="46"/>
      <c r="R25" s="46"/>
      <c r="S25" s="46"/>
      <c r="T25" s="46"/>
      <c r="U25" s="46"/>
      <c r="V25" s="46"/>
      <c r="W25" s="46"/>
    </row>
    <row r="26">
      <c r="A26" s="43" t="s">
        <v>69</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70</v>
      </c>
      <c r="J26" s="46"/>
      <c r="K26" s="46"/>
      <c r="L26" s="46"/>
      <c r="M26" s="46"/>
      <c r="N26" s="46"/>
      <c r="O26" s="46"/>
      <c r="P26" s="46"/>
      <c r="Q26" s="46"/>
      <c r="R26" s="46"/>
      <c r="S26" s="46"/>
      <c r="T26" s="46"/>
      <c r="U26" s="46"/>
      <c r="V26" s="46"/>
      <c r="W26" s="46"/>
    </row>
    <row r="27">
      <c r="A27" s="43" t="s">
        <v>71</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72</v>
      </c>
      <c r="J27" s="46"/>
      <c r="K27" s="46"/>
      <c r="L27" s="46"/>
      <c r="M27" s="46"/>
      <c r="N27" s="46"/>
      <c r="O27" s="46"/>
      <c r="P27" s="46"/>
      <c r="Q27" s="46"/>
      <c r="R27" s="46"/>
      <c r="S27" s="46"/>
      <c r="T27" s="46"/>
      <c r="U27" s="46"/>
      <c r="V27" s="46"/>
      <c r="W27" s="46"/>
    </row>
    <row r="28">
      <c r="A28" s="43" t="s">
        <v>73</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74</v>
      </c>
      <c r="J28" s="46"/>
      <c r="K28" s="46"/>
      <c r="L28" s="46"/>
      <c r="M28" s="46"/>
      <c r="N28" s="46"/>
      <c r="O28" s="46"/>
      <c r="P28" s="46"/>
      <c r="Q28" s="46"/>
      <c r="R28" s="46"/>
      <c r="S28" s="46"/>
      <c r="T28" s="46"/>
      <c r="U28" s="46"/>
      <c r="V28" s="46"/>
      <c r="W28" s="46"/>
    </row>
    <row r="29">
      <c r="A29" s="43" t="s">
        <v>75</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agregó el 11 de agosto de 2025. (CONSEJOS)")</f>
        <v>La versión 0.79H se agregó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76</v>
      </c>
      <c r="J29" s="46"/>
      <c r="K29" s="46"/>
      <c r="L29" s="46"/>
      <c r="M29" s="46"/>
      <c r="N29" s="46"/>
      <c r="O29" s="46"/>
      <c r="P29" s="46"/>
      <c r="Q29" s="46"/>
      <c r="R29" s="46"/>
      <c r="S29" s="46"/>
      <c r="T29" s="46"/>
      <c r="U29" s="46"/>
      <c r="V29" s="46"/>
      <c r="W29" s="46"/>
    </row>
    <row r="30">
      <c r="A30" s="43" t="s">
        <v>77</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78</v>
      </c>
      <c r="J30" s="46"/>
      <c r="K30" s="46"/>
      <c r="L30" s="46"/>
      <c r="M30" s="46"/>
      <c r="N30" s="46"/>
      <c r="O30" s="46"/>
      <c r="P30" s="46"/>
      <c r="Q30" s="46"/>
      <c r="R30" s="46"/>
      <c r="S30" s="46"/>
      <c r="T30" s="46"/>
      <c r="U30" s="46"/>
      <c r="V30" s="46"/>
      <c r="W30" s="46"/>
    </row>
    <row r="31">
      <c r="A31" s="43" t="s">
        <v>79</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IFERROR(__xludf.DUMMYFUNCTION("GOOGLETRANSLATE(A31,""zh-tw"",""es-MX"")"),"Versión 0.79D TIPS agregada el 20/7/2025")</f>
        <v>Versión 0.79D TIPS agregada el 20/7/2025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80</v>
      </c>
      <c r="J31" s="46"/>
      <c r="K31" s="46"/>
      <c r="L31" s="46"/>
      <c r="M31" s="46"/>
      <c r="N31" s="46"/>
      <c r="O31" s="46"/>
      <c r="P31" s="46"/>
      <c r="Q31" s="46"/>
      <c r="R31" s="46"/>
      <c r="S31" s="46"/>
      <c r="T31" s="46"/>
      <c r="U31" s="46"/>
      <c r="V31" s="46"/>
      <c r="W31" s="46"/>
    </row>
    <row r="32">
      <c r="A32" s="43" t="s">
        <v>81</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agregó la versión 0.79 para SLG-A, SLG-C, TIPS, Weap y Drops.")</f>
        <v>El 12 de julio de 2025, se agregó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82</v>
      </c>
      <c r="J32" s="46"/>
      <c r="K32" s="46"/>
      <c r="L32" s="46"/>
      <c r="M32" s="46"/>
      <c r="N32" s="46"/>
      <c r="O32" s="46"/>
      <c r="P32" s="46"/>
      <c r="Q32" s="46"/>
      <c r="R32" s="46"/>
      <c r="S32" s="46"/>
      <c r="T32" s="46"/>
      <c r="U32" s="46"/>
      <c r="V32" s="46"/>
      <c r="W32" s="46"/>
    </row>
    <row r="33">
      <c r="A33" s="43" t="s">
        <v>83</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sugerencias.")</f>
        <v>11 de junio de 2025: Se corrigieron algunas descripciones en la versión 0.77 y se agregaron sugerencias.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84</v>
      </c>
      <c r="J33" s="46"/>
      <c r="K33" s="46"/>
      <c r="L33" s="46"/>
      <c r="M33" s="46"/>
      <c r="N33" s="46"/>
      <c r="O33" s="46"/>
      <c r="P33" s="46"/>
      <c r="Q33" s="46"/>
      <c r="R33" s="46"/>
      <c r="S33" s="46"/>
      <c r="T33" s="46"/>
      <c r="U33" s="46"/>
      <c r="V33" s="46"/>
      <c r="W33" s="46"/>
    </row>
    <row r="34">
      <c r="A34" s="43" t="s">
        <v>85</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86</v>
      </c>
      <c r="J34" s="46"/>
      <c r="K34" s="46"/>
      <c r="L34" s="46"/>
      <c r="M34" s="46"/>
      <c r="N34" s="46"/>
      <c r="O34" s="46"/>
      <c r="P34" s="46"/>
      <c r="Q34" s="46"/>
      <c r="R34" s="46"/>
      <c r="S34" s="46"/>
      <c r="T34" s="46"/>
      <c r="U34" s="46"/>
      <c r="V34" s="46"/>
      <c r="W34" s="46"/>
    </row>
    <row r="35">
      <c r="A35" s="43" t="s">
        <v>87</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88</v>
      </c>
      <c r="J35" s="46"/>
      <c r="K35" s="46"/>
      <c r="L35" s="46"/>
      <c r="M35" s="46"/>
      <c r="N35" s="46"/>
      <c r="O35" s="46"/>
      <c r="P35" s="46"/>
      <c r="Q35" s="46"/>
      <c r="R35" s="46"/>
      <c r="S35" s="46"/>
      <c r="T35" s="46"/>
      <c r="U35" s="46"/>
      <c r="V35" s="46"/>
      <c r="W35" s="46"/>
    </row>
    <row r="36">
      <c r="A36" s="43" t="s">
        <v>89</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90</v>
      </c>
      <c r="J36" s="46"/>
      <c r="K36" s="46"/>
      <c r="L36" s="46"/>
      <c r="M36" s="46"/>
      <c r="N36" s="46"/>
      <c r="O36" s="46"/>
      <c r="P36" s="46"/>
      <c r="Q36" s="46"/>
      <c r="R36" s="46"/>
      <c r="S36" s="46"/>
      <c r="T36" s="46"/>
      <c r="U36" s="46"/>
      <c r="V36" s="46"/>
      <c r="W36" s="46"/>
    </row>
    <row r="37">
      <c r="A37" s="43" t="s">
        <v>91</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agregó un tutorial sobre la instalación de una tarjeta gráfica dedicada.")</f>
        <v>El 24 de mayo de 2025, se agregó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92</v>
      </c>
      <c r="J37" s="46"/>
      <c r="K37" s="46"/>
      <c r="L37" s="46"/>
      <c r="M37" s="46"/>
      <c r="N37" s="46"/>
      <c r="O37" s="46"/>
      <c r="P37" s="46"/>
      <c r="Q37" s="46"/>
      <c r="R37" s="46"/>
      <c r="S37" s="46"/>
      <c r="T37" s="46"/>
      <c r="U37" s="46"/>
      <c r="V37" s="46"/>
      <c r="W37" s="46"/>
    </row>
    <row r="38">
      <c r="A38" s="43" t="s">
        <v>93</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94</v>
      </c>
      <c r="J38" s="46"/>
      <c r="K38" s="46"/>
      <c r="L38" s="46"/>
      <c r="M38" s="46"/>
      <c r="N38" s="46"/>
      <c r="O38" s="46"/>
      <c r="P38" s="46"/>
      <c r="Q38" s="46"/>
      <c r="R38" s="46"/>
      <c r="S38" s="46"/>
      <c r="T38" s="46"/>
      <c r="U38" s="46"/>
      <c r="V38" s="46"/>
      <c r="W38" s="46"/>
    </row>
    <row r="39">
      <c r="A39" s="43" t="s">
        <v>95</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una imagen del mapa del Gran Cinturón de Lava Calcinada el 6 de mayo de 2025.")</f>
        <v>Se agregó una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96</v>
      </c>
      <c r="J39" s="46"/>
      <c r="K39" s="46"/>
      <c r="L39" s="46"/>
      <c r="M39" s="46"/>
      <c r="N39" s="46"/>
      <c r="O39" s="46"/>
      <c r="P39" s="46"/>
      <c r="Q39" s="46"/>
      <c r="R39" s="46"/>
      <c r="S39" s="46"/>
      <c r="T39" s="46"/>
      <c r="U39" s="46"/>
      <c r="V39" s="46"/>
      <c r="W39" s="46"/>
    </row>
    <row r="40">
      <c r="A40" s="43" t="s">
        <v>97</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98</v>
      </c>
      <c r="J40" s="46"/>
      <c r="K40" s="46"/>
      <c r="L40" s="46"/>
      <c r="M40" s="46"/>
      <c r="N40" s="46"/>
      <c r="O40" s="46"/>
      <c r="P40" s="46"/>
      <c r="Q40" s="46"/>
      <c r="R40" s="46"/>
      <c r="S40" s="46"/>
      <c r="T40" s="46"/>
      <c r="U40" s="46"/>
      <c r="V40" s="46"/>
      <c r="W40" s="46"/>
    </row>
    <row r="41">
      <c r="A41" s="43" t="s">
        <v>99</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agregaron traducciones al ruso y al alemán el 4 de mayo de 2025.")</f>
        <v>Se agregaron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100</v>
      </c>
      <c r="J41" s="46"/>
      <c r="K41" s="46"/>
      <c r="L41" s="46"/>
      <c r="M41" s="46"/>
      <c r="N41" s="46"/>
      <c r="O41" s="46"/>
      <c r="P41" s="46"/>
      <c r="Q41" s="46"/>
      <c r="R41" s="46"/>
      <c r="S41" s="46"/>
      <c r="T41" s="46"/>
      <c r="U41" s="46"/>
      <c r="V41" s="46"/>
      <c r="W41" s="46"/>
    </row>
    <row r="42">
      <c r="A42" s="43" t="s">
        <v>101</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102</v>
      </c>
      <c r="J42" s="46"/>
      <c r="K42" s="46"/>
      <c r="L42" s="46"/>
      <c r="M42" s="46"/>
      <c r="N42" s="46"/>
      <c r="O42" s="46"/>
      <c r="P42" s="46"/>
      <c r="Q42" s="46"/>
      <c r="R42" s="46"/>
      <c r="S42" s="46"/>
      <c r="T42" s="46"/>
      <c r="U42" s="46"/>
      <c r="V42" s="46"/>
      <c r="W42" s="46"/>
    </row>
    <row r="43">
      <c r="A43" s="43" t="s">
        <v>103</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104</v>
      </c>
      <c r="J43" s="46"/>
      <c r="K43" s="46"/>
      <c r="L43" s="46"/>
      <c r="M43" s="46"/>
      <c r="N43" s="46"/>
      <c r="O43" s="46"/>
      <c r="P43" s="46"/>
      <c r="Q43" s="46"/>
      <c r="R43" s="46"/>
      <c r="S43" s="46"/>
      <c r="T43" s="46"/>
      <c r="U43" s="46"/>
      <c r="V43" s="46"/>
      <c r="W43" s="46"/>
    </row>
    <row r="44">
      <c r="A44" s="43" t="s">
        <v>105</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106</v>
      </c>
      <c r="J44" s="46"/>
      <c r="K44" s="46"/>
      <c r="L44" s="46"/>
      <c r="M44" s="46"/>
      <c r="N44" s="46"/>
      <c r="O44" s="46"/>
      <c r="P44" s="46"/>
      <c r="Q44" s="46"/>
      <c r="R44" s="46"/>
      <c r="S44" s="46"/>
      <c r="T44" s="46"/>
      <c r="U44" s="46"/>
      <c r="V44" s="46"/>
      <c r="W44" s="46"/>
    </row>
    <row r="45">
      <c r="A45" s="43" t="s">
        <v>107</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108</v>
      </c>
      <c r="J45" s="46"/>
      <c r="K45" s="46"/>
      <c r="L45" s="46"/>
      <c r="M45" s="46"/>
      <c r="N45" s="46"/>
      <c r="O45" s="46"/>
      <c r="P45" s="46"/>
      <c r="Q45" s="46"/>
      <c r="R45" s="46"/>
      <c r="S45" s="46"/>
      <c r="T45" s="46"/>
      <c r="U45" s="46"/>
      <c r="V45" s="46"/>
      <c r="W45" s="46"/>
    </row>
    <row r="46">
      <c r="A46" s="43" t="s">
        <v>109</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110</v>
      </c>
      <c r="J46" s="46"/>
      <c r="K46" s="46"/>
      <c r="L46" s="46"/>
      <c r="M46" s="46"/>
      <c r="N46" s="46"/>
      <c r="O46" s="46"/>
      <c r="P46" s="46"/>
      <c r="Q46" s="46"/>
      <c r="R46" s="46"/>
      <c r="S46" s="46"/>
      <c r="T46" s="46"/>
      <c r="U46" s="46"/>
      <c r="V46" s="46"/>
      <c r="W46" s="46"/>
    </row>
    <row r="47">
      <c r="A47" s="43" t="s">
        <v>111</v>
      </c>
      <c r="B47" s="43" t="s">
        <v>112</v>
      </c>
      <c r="C47" s="43" t="s">
        <v>113</v>
      </c>
      <c r="D47" s="43" t="str">
        <f>IFERROR(__xludf.DUMMYFUNCTION("GOOGLETRANSLATE(A47,""zh-tw"",""zh"")"),"2025/4/4 地图新增大焦热溶岩帯")</f>
        <v>2025/4/4 地图新增大焦热溶岩帯</v>
      </c>
      <c r="E47" s="45" t="str">
        <f>IFERROR(__xludf.DUMMYFUNCTION("GOOGLETRANSLATE(A47,""zh-tw"",""es-MX"")"),"4 de abril de 2025: se agregó el Gran Cinturón de Lava Quemada al mapa.")</f>
        <v>4 de abril de 2025: se agregó el Gran Cinturón de Lava Quemada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114</v>
      </c>
      <c r="J47" s="46"/>
      <c r="K47" s="46"/>
      <c r="L47" s="46"/>
      <c r="M47" s="46"/>
      <c r="N47" s="46"/>
      <c r="O47" s="46"/>
      <c r="P47" s="46"/>
      <c r="Q47" s="46"/>
      <c r="R47" s="46"/>
      <c r="S47" s="46"/>
      <c r="T47" s="46"/>
      <c r="U47" s="46"/>
      <c r="V47" s="46"/>
      <c r="W47" s="46"/>
    </row>
    <row r="48">
      <c r="A48" s="43" t="s">
        <v>115</v>
      </c>
      <c r="B48" s="43" t="str">
        <f>IFERROR(__xludf.DUMMYFUNCTION("GOOGLETRANSLATE(A48,""zh-tw"",""ja"")"),"2025年4月1日：バージョン0.72のアイテムを追加しました：S7、S32〜S35、TIPS、アイテム2個、鎧1個。")</f>
        <v>2025年4月1日：バージョン0.72のアイテムを追加しました：S7、S32〜S35、TIPS、アイテム2個、鎧1個。</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elementos de la versión 0.72: S7, S32~S35, CONSEJOS, dos elementos y una pieza de armadura.")</f>
        <v>1 de abril de 2025: Se agregaron los elementos de la versión 0.72: S7, S32~S35, CONSEJOS, dos elementos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116</v>
      </c>
      <c r="J48" s="46"/>
      <c r="K48" s="46"/>
      <c r="L48" s="46"/>
      <c r="M48" s="46"/>
      <c r="N48" s="46"/>
      <c r="O48" s="46"/>
      <c r="P48" s="46"/>
      <c r="Q48" s="46"/>
      <c r="R48" s="46"/>
      <c r="S48" s="46"/>
      <c r="T48" s="46"/>
      <c r="U48" s="46"/>
      <c r="V48" s="46"/>
      <c r="W48" s="46"/>
    </row>
    <row r="49">
      <c r="A49" s="43" t="s">
        <v>117</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IFERROR(__xludf.DUMMYFUNCTION("GOOGLETRANSLATE(A49,""zh-tw"",""es-MX"")"),"Se agregó una pequeña sorpresa del Día de los Inocentes al sitio web el 1 de abril de 2025.")</f>
        <v>Se agregó una pequeña sorpresa del Día de los Inocentes al sitio web el 1 de abril de 2025.</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118</v>
      </c>
      <c r="J49" s="46"/>
      <c r="K49" s="46"/>
      <c r="L49" s="46"/>
      <c r="M49" s="46"/>
      <c r="N49" s="46"/>
      <c r="O49" s="46"/>
      <c r="P49" s="46"/>
      <c r="Q49" s="46"/>
      <c r="R49" s="46"/>
      <c r="S49" s="46"/>
      <c r="T49" s="46"/>
      <c r="U49" s="46"/>
      <c r="V49" s="46"/>
      <c r="W49" s="46"/>
    </row>
    <row r="50">
      <c r="A50" s="43" t="s">
        <v>119</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dentro del evento.")</f>
        <v>Actualización del 25 de marzo de 2025: se han corregido los nombres de los mapas y algunos contenidos dentro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IFERROR(__xludf.DUMMYFUNCTION("GOOGLETRANSLATE(A50,""zh-tw"",""DE"")"),"Update vom 25. März 2025: Kartennamen und einige Inhalte innerhalb der Veranstaltung wurden korrigiert.")</f>
        <v>Update vom 25. März 2025: Kartennamen und einige Inhalte innerhalb der Veranstaltung wurden korrigiert.</v>
      </c>
      <c r="I50" s="49" t="s">
        <v>120</v>
      </c>
      <c r="J50" s="46"/>
      <c r="K50" s="46"/>
      <c r="L50" s="46"/>
      <c r="M50" s="46"/>
      <c r="N50" s="46"/>
      <c r="O50" s="46"/>
      <c r="P50" s="46"/>
      <c r="Q50" s="46"/>
      <c r="R50" s="46"/>
      <c r="S50" s="46"/>
      <c r="T50" s="46"/>
      <c r="U50" s="46"/>
      <c r="V50" s="46"/>
      <c r="W50" s="46"/>
    </row>
    <row r="51">
      <c r="A51" s="43" t="s">
        <v>121</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se rediseñaron del 22 de marzo de 2025 al 5 de mayo de 2025.")</f>
        <v>Las secciones del mapa se rediseñaron del 22 de marzo de 2025 al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122</v>
      </c>
      <c r="J51" s="46"/>
      <c r="K51" s="46"/>
      <c r="L51" s="46"/>
      <c r="M51" s="46"/>
      <c r="N51" s="46"/>
      <c r="O51" s="46"/>
      <c r="P51" s="46"/>
      <c r="Q51" s="46"/>
      <c r="R51" s="46"/>
      <c r="S51" s="46"/>
      <c r="T51" s="46"/>
      <c r="U51" s="46"/>
      <c r="V51" s="46"/>
      <c r="W51" s="46"/>
    </row>
    <row r="52">
      <c r="A52" s="43" t="s">
        <v>123</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dividida en páginas SLG y RPG.")</f>
        <v>21 de marzo de 2025: Se rediseñó la página del evento, dividida en páginas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124</v>
      </c>
      <c r="J52" s="46"/>
      <c r="K52" s="46"/>
      <c r="L52" s="46"/>
      <c r="M52" s="46"/>
      <c r="N52" s="46"/>
      <c r="O52" s="46"/>
      <c r="P52" s="46"/>
      <c r="Q52" s="46"/>
      <c r="R52" s="46"/>
      <c r="S52" s="46"/>
      <c r="T52" s="46"/>
      <c r="U52" s="46"/>
      <c r="V52" s="46"/>
      <c r="W52" s="46"/>
    </row>
    <row r="53">
      <c r="A53" s="43" t="s">
        <v>125</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de la versión 0.7 el 16/3/2025")</f>
        <v>Información actualizada de la versión 0.7 el 16/3/2025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126</v>
      </c>
      <c r="J53" s="46"/>
      <c r="K53" s="46"/>
      <c r="L53" s="46"/>
      <c r="M53" s="46"/>
      <c r="N53" s="46"/>
      <c r="O53" s="46"/>
      <c r="P53" s="46"/>
      <c r="Q53" s="46"/>
      <c r="R53" s="46"/>
      <c r="S53" s="46"/>
      <c r="T53" s="46"/>
      <c r="U53" s="46"/>
      <c r="V53" s="46"/>
      <c r="W53" s="46"/>
    </row>
    <row r="54">
      <c r="A54" s="43" t="s">
        <v>127</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agregó paginación de estado el 15/3/2025")</f>
        <v>Se agregó paginación de estado el 15/3/2025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128</v>
      </c>
      <c r="J54" s="46"/>
      <c r="K54" s="46"/>
      <c r="L54" s="46"/>
      <c r="M54" s="46"/>
      <c r="N54" s="46"/>
      <c r="O54" s="46"/>
      <c r="P54" s="46"/>
      <c r="Q54" s="46"/>
      <c r="R54" s="46"/>
      <c r="S54" s="46"/>
      <c r="T54" s="46"/>
      <c r="U54" s="46"/>
      <c r="V54" s="46"/>
      <c r="W54" s="46"/>
    </row>
    <row r="55">
      <c r="A55" s="43" t="s">
        <v>129</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130</v>
      </c>
      <c r="J55" s="46"/>
      <c r="K55" s="46"/>
      <c r="L55" s="46"/>
      <c r="M55" s="46"/>
      <c r="N55" s="46"/>
      <c r="O55" s="46"/>
      <c r="P55" s="46"/>
      <c r="Q55" s="46"/>
      <c r="R55" s="46"/>
      <c r="S55" s="46"/>
      <c r="T55" s="46"/>
      <c r="U55" s="46"/>
      <c r="V55" s="46"/>
      <c r="W55" s="46"/>
    </row>
    <row r="56">
      <c r="A56" s="43" t="s">
        <v>131</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132</v>
      </c>
      <c r="J56" s="46"/>
      <c r="K56" s="46"/>
      <c r="L56" s="46"/>
      <c r="M56" s="46"/>
      <c r="N56" s="46"/>
      <c r="O56" s="46"/>
      <c r="P56" s="46"/>
      <c r="Q56" s="46"/>
      <c r="R56" s="46"/>
      <c r="S56" s="46"/>
      <c r="T56" s="46"/>
      <c r="U56" s="46"/>
      <c r="V56" s="46"/>
      <c r="W56" s="46"/>
    </row>
    <row r="57">
      <c r="A57" s="43" t="s">
        <v>133</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134</v>
      </c>
      <c r="J57" s="46"/>
      <c r="K57" s="46"/>
      <c r="L57" s="46"/>
      <c r="M57" s="46"/>
      <c r="N57" s="46"/>
      <c r="O57" s="46"/>
      <c r="P57" s="46"/>
      <c r="Q57" s="46"/>
      <c r="R57" s="46"/>
      <c r="S57" s="46"/>
      <c r="T57" s="46"/>
      <c r="U57" s="46"/>
      <c r="V57" s="46"/>
      <c r="W57" s="46"/>
    </row>
    <row r="58">
      <c r="A58" s="43" t="s">
        <v>135</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136</v>
      </c>
      <c r="J58" s="46"/>
      <c r="K58" s="46"/>
      <c r="L58" s="46"/>
      <c r="M58" s="46"/>
      <c r="N58" s="46"/>
      <c r="O58" s="46"/>
      <c r="P58" s="46"/>
      <c r="Q58" s="46"/>
      <c r="R58" s="46"/>
      <c r="S58" s="46"/>
      <c r="T58" s="46"/>
      <c r="U58" s="46"/>
      <c r="V58" s="46"/>
      <c r="W58" s="46"/>
    </row>
    <row r="59">
      <c r="A59" s="43" t="s">
        <v>137</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138</v>
      </c>
      <c r="J59" s="46"/>
      <c r="K59" s="46"/>
      <c r="L59" s="46"/>
      <c r="M59" s="46"/>
      <c r="N59" s="46"/>
      <c r="O59" s="46"/>
      <c r="P59" s="46"/>
      <c r="Q59" s="46"/>
      <c r="R59" s="46"/>
      <c r="S59" s="46"/>
      <c r="T59" s="46"/>
      <c r="U59" s="46"/>
      <c r="V59" s="46"/>
      <c r="W59" s="46"/>
    </row>
    <row r="60">
      <c r="A60" s="43" t="s">
        <v>139</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140</v>
      </c>
      <c r="J60" s="46"/>
      <c r="K60" s="46"/>
      <c r="L60" s="46"/>
      <c r="M60" s="46"/>
      <c r="N60" s="46"/>
      <c r="O60" s="46"/>
      <c r="P60" s="46"/>
      <c r="Q60" s="46"/>
      <c r="R60" s="46"/>
      <c r="S60" s="46"/>
      <c r="T60" s="46"/>
      <c r="U60" s="46"/>
      <c r="V60" s="46"/>
      <c r="W60" s="46"/>
    </row>
    <row r="61">
      <c r="A61" s="43" t="s">
        <v>141</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incluidos eventos y armaduras.")</f>
        <v>2 de febrero de 2025: se agregó la versión 0.65A, incluidos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142</v>
      </c>
      <c r="J61" s="46"/>
      <c r="K61" s="46"/>
      <c r="L61" s="46"/>
      <c r="M61" s="46"/>
      <c r="N61" s="46"/>
      <c r="O61" s="46"/>
      <c r="P61" s="46"/>
      <c r="Q61" s="46"/>
      <c r="R61" s="46"/>
      <c r="S61" s="46"/>
      <c r="T61" s="46"/>
      <c r="U61" s="46"/>
      <c r="V61" s="46"/>
      <c r="W61" s="46"/>
    </row>
    <row r="62">
      <c r="A62" s="43" t="s">
        <v>143</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cartoteca al 15 de enero de 2025")</f>
        <v>Actualización de la información de la cartoteca al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144</v>
      </c>
      <c r="J62" s="46"/>
      <c r="K62" s="46"/>
      <c r="L62" s="46"/>
      <c r="M62" s="46"/>
      <c r="N62" s="46"/>
      <c r="O62" s="46"/>
      <c r="P62" s="46"/>
      <c r="Q62" s="46"/>
      <c r="R62" s="46"/>
      <c r="S62" s="46"/>
      <c r="T62" s="46"/>
      <c r="U62" s="46"/>
      <c r="V62" s="46"/>
      <c r="W62" s="46"/>
    </row>
    <row r="63">
      <c r="A63" s="43" t="s">
        <v>145</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146</v>
      </c>
      <c r="J63" s="46"/>
      <c r="K63" s="46"/>
      <c r="L63" s="46"/>
      <c r="M63" s="46"/>
      <c r="N63" s="46"/>
      <c r="O63" s="46"/>
      <c r="P63" s="46"/>
      <c r="Q63" s="46"/>
      <c r="R63" s="46"/>
      <c r="S63" s="46"/>
      <c r="T63" s="46"/>
      <c r="U63" s="46"/>
      <c r="V63" s="46"/>
      <c r="W63" s="46"/>
    </row>
    <row r="64">
      <c r="A64" s="43" t="s">
        <v>147</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agregó información de la versión 0.6C: Armadura")</f>
        <v>6 de enero de 2025: Se agregó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148</v>
      </c>
      <c r="J64" s="46"/>
      <c r="K64" s="46"/>
      <c r="L64" s="46"/>
      <c r="M64" s="46"/>
      <c r="N64" s="46"/>
      <c r="O64" s="46"/>
      <c r="P64" s="46"/>
      <c r="Q64" s="46"/>
      <c r="R64" s="46"/>
      <c r="S64" s="46"/>
      <c r="T64" s="46"/>
      <c r="U64" s="46"/>
      <c r="V64" s="46"/>
      <c r="W64" s="46"/>
    </row>
    <row r="65">
      <c r="A65" s="43" t="s">
        <v>149</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150</v>
      </c>
      <c r="J65" s="46"/>
      <c r="K65" s="46"/>
      <c r="L65" s="46"/>
      <c r="M65" s="46"/>
      <c r="N65" s="46"/>
      <c r="O65" s="46"/>
      <c r="P65" s="46"/>
      <c r="Q65" s="46"/>
      <c r="R65" s="46"/>
      <c r="S65" s="46"/>
      <c r="T65" s="46"/>
      <c r="U65" s="46"/>
      <c r="V65" s="46"/>
      <c r="W65" s="46"/>
    </row>
    <row r="66">
      <c r="A66" s="43" t="s">
        <v>151</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152</v>
      </c>
      <c r="J66" s="46"/>
      <c r="K66" s="46"/>
      <c r="L66" s="46"/>
      <c r="M66" s="46"/>
      <c r="N66" s="46"/>
      <c r="O66" s="46"/>
      <c r="P66" s="46"/>
      <c r="Q66" s="46"/>
      <c r="R66" s="46"/>
      <c r="S66" s="46"/>
      <c r="T66" s="46"/>
      <c r="U66" s="46"/>
      <c r="V66" s="46"/>
      <c r="W66" s="46"/>
    </row>
    <row r="67">
      <c r="A67" s="43" t="s">
        <v>153</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154</v>
      </c>
      <c r="J67" s="46"/>
      <c r="K67" s="46"/>
      <c r="L67" s="46"/>
      <c r="M67" s="46"/>
      <c r="N67" s="46"/>
      <c r="O67" s="46"/>
      <c r="P67" s="46"/>
      <c r="Q67" s="46"/>
      <c r="R67" s="46"/>
      <c r="S67" s="46"/>
      <c r="T67" s="46"/>
      <c r="U67" s="46"/>
      <c r="V67" s="46"/>
      <c r="W67" s="46"/>
    </row>
    <row r="68">
      <c r="A68" s="43" t="s">
        <v>155</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156</v>
      </c>
      <c r="J68" s="46"/>
      <c r="K68" s="46"/>
      <c r="L68" s="46"/>
      <c r="M68" s="46"/>
      <c r="N68" s="46"/>
      <c r="O68" s="46"/>
      <c r="P68" s="46"/>
      <c r="Q68" s="46"/>
      <c r="R68" s="46"/>
      <c r="S68" s="46"/>
      <c r="T68" s="46"/>
      <c r="U68" s="46"/>
      <c r="V68" s="46"/>
      <c r="W68" s="46"/>
    </row>
    <row r="69">
      <c r="A69" s="43" t="s">
        <v>157</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0,55 información - evento")</f>
        <v>2024/12/2 Se agregó 0,55 información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158</v>
      </c>
      <c r="J69" s="46"/>
      <c r="K69" s="46"/>
      <c r="L69" s="46"/>
      <c r="M69" s="46"/>
      <c r="N69" s="46"/>
      <c r="O69" s="46"/>
      <c r="P69" s="46"/>
      <c r="Q69" s="46"/>
      <c r="R69" s="46"/>
      <c r="S69" s="46"/>
      <c r="T69" s="46"/>
      <c r="U69" s="46"/>
      <c r="V69" s="46"/>
      <c r="W69" s="46"/>
    </row>
    <row r="70">
      <c r="A70" s="43" t="s">
        <v>159</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agregaron mapas relacionados con las ruinas el 29/11/2024")</f>
        <v>Se agregaron mapas relacionados con las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160</v>
      </c>
      <c r="J70" s="46"/>
      <c r="K70" s="46"/>
      <c r="L70" s="46"/>
      <c r="M70" s="46"/>
      <c r="N70" s="46"/>
      <c r="O70" s="46"/>
      <c r="P70" s="46"/>
      <c r="Q70" s="46"/>
      <c r="R70" s="46"/>
      <c r="S70" s="46"/>
      <c r="T70" s="46"/>
      <c r="U70" s="46"/>
      <c r="V70" s="46"/>
      <c r="W70" s="46"/>
    </row>
    <row r="71">
      <c r="A71" s="43" t="s">
        <v>161</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agregó contenido de la versión 0.5C: eventos, información de monstruos, consejos")</f>
        <v>24/11/2024 Se agregó contenido de la versión 0.5C: eventos, información de monstruos,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162</v>
      </c>
      <c r="J71" s="46"/>
      <c r="K71" s="46"/>
      <c r="L71" s="46"/>
      <c r="M71" s="46"/>
      <c r="N71" s="46"/>
      <c r="O71" s="46"/>
      <c r="P71" s="46"/>
      <c r="Q71" s="46"/>
      <c r="R71" s="46"/>
      <c r="S71" s="46"/>
      <c r="T71" s="46"/>
      <c r="U71" s="46"/>
      <c r="V71" s="46"/>
      <c r="W71" s="46"/>
    </row>
    <row r="72">
      <c r="A72" s="43" t="s">
        <v>163</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agregó contenido de la versión 0.5B el 22/11/2024 - Eventos/Notificaciones")</f>
        <v>Se agregó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164</v>
      </c>
      <c r="J72" s="46"/>
      <c r="K72" s="46"/>
      <c r="L72" s="46"/>
      <c r="M72" s="46"/>
      <c r="N72" s="46"/>
      <c r="O72" s="46"/>
      <c r="P72" s="46"/>
      <c r="Q72" s="46"/>
      <c r="R72" s="46"/>
      <c r="S72" s="46"/>
      <c r="T72" s="46"/>
      <c r="U72" s="46"/>
      <c r="V72" s="46"/>
      <c r="W72" s="46"/>
    </row>
    <row r="73">
      <c r="A73" s="43" t="s">
        <v>165</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166</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167</v>
      </c>
      <c r="J73" s="46"/>
      <c r="K73" s="46"/>
      <c r="L73" s="46"/>
      <c r="M73" s="46"/>
      <c r="N73" s="46"/>
      <c r="O73" s="46"/>
      <c r="P73" s="46"/>
      <c r="Q73" s="46"/>
      <c r="R73" s="46"/>
      <c r="S73" s="46"/>
      <c r="T73" s="46"/>
      <c r="U73" s="46"/>
      <c r="V73" s="46"/>
      <c r="W73" s="46"/>
    </row>
    <row r="74">
      <c r="A74" s="43" t="s">
        <v>168</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agregó contenido de la versión 0.5A: Eventos/Indicaciones")</f>
        <v>20/11/2024 Se agregó contenido de la versión 0.5A: Eventos/Indicaciones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169</v>
      </c>
      <c r="J74" s="46"/>
      <c r="K74" s="46"/>
      <c r="L74" s="46"/>
      <c r="M74" s="46"/>
      <c r="N74" s="46"/>
      <c r="O74" s="46"/>
      <c r="P74" s="46"/>
      <c r="Q74" s="46"/>
      <c r="R74" s="46"/>
      <c r="S74" s="46"/>
      <c r="T74" s="46"/>
      <c r="U74" s="46"/>
      <c r="V74" s="46"/>
      <c r="W74" s="46"/>
    </row>
    <row r="75">
      <c r="A75" s="43" t="s">
        <v>170</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171</v>
      </c>
      <c r="J75" s="46"/>
      <c r="K75" s="46"/>
      <c r="L75" s="46"/>
      <c r="M75" s="46"/>
      <c r="N75" s="46"/>
      <c r="O75" s="46"/>
      <c r="P75" s="46"/>
      <c r="Q75" s="46"/>
      <c r="R75" s="46"/>
      <c r="S75" s="46"/>
      <c r="T75" s="46"/>
      <c r="U75" s="46"/>
      <c r="V75" s="46"/>
      <c r="W75" s="46"/>
    </row>
    <row r="76">
      <c r="A76" s="43" t="s">
        <v>172</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contenido de la versión 0.45: Eventos/Notificaciones")</f>
        <v>2 de noviembre de 2024: Se agregó contenido de la versión 0.45: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173</v>
      </c>
      <c r="J76" s="46"/>
      <c r="K76" s="46"/>
      <c r="L76" s="46"/>
      <c r="M76" s="46"/>
      <c r="N76" s="46"/>
      <c r="O76" s="46"/>
      <c r="P76" s="46"/>
      <c r="Q76" s="46"/>
      <c r="R76" s="46"/>
      <c r="S76" s="46"/>
      <c r="T76" s="46"/>
      <c r="U76" s="46"/>
      <c r="V76" s="46"/>
      <c r="W76" s="46"/>
    </row>
    <row r="77">
      <c r="A77" s="43" t="s">
        <v>174</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175</v>
      </c>
      <c r="J77" s="46"/>
      <c r="K77" s="46"/>
      <c r="L77" s="46"/>
      <c r="M77" s="46"/>
      <c r="N77" s="46"/>
      <c r="O77" s="46"/>
      <c r="P77" s="46"/>
      <c r="Q77" s="46"/>
      <c r="R77" s="46"/>
      <c r="S77" s="46"/>
      <c r="T77" s="46"/>
      <c r="U77" s="46"/>
      <c r="V77" s="46"/>
      <c r="W77" s="46"/>
    </row>
    <row r="78">
      <c r="A78" s="43" t="s">
        <v>176</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agregó contenido de anuncio el 28/10/2024")</f>
        <v>Se agregó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177</v>
      </c>
      <c r="J78" s="46"/>
      <c r="K78" s="46"/>
      <c r="L78" s="46"/>
      <c r="M78" s="46"/>
      <c r="N78" s="46"/>
      <c r="O78" s="46"/>
      <c r="P78" s="46"/>
      <c r="Q78" s="46"/>
      <c r="R78" s="46"/>
      <c r="S78" s="46"/>
      <c r="T78" s="46"/>
      <c r="U78" s="46"/>
      <c r="V78" s="46"/>
      <c r="W78" s="46"/>
    </row>
    <row r="79">
      <c r="A79" s="43" t="s">
        <v>178</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agregó contenido de la versión 0.4C: Eventos/Objetos mundiales/Armadura")</f>
        <v>24 de octubre de 2024: Se agregó contenido de la versión 0.4C: Eventos/Objetos mundiales/Armadura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179</v>
      </c>
      <c r="J79" s="46"/>
      <c r="K79" s="46"/>
      <c r="L79" s="46"/>
      <c r="M79" s="46"/>
      <c r="N79" s="46"/>
      <c r="O79" s="46"/>
      <c r="P79" s="46"/>
      <c r="Q79" s="46"/>
      <c r="R79" s="46"/>
      <c r="S79" s="46"/>
      <c r="T79" s="46"/>
      <c r="U79" s="46"/>
      <c r="V79" s="46"/>
      <c r="W79" s="46"/>
    </row>
    <row r="80">
      <c r="A80" s="43" t="s">
        <v>180</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agregó contenido de la versión 0.4A (Obtención/Equipamiento/Consejos).")</f>
        <v>21 de octubre de 2024: Se agregó contenido de la versión 0.4A (Obtención/Equipamiento/Consejos).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181</v>
      </c>
      <c r="J80" s="46"/>
      <c r="K80" s="46"/>
      <c r="L80" s="46"/>
      <c r="M80" s="46"/>
      <c r="N80" s="46"/>
      <c r="O80" s="46"/>
      <c r="P80" s="46"/>
      <c r="Q80" s="46"/>
      <c r="R80" s="46"/>
      <c r="S80" s="46"/>
      <c r="T80" s="46"/>
      <c r="U80" s="46"/>
      <c r="V80" s="46"/>
      <c r="W80" s="46"/>
    </row>
    <row r="81">
      <c r="A81" s="43" t="s">
        <v>182</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agregó mapa y tabla de números de eventos el 15/10/2024")</f>
        <v>Se agregó mapa y tabla de números de eventos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183</v>
      </c>
      <c r="J81" s="46"/>
      <c r="K81" s="46"/>
      <c r="L81" s="46"/>
      <c r="M81" s="46"/>
      <c r="N81" s="46"/>
      <c r="O81" s="46"/>
      <c r="P81" s="46"/>
      <c r="Q81" s="46"/>
      <c r="R81" s="46"/>
      <c r="S81" s="46"/>
      <c r="T81" s="46"/>
      <c r="U81" s="46"/>
      <c r="V81" s="46"/>
      <c r="W81" s="46"/>
    </row>
    <row r="82">
      <c r="A82" s="43" t="s">
        <v>184</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185</v>
      </c>
      <c r="J82" s="46"/>
      <c r="K82" s="46"/>
      <c r="L82" s="46"/>
      <c r="M82" s="46"/>
      <c r="N82" s="46"/>
      <c r="O82" s="46"/>
      <c r="P82" s="46"/>
      <c r="Q82" s="46"/>
      <c r="R82" s="46"/>
      <c r="S82" s="46"/>
      <c r="T82" s="46"/>
      <c r="U82" s="46"/>
      <c r="V82" s="46"/>
      <c r="W82" s="46"/>
    </row>
    <row r="83">
      <c r="A83" s="43" t="s">
        <v>186</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ajustaron algunos formatos")</f>
        <v>14/10/2024 Se ajustaron algunos formatos</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187</v>
      </c>
      <c r="J83" s="46"/>
      <c r="K83" s="46"/>
      <c r="L83" s="46"/>
      <c r="M83" s="46"/>
      <c r="N83" s="46"/>
      <c r="O83" s="46"/>
      <c r="P83" s="46"/>
      <c r="Q83" s="46"/>
      <c r="R83" s="46"/>
      <c r="S83" s="46"/>
      <c r="T83" s="46"/>
      <c r="U83" s="46"/>
      <c r="V83" s="46"/>
      <c r="W83" s="46"/>
    </row>
    <row r="84">
      <c r="A84" s="43" t="s">
        <v>188</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agregó la traducción al chino simplificado el 13/10/2024")</f>
        <v>Se agregó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189</v>
      </c>
      <c r="J84" s="46"/>
      <c r="K84" s="46"/>
      <c r="L84" s="46"/>
      <c r="M84" s="46"/>
      <c r="N84" s="46"/>
      <c r="O84" s="46"/>
      <c r="P84" s="46"/>
      <c r="Q84" s="46"/>
      <c r="R84" s="46"/>
      <c r="S84" s="46"/>
      <c r="T84" s="46"/>
      <c r="U84" s="46"/>
      <c r="V84" s="46"/>
      <c r="W84" s="46"/>
    </row>
    <row r="85">
      <c r="A85" s="43" t="s">
        <v>190</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191</v>
      </c>
      <c r="J85" s="46"/>
      <c r="K85" s="46"/>
      <c r="L85" s="46"/>
      <c r="M85" s="46"/>
      <c r="N85" s="46"/>
      <c r="O85" s="46"/>
      <c r="P85" s="46"/>
      <c r="Q85" s="46"/>
      <c r="R85" s="46"/>
      <c r="S85" s="46"/>
      <c r="T85" s="46"/>
      <c r="U85" s="46"/>
      <c r="V85" s="46"/>
      <c r="W85" s="46"/>
    </row>
    <row r="86">
      <c r="A86" s="43" t="s">
        <v>192</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agregaron nuevos eventos y contenido a la tabla de notificaciones.")</f>
        <v>10 de octubre de 2024: se agregaron nuevos eventos y contenido a la tabla de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193</v>
      </c>
      <c r="J86" s="46"/>
      <c r="K86" s="46"/>
      <c r="L86" s="46"/>
      <c r="M86" s="46"/>
      <c r="N86" s="46"/>
      <c r="O86" s="46"/>
      <c r="P86" s="46"/>
      <c r="Q86" s="46"/>
      <c r="R86" s="46"/>
      <c r="S86" s="46"/>
      <c r="T86" s="46"/>
      <c r="U86" s="46"/>
      <c r="V86" s="46"/>
      <c r="W86" s="46"/>
    </row>
    <row r="87">
      <c r="A87" s="43" t="s">
        <v>194</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agregaron eventos y notificaciones el 9/10/2024")</f>
        <v>Se agregaron eventos y notificaciones el 9/10/2024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195</v>
      </c>
      <c r="J87" s="46"/>
      <c r="K87" s="46"/>
      <c r="L87" s="46"/>
      <c r="M87" s="46"/>
      <c r="N87" s="46"/>
      <c r="O87" s="46"/>
      <c r="P87" s="46"/>
      <c r="Q87" s="46"/>
      <c r="R87" s="46"/>
      <c r="S87" s="46"/>
      <c r="T87" s="46"/>
      <c r="U87" s="46"/>
      <c r="V87" s="46"/>
      <c r="W87" s="46"/>
    </row>
    <row r="88">
      <c r="A88" s="43" t="s">
        <v>196</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de la tabla de eventos y notificaciones el 8/10/2024")</f>
        <v>Se agregó contenido de la tabla de eventos y notificaciones el 8/10/2024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197</v>
      </c>
      <c r="J88" s="46"/>
      <c r="K88" s="46"/>
      <c r="L88" s="46"/>
      <c r="M88" s="46"/>
      <c r="N88" s="46"/>
      <c r="O88" s="46"/>
      <c r="P88" s="46"/>
      <c r="Q88" s="46"/>
      <c r="R88" s="46"/>
      <c r="S88" s="46"/>
      <c r="T88" s="46"/>
      <c r="U88" s="46"/>
      <c r="V88" s="46"/>
      <c r="W88" s="46"/>
    </row>
    <row r="89">
      <c r="A89" s="43" t="s">
        <v>198</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tabla de notificaciones el 7/10/2024")</f>
        <v>Se agregó tabla de notificaciones el 7/10/2024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199</v>
      </c>
      <c r="J89" s="46"/>
      <c r="K89" s="46"/>
      <c r="L89" s="46"/>
      <c r="M89" s="46"/>
      <c r="N89" s="46"/>
      <c r="O89" s="46"/>
      <c r="P89" s="46"/>
      <c r="Q89" s="46"/>
      <c r="R89" s="46"/>
      <c r="S89" s="46"/>
      <c r="T89" s="46"/>
      <c r="U89" s="46"/>
      <c r="V89" s="46"/>
      <c r="W89" s="46"/>
    </row>
    <row r="90">
      <c r="A90" s="50" t="s">
        <v>200</v>
      </c>
      <c r="B90" s="51" t="s">
        <v>201</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202</v>
      </c>
      <c r="J90" s="46"/>
      <c r="K90" s="46"/>
      <c r="L90" s="46"/>
      <c r="M90" s="46"/>
      <c r="N90" s="46"/>
      <c r="O90" s="46"/>
      <c r="P90" s="46"/>
      <c r="Q90" s="46"/>
      <c r="R90" s="46"/>
      <c r="S90" s="46"/>
      <c r="T90" s="46"/>
      <c r="U90" s="46"/>
      <c r="V90" s="46"/>
      <c r="W90" s="46"/>
    </row>
    <row r="91">
      <c r="A91" s="43" t="s">
        <v>203</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6/10/2024")</f>
        <v>Página completa editada y ajustada el 6/10/2024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204</v>
      </c>
      <c r="J91" s="46"/>
      <c r="K91" s="46"/>
      <c r="L91" s="46"/>
      <c r="M91" s="46"/>
      <c r="N91" s="46"/>
      <c r="O91" s="46"/>
      <c r="P91" s="46"/>
      <c r="Q91" s="46"/>
      <c r="R91" s="46"/>
      <c r="S91" s="46"/>
      <c r="T91" s="46"/>
      <c r="U91" s="46"/>
      <c r="V91" s="46"/>
      <c r="W91" s="46"/>
    </row>
    <row r="92">
      <c r="A92" s="43" t="s">
        <v>205</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206</v>
      </c>
      <c r="J92" s="46"/>
      <c r="K92" s="46"/>
      <c r="L92" s="46"/>
      <c r="M92" s="46"/>
      <c r="N92" s="46"/>
      <c r="O92" s="46"/>
      <c r="P92" s="46"/>
      <c r="Q92" s="46"/>
      <c r="R92" s="46"/>
      <c r="S92" s="46"/>
      <c r="T92" s="46"/>
      <c r="U92" s="46"/>
      <c r="V92" s="46"/>
      <c r="W92" s="46"/>
    </row>
    <row r="93">
      <c r="A93" s="43" t="s">
        <v>207</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completado el 4 de octubre de 2024")</f>
        <v>Primer borrador completado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208</v>
      </c>
      <c r="J93" s="46"/>
      <c r="K93" s="46"/>
      <c r="L93" s="46"/>
      <c r="M93" s="46"/>
      <c r="N93" s="46"/>
      <c r="O93" s="46"/>
      <c r="P93" s="46"/>
      <c r="Q93" s="46"/>
      <c r="R93" s="46"/>
      <c r="S93" s="46"/>
      <c r="T93" s="46"/>
      <c r="U93" s="46"/>
      <c r="V93" s="46"/>
      <c r="W93" s="46"/>
    </row>
    <row r="94">
      <c r="A94" s="43" t="s">
        <v>209</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210</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B1"/>
    <hyperlink r:id="rId4" ref="H1"/>
    <hyperlink r:id="rId5" ref="A6"/>
    <hyperlink r:id="rId6" ref="I6"/>
    <hyperlink r:id="rId7" ref="A7"/>
    <hyperlink r:id="rId8" ref="B7"/>
    <hyperlink r:id="rId9" ref="C7"/>
    <hyperlink r:id="rId10" ref="D7"/>
    <hyperlink r:id="rId11" ref="E7"/>
    <hyperlink r:id="rId12" ref="F7"/>
    <hyperlink r:id="rId13" ref="G7"/>
    <hyperlink r:id="rId14" ref="H7"/>
    <hyperlink r:id="rId15" ref="I7"/>
    <hyperlink r:id="rId16" ref="A8"/>
    <hyperlink r:id="rId17" ref="B8"/>
    <hyperlink r:id="rId18" ref="C8"/>
    <hyperlink r:id="rId19" ref="D8"/>
    <hyperlink r:id="rId20" ref="E8"/>
    <hyperlink r:id="rId21" ref="F8"/>
    <hyperlink r:id="rId22" ref="G8"/>
    <hyperlink r:id="rId23" ref="H8"/>
    <hyperlink r:id="rId24" ref="I8"/>
    <hyperlink r:id="rId25" ref="A9"/>
    <hyperlink r:id="rId26" ref="D9"/>
    <hyperlink r:id="rId27" ref="A10"/>
    <hyperlink r:id="rId28" ref="B10"/>
    <hyperlink r:id="rId29" ref="C10"/>
    <hyperlink r:id="rId30" ref="D10"/>
    <hyperlink r:id="rId31" ref="E10"/>
    <hyperlink r:id="rId32" ref="F10"/>
    <hyperlink r:id="rId33" ref="G10"/>
    <hyperlink r:id="rId34" ref="H10"/>
    <hyperlink r:id="rId35" ref="I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5"/>
  <legacyDrawing r:id="rId5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211</v>
      </c>
      <c r="E1" s="57" t="s">
        <v>211</v>
      </c>
      <c r="I1" s="57" t="s">
        <v>212</v>
      </c>
      <c r="M1" s="58"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Q1" s="5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U1" s="59"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Y1" s="60" t="s">
        <v>213</v>
      </c>
      <c r="AC1" s="5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AG1" s="61" t="s">
        <v>214</v>
      </c>
      <c r="AK1" s="57"/>
      <c r="AL1" s="57"/>
      <c r="AM1" s="57"/>
      <c r="AN1" s="57"/>
      <c r="AO1" s="57"/>
    </row>
    <row r="2" ht="34.5" customHeight="1">
      <c r="AK2" s="57"/>
      <c r="AL2" s="57"/>
      <c r="AM2" s="57"/>
      <c r="AN2" s="57"/>
      <c r="AO2" s="57"/>
    </row>
    <row r="3">
      <c r="A3" s="62" t="s">
        <v>215</v>
      </c>
      <c r="B3" s="63" t="s">
        <v>216</v>
      </c>
      <c r="C3" s="64" t="s">
        <v>217</v>
      </c>
      <c r="D3" s="65" t="s">
        <v>218</v>
      </c>
      <c r="E3" s="62" t="s">
        <v>215</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215</v>
      </c>
      <c r="J3" s="63" t="s">
        <v>219</v>
      </c>
      <c r="K3" s="64" t="s">
        <v>220</v>
      </c>
      <c r="L3" s="65" t="s">
        <v>221</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215</v>
      </c>
      <c r="R3" s="70" t="s">
        <v>222</v>
      </c>
      <c r="S3" s="71" t="s">
        <v>223</v>
      </c>
      <c r="T3" s="72" t="s">
        <v>224</v>
      </c>
      <c r="U3" s="66" t="s">
        <v>215</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215</v>
      </c>
      <c r="Z3" s="63" t="s">
        <v>225</v>
      </c>
      <c r="AA3" s="64" t="s">
        <v>226</v>
      </c>
      <c r="AB3" s="65" t="s">
        <v>227</v>
      </c>
      <c r="AC3" s="62" t="s">
        <v>215</v>
      </c>
      <c r="AD3" s="70" t="s">
        <v>228</v>
      </c>
      <c r="AE3" s="64" t="s">
        <v>229</v>
      </c>
      <c r="AF3" s="72" t="s">
        <v>230</v>
      </c>
      <c r="AG3" s="73" t="s">
        <v>231</v>
      </c>
      <c r="AH3" s="74" t="s">
        <v>232</v>
      </c>
      <c r="AI3" s="75" t="s">
        <v>233</v>
      </c>
      <c r="AJ3" s="76" t="s">
        <v>234</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235</v>
      </c>
      <c r="B5" s="81" t="s">
        <v>236</v>
      </c>
      <c r="E5" s="80" t="s">
        <v>235</v>
      </c>
      <c r="F5" s="80" t="s">
        <v>237</v>
      </c>
      <c r="I5" s="80" t="s">
        <v>235</v>
      </c>
      <c r="J5" s="80" t="s">
        <v>238</v>
      </c>
      <c r="M5" s="80" t="s">
        <v>235</v>
      </c>
      <c r="N5" s="81" t="str">
        <f>IFERROR(__xludf.DUMMYFUNCTION("GOOGLETRANSLATE(B5,""zh-tw"",""zh"")"),"平时相关")</f>
        <v>平时相关</v>
      </c>
      <c r="Q5" s="80" t="s">
        <v>235</v>
      </c>
      <c r="R5" s="80" t="s">
        <v>239</v>
      </c>
      <c r="U5" s="80" t="s">
        <v>235</v>
      </c>
      <c r="V5" s="80" t="s">
        <v>240</v>
      </c>
      <c r="Y5" s="80" t="s">
        <v>235</v>
      </c>
      <c r="Z5" s="80" t="s">
        <v>241</v>
      </c>
      <c r="AC5" s="80" t="s">
        <v>235</v>
      </c>
      <c r="AD5" s="80" t="s">
        <v>242</v>
      </c>
      <c r="AG5" s="82" t="s">
        <v>235</v>
      </c>
      <c r="AH5" s="83" t="s">
        <v>243</v>
      </c>
      <c r="AK5" s="81"/>
      <c r="AL5" s="81"/>
      <c r="AM5" s="81"/>
      <c r="AN5" s="81"/>
      <c r="AO5" s="81"/>
    </row>
    <row r="6">
      <c r="A6" s="84">
        <v>1.0</v>
      </c>
      <c r="B6" s="85" t="s">
        <v>244</v>
      </c>
      <c r="C6" s="86" t="s">
        <v>245</v>
      </c>
      <c r="D6" s="87" t="s">
        <v>246</v>
      </c>
      <c r="E6" s="84">
        <v>1.0</v>
      </c>
      <c r="F6" s="85" t="s">
        <v>247</v>
      </c>
      <c r="G6" s="86" t="str">
        <f>IFERROR(__xludf.DUMMYFUNCTION("GOOGLETRANSLATE(C6,""zh-tw"",""ja"")"),"妹を抱きしめて")</f>
        <v>妹を抱きしめて</v>
      </c>
      <c r="H6" s="87" t="s">
        <v>248</v>
      </c>
      <c r="I6" s="84">
        <v>1.0</v>
      </c>
      <c r="J6" s="85" t="s">
        <v>249</v>
      </c>
      <c r="K6" s="86" t="s">
        <v>250</v>
      </c>
      <c r="L6" s="87" t="s">
        <v>251</v>
      </c>
      <c r="M6" s="84">
        <v>1.0</v>
      </c>
      <c r="N6" s="88" t="str">
        <f>IFERROR(__xludf.DUMMYFUNCTION("GOOGLETRANSLATE(B6,""zh-tw"",""zh"")"),"开局选项")</f>
        <v>开局选项</v>
      </c>
      <c r="O6" s="89" t="str">
        <f>IFERROR(__xludf.DUMMYFUNCTION("GOOGLETRANSLATE(C6,""zh-tw"",""zh"")"),"抱住妹妹")</f>
        <v>抱住妹妹</v>
      </c>
      <c r="P6" s="55" t="s">
        <v>252</v>
      </c>
      <c r="Q6" s="84">
        <v>1.0</v>
      </c>
      <c r="R6" s="85" t="s">
        <v>253</v>
      </c>
      <c r="S6" s="89" t="str">
        <f>IFERROR(__xludf.DUMMYFUNCTION("GOOGLETRANSLATE(C6,""zh-tw"",""es-MX"")"),"Abraza a mi hermana")</f>
        <v>Abraza a mi hermana</v>
      </c>
      <c r="T6" s="52" t="s">
        <v>254</v>
      </c>
      <c r="U6" s="84">
        <v>1.0</v>
      </c>
      <c r="V6" s="85" t="s">
        <v>255</v>
      </c>
      <c r="W6" s="86" t="s">
        <v>256</v>
      </c>
      <c r="X6" s="87" t="s">
        <v>257</v>
      </c>
      <c r="Y6" s="84">
        <v>1.0</v>
      </c>
      <c r="Z6" s="90" t="s">
        <v>258</v>
      </c>
      <c r="AA6" s="91" t="s">
        <v>259</v>
      </c>
      <c r="AB6" s="43" t="s">
        <v>260</v>
      </c>
      <c r="AC6" s="84">
        <v>1.0</v>
      </c>
      <c r="AD6" s="85" t="s">
        <v>261</v>
      </c>
      <c r="AE6" s="86" t="s">
        <v>262</v>
      </c>
      <c r="AF6" s="87" t="s">
        <v>263</v>
      </c>
      <c r="AG6" s="84">
        <v>1.0</v>
      </c>
      <c r="AH6" s="92" t="s">
        <v>264</v>
      </c>
      <c r="AI6" s="93" t="s">
        <v>265</v>
      </c>
      <c r="AJ6" s="94" t="s">
        <v>266</v>
      </c>
      <c r="AK6" s="87"/>
      <c r="AL6" s="87"/>
      <c r="AM6" s="87"/>
      <c r="AN6" s="87"/>
      <c r="AO6" s="87"/>
    </row>
    <row r="7">
      <c r="C7" s="86" t="s">
        <v>267</v>
      </c>
      <c r="D7" s="87" t="s">
        <v>268</v>
      </c>
      <c r="G7" s="86" t="s">
        <v>269</v>
      </c>
      <c r="H7" s="87" t="s">
        <v>270</v>
      </c>
      <c r="K7" s="86" t="s">
        <v>271</v>
      </c>
      <c r="L7" s="87" t="s">
        <v>272</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273</v>
      </c>
      <c r="W7" s="95" t="s">
        <v>274</v>
      </c>
      <c r="X7" s="52" t="s">
        <v>275</v>
      </c>
      <c r="AA7" s="91" t="s">
        <v>276</v>
      </c>
      <c r="AB7" s="43" t="s">
        <v>277</v>
      </c>
      <c r="AE7" s="86" t="s">
        <v>278</v>
      </c>
      <c r="AF7" s="87" t="s">
        <v>279</v>
      </c>
      <c r="AI7" s="93" t="s">
        <v>280</v>
      </c>
      <c r="AJ7" s="94" t="s">
        <v>281</v>
      </c>
      <c r="AK7" s="87"/>
      <c r="AL7" s="87"/>
      <c r="AM7" s="87"/>
      <c r="AN7" s="87"/>
      <c r="AO7" s="87"/>
    </row>
    <row r="8">
      <c r="C8" s="86" t="s">
        <v>282</v>
      </c>
      <c r="D8" s="87" t="s">
        <v>283</v>
      </c>
      <c r="G8" s="86" t="s">
        <v>284</v>
      </c>
      <c r="H8" s="87" t="s">
        <v>285</v>
      </c>
      <c r="K8" s="86" t="s">
        <v>286</v>
      </c>
      <c r="L8" s="87" t="s">
        <v>287</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de bistec")</f>
        <v>Nada -&gt; Comida de bistec</v>
      </c>
      <c r="T8" s="52" t="s">
        <v>288</v>
      </c>
      <c r="W8" s="95" t="s">
        <v>289</v>
      </c>
      <c r="X8" s="52" t="s">
        <v>290</v>
      </c>
      <c r="AA8" s="91" t="s">
        <v>291</v>
      </c>
      <c r="AB8" s="43" t="s">
        <v>292</v>
      </c>
      <c r="AE8" s="86" t="s">
        <v>293</v>
      </c>
      <c r="AF8" s="87" t="s">
        <v>294</v>
      </c>
      <c r="AI8" s="93" t="s">
        <v>295</v>
      </c>
      <c r="AJ8" s="94" t="s">
        <v>296</v>
      </c>
      <c r="AK8" s="87"/>
      <c r="AL8" s="87"/>
      <c r="AM8" s="87"/>
      <c r="AN8" s="87"/>
      <c r="AO8" s="87"/>
    </row>
    <row r="9">
      <c r="C9" s="86" t="s">
        <v>297</v>
      </c>
      <c r="D9" s="87" t="s">
        <v>298</v>
      </c>
      <c r="G9" s="86" t="s">
        <v>299</v>
      </c>
      <c r="H9" s="87" t="s">
        <v>300</v>
      </c>
      <c r="K9" s="86" t="s">
        <v>301</v>
      </c>
      <c r="L9" s="87" t="s">
        <v>302</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Olvidé todo")</f>
        <v>Está bien -&gt; Olvidé todo</v>
      </c>
      <c r="T9" s="96" t="s">
        <v>303</v>
      </c>
      <c r="W9" s="95" t="s">
        <v>304</v>
      </c>
      <c r="X9" s="52" t="s">
        <v>305</v>
      </c>
      <c r="AA9" s="91" t="s">
        <v>306</v>
      </c>
      <c r="AB9" s="97" t="s">
        <v>307</v>
      </c>
      <c r="AE9" s="86" t="s">
        <v>308</v>
      </c>
      <c r="AF9" s="87" t="s">
        <v>309</v>
      </c>
      <c r="AI9" s="93" t="s">
        <v>310</v>
      </c>
      <c r="AJ9" s="94" t="s">
        <v>311</v>
      </c>
      <c r="AK9" s="87"/>
      <c r="AL9" s="87"/>
      <c r="AM9" s="87"/>
      <c r="AN9" s="87"/>
      <c r="AO9" s="87"/>
    </row>
    <row r="10">
      <c r="A10" s="84">
        <v>2.0</v>
      </c>
      <c r="B10" s="85" t="s">
        <v>312</v>
      </c>
      <c r="C10" s="86" t="s">
        <v>313</v>
      </c>
      <c r="D10" s="87" t="s">
        <v>314</v>
      </c>
      <c r="E10" s="84">
        <v>2.0</v>
      </c>
      <c r="F10" s="85" t="s">
        <v>315</v>
      </c>
      <c r="G10" s="86" t="s">
        <v>316</v>
      </c>
      <c r="H10" s="87" t="s">
        <v>317</v>
      </c>
      <c r="I10" s="84">
        <v>2.0</v>
      </c>
      <c r="J10" s="85" t="s">
        <v>318</v>
      </c>
      <c r="K10" s="86" t="s">
        <v>319</v>
      </c>
      <c r="L10" s="87" t="s">
        <v>320</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321</v>
      </c>
      <c r="U10" s="84">
        <v>2.0</v>
      </c>
      <c r="V10" s="88" t="s">
        <v>322</v>
      </c>
      <c r="W10" s="95" t="s">
        <v>323</v>
      </c>
      <c r="X10" s="52" t="s">
        <v>324</v>
      </c>
      <c r="Y10" s="84">
        <v>2.0</v>
      </c>
      <c r="Z10" s="90" t="s">
        <v>325</v>
      </c>
      <c r="AA10" s="91" t="s">
        <v>326</v>
      </c>
      <c r="AB10" s="97" t="s">
        <v>327</v>
      </c>
      <c r="AC10" s="84">
        <v>2.0</v>
      </c>
      <c r="AD10" s="85" t="s">
        <v>328</v>
      </c>
      <c r="AE10" s="86" t="s">
        <v>329</v>
      </c>
      <c r="AF10" s="87" t="s">
        <v>330</v>
      </c>
      <c r="AG10" s="84">
        <v>2.0</v>
      </c>
      <c r="AH10" s="92" t="s">
        <v>331</v>
      </c>
      <c r="AI10" s="93" t="s">
        <v>332</v>
      </c>
      <c r="AJ10" s="94" t="s">
        <v>333</v>
      </c>
      <c r="AK10" s="87"/>
      <c r="AL10" s="87"/>
      <c r="AM10" s="87"/>
      <c r="AN10" s="87"/>
      <c r="AO10" s="87"/>
    </row>
    <row r="11">
      <c r="A11" s="84">
        <v>3.0</v>
      </c>
      <c r="B11" s="85" t="s">
        <v>283</v>
      </c>
      <c r="C11" s="86" t="s">
        <v>334</v>
      </c>
      <c r="D11" s="87" t="s">
        <v>335</v>
      </c>
      <c r="E11" s="84">
        <v>3.0</v>
      </c>
      <c r="F11" s="85" t="s">
        <v>336</v>
      </c>
      <c r="G11" s="86" t="s">
        <v>337</v>
      </c>
      <c r="H11" s="87" t="s">
        <v>338</v>
      </c>
      <c r="I11" s="84">
        <v>3.0</v>
      </c>
      <c r="J11" s="85" t="s">
        <v>339</v>
      </c>
      <c r="K11" s="86" t="s">
        <v>340</v>
      </c>
      <c r="L11" s="87" t="s">
        <v>341</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IFERROR(__xludf.DUMMYFUNCTION("GOOGLETRANSLATE(C11,""zh-tw"",""es-MX"")"),"Preparar platos de carne")</f>
        <v>Preparar platos de carne</v>
      </c>
      <c r="T11" s="52" t="s">
        <v>342</v>
      </c>
      <c r="U11" s="84">
        <v>3.0</v>
      </c>
      <c r="V11" s="98" t="s">
        <v>343</v>
      </c>
      <c r="W11" s="95" t="s">
        <v>344</v>
      </c>
      <c r="X11" s="87" t="s">
        <v>345</v>
      </c>
      <c r="Y11" s="84">
        <v>3.0</v>
      </c>
      <c r="Z11" s="99" t="s">
        <v>346</v>
      </c>
      <c r="AA11" s="91" t="s">
        <v>347</v>
      </c>
      <c r="AB11" s="43" t="s">
        <v>348</v>
      </c>
      <c r="AC11" s="84">
        <v>3.0</v>
      </c>
      <c r="AD11" s="85" t="s">
        <v>349</v>
      </c>
      <c r="AE11" s="86" t="s">
        <v>350</v>
      </c>
      <c r="AF11" s="87" t="s">
        <v>351</v>
      </c>
      <c r="AG11" s="84">
        <v>3.0</v>
      </c>
      <c r="AH11" s="92" t="s">
        <v>352</v>
      </c>
      <c r="AI11" s="93" t="s">
        <v>353</v>
      </c>
      <c r="AJ11" s="94" t="s">
        <v>354</v>
      </c>
      <c r="AK11" s="87"/>
      <c r="AL11" s="87"/>
      <c r="AM11" s="87"/>
      <c r="AN11" s="87"/>
      <c r="AO11" s="87"/>
    </row>
    <row r="12">
      <c r="A12" s="84">
        <v>4.0</v>
      </c>
      <c r="B12" s="85" t="s">
        <v>355</v>
      </c>
      <c r="C12" s="86" t="s">
        <v>356</v>
      </c>
      <c r="D12" s="87" t="s">
        <v>357</v>
      </c>
      <c r="E12" s="84">
        <v>4.0</v>
      </c>
      <c r="F12" s="85" t="s">
        <v>358</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359</v>
      </c>
      <c r="I12" s="84">
        <v>4.0</v>
      </c>
      <c r="J12" s="85" t="s">
        <v>360</v>
      </c>
      <c r="K12" s="86" t="s">
        <v>361</v>
      </c>
      <c r="L12" s="87" t="s">
        <v>362</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363</v>
      </c>
      <c r="T12" s="52" t="s">
        <v>364</v>
      </c>
      <c r="U12" s="84">
        <v>4.0</v>
      </c>
      <c r="V12" s="85" t="str">
        <f>IFERROR(__xludf.DUMMYFUNCTION("GOOGLETRANSLATE(B12,""zh-tw"",""KO"")"),"동의: 다치지 마세요")</f>
        <v>동의: 다치지 마세요</v>
      </c>
      <c r="W12" s="86" t="s">
        <v>365</v>
      </c>
      <c r="X12" s="87" t="s">
        <v>366</v>
      </c>
      <c r="Y12" s="84">
        <v>4.0</v>
      </c>
      <c r="Z12" s="90" t="s">
        <v>367</v>
      </c>
      <c r="AA12" s="91" t="s">
        <v>368</v>
      </c>
      <c r="AB12" s="43" t="s">
        <v>369</v>
      </c>
      <c r="AC12" s="84">
        <v>4.0</v>
      </c>
      <c r="AD12" s="85" t="s">
        <v>370</v>
      </c>
      <c r="AE12" s="86" t="s">
        <v>371</v>
      </c>
      <c r="AF12" s="87" t="s">
        <v>372</v>
      </c>
      <c r="AG12" s="84">
        <v>4.0</v>
      </c>
      <c r="AH12" s="92" t="s">
        <v>373</v>
      </c>
      <c r="AI12" s="93" t="s">
        <v>374</v>
      </c>
      <c r="AJ12" s="94" t="s">
        <v>375</v>
      </c>
      <c r="AK12" s="87"/>
      <c r="AL12" s="87"/>
      <c r="AM12" s="87"/>
      <c r="AN12" s="87"/>
      <c r="AO12" s="87"/>
    </row>
    <row r="13">
      <c r="A13" s="84">
        <v>5.0</v>
      </c>
      <c r="B13" s="85" t="s">
        <v>376</v>
      </c>
      <c r="C13" s="86" t="s">
        <v>377</v>
      </c>
      <c r="D13" s="87" t="s">
        <v>378</v>
      </c>
      <c r="E13" s="84">
        <v>5.0</v>
      </c>
      <c r="F13" s="85" t="s">
        <v>379</v>
      </c>
      <c r="G13" s="86" t="s">
        <v>380</v>
      </c>
      <c r="H13" s="87" t="s">
        <v>381</v>
      </c>
      <c r="I13" s="84">
        <v>5.0</v>
      </c>
      <c r="J13" s="85" t="s">
        <v>382</v>
      </c>
      <c r="K13" s="95" t="s">
        <v>383</v>
      </c>
      <c r="L13" s="52" t="s">
        <v>384</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385</v>
      </c>
      <c r="S13" s="100" t="s">
        <v>386</v>
      </c>
      <c r="T13" s="101" t="s">
        <v>387</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388</v>
      </c>
      <c r="AA13" s="91" t="s">
        <v>389</v>
      </c>
      <c r="AB13" s="43" t="s">
        <v>390</v>
      </c>
      <c r="AC13" s="84">
        <v>5.0</v>
      </c>
      <c r="AD13" s="85" t="s">
        <v>391</v>
      </c>
      <c r="AE13" s="86" t="s">
        <v>392</v>
      </c>
      <c r="AF13" s="87" t="s">
        <v>393</v>
      </c>
      <c r="AG13" s="84">
        <v>5.0</v>
      </c>
      <c r="AH13" s="92" t="s">
        <v>394</v>
      </c>
      <c r="AI13" s="100" t="s">
        <v>395</v>
      </c>
      <c r="AJ13" s="94" t="s">
        <v>396</v>
      </c>
      <c r="AK13" s="87"/>
      <c r="AL13" s="87"/>
      <c r="AM13" s="87"/>
      <c r="AN13" s="87"/>
      <c r="AO13" s="87"/>
    </row>
    <row r="14" ht="69.0" customHeight="1">
      <c r="A14" s="84">
        <v>6.0</v>
      </c>
      <c r="B14" s="85" t="s">
        <v>397</v>
      </c>
      <c r="C14" s="86" t="s">
        <v>398</v>
      </c>
      <c r="D14" s="87" t="s">
        <v>399</v>
      </c>
      <c r="E14" s="84">
        <v>6.0</v>
      </c>
      <c r="F14" s="85" t="s">
        <v>400</v>
      </c>
      <c r="G14" s="86" t="s">
        <v>401</v>
      </c>
      <c r="H14" s="87" t="s">
        <v>402</v>
      </c>
      <c r="I14" s="84">
        <v>6.0</v>
      </c>
      <c r="J14" s="85" t="s">
        <v>403</v>
      </c>
      <c r="K14" s="86" t="s">
        <v>404</v>
      </c>
      <c r="L14" s="87" t="s">
        <v>405</v>
      </c>
      <c r="M14" s="84">
        <v>6.0</v>
      </c>
      <c r="N14" s="85" t="str">
        <f>IFERROR(__xludf.DUMMYFUNCTION("GOOGLETRANSLATE(B14,""zh-tw"",""zh"")"),"第一次带饮料")</f>
        <v>第一次带饮料</v>
      </c>
      <c r="O14" s="89" t="s">
        <v>406</v>
      </c>
      <c r="P14" s="55" t="str">
        <f>IFERROR(__xludf.DUMMYFUNCTION("GOOGLETRANSLATE(D14,""zh-tw"",""zh"")"),"解锁""喝点什么""选项")</f>
        <v>解锁"喝点什么"选项</v>
      </c>
      <c r="Q14" s="84">
        <v>6.0</v>
      </c>
      <c r="R14" s="88" t="str">
        <f>IFERROR(__xludf.DUMMYFUNCTION("GOOGLETRANSLATE(B14,""zh-tw"",""es-MX"")"),"Primera vez trayendo bebidas")</f>
        <v>Primera vez trayendo bebidas</v>
      </c>
      <c r="S14" s="89"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52" t="s">
        <v>407</v>
      </c>
      <c r="U14" s="84">
        <v>6.0</v>
      </c>
      <c r="V14" s="85" t="s">
        <v>408</v>
      </c>
      <c r="W14" s="95" t="s">
        <v>409</v>
      </c>
      <c r="X14" s="87" t="s">
        <v>410</v>
      </c>
      <c r="Y14" s="84">
        <v>6.0</v>
      </c>
      <c r="Z14" s="99" t="s">
        <v>411</v>
      </c>
      <c r="AA14" s="102" t="s">
        <v>412</v>
      </c>
      <c r="AB14" s="44" t="s">
        <v>413</v>
      </c>
      <c r="AC14" s="84">
        <v>6.0</v>
      </c>
      <c r="AD14" s="85" t="s">
        <v>414</v>
      </c>
      <c r="AE14" s="86" t="s">
        <v>415</v>
      </c>
      <c r="AF14" s="87" t="s">
        <v>416</v>
      </c>
      <c r="AG14" s="84">
        <v>6.0</v>
      </c>
      <c r="AH14" s="92" t="s">
        <v>417</v>
      </c>
      <c r="AI14" s="93" t="s">
        <v>418</v>
      </c>
      <c r="AJ14" s="94" t="s">
        <v>419</v>
      </c>
      <c r="AK14" s="87"/>
      <c r="AL14" s="87"/>
      <c r="AM14" s="87"/>
      <c r="AN14" s="87"/>
      <c r="AO14" s="87"/>
    </row>
    <row r="15">
      <c r="A15" s="84">
        <v>7.0</v>
      </c>
      <c r="B15" s="85" t="s">
        <v>420</v>
      </c>
      <c r="C15" s="86" t="s">
        <v>421</v>
      </c>
      <c r="D15" s="87" t="s">
        <v>422</v>
      </c>
      <c r="E15" s="84">
        <v>7.0</v>
      </c>
      <c r="F15" s="85" t="s">
        <v>423</v>
      </c>
      <c r="G15" s="86" t="s">
        <v>424</v>
      </c>
      <c r="H15" s="87" t="s">
        <v>425</v>
      </c>
      <c r="I15" s="84">
        <v>7.0</v>
      </c>
      <c r="J15" s="85" t="s">
        <v>426</v>
      </c>
      <c r="K15" s="86" t="s">
        <v>427</v>
      </c>
      <c r="L15" s="87" t="s">
        <v>428</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429</v>
      </c>
      <c r="Q15" s="84">
        <v>7.0</v>
      </c>
      <c r="R15" s="88" t="s">
        <v>430</v>
      </c>
      <c r="S15" s="89" t="str">
        <f>IFERROR(__xludf.DUMMYFUNCTION("GOOGLETRANSLATE(C15,""zh-tw"",""es-MX"")"),"Después de morir por primera vez, comí la comida de mi hermana.")</f>
        <v>Después de morir por primera vez, comí la comida de mi hermana.</v>
      </c>
      <c r="T15" s="55"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84">
        <v>7.0</v>
      </c>
      <c r="V15" s="88" t="s">
        <v>431</v>
      </c>
      <c r="W15" s="95" t="s">
        <v>432</v>
      </c>
      <c r="X15" s="52" t="s">
        <v>433</v>
      </c>
      <c r="Y15" s="84">
        <v>7.0</v>
      </c>
      <c r="Z15" s="90" t="s">
        <v>434</v>
      </c>
      <c r="AA15" s="102" t="s">
        <v>435</v>
      </c>
      <c r="AB15" s="97" t="s">
        <v>436</v>
      </c>
      <c r="AC15" s="84">
        <v>7.0</v>
      </c>
      <c r="AD15" s="85" t="s">
        <v>437</v>
      </c>
      <c r="AE15" s="86" t="s">
        <v>438</v>
      </c>
      <c r="AF15" s="87" t="s">
        <v>439</v>
      </c>
      <c r="AG15" s="84">
        <v>7.0</v>
      </c>
      <c r="AH15" s="92" t="s">
        <v>440</v>
      </c>
      <c r="AI15" s="100" t="s">
        <v>441</v>
      </c>
      <c r="AJ15" s="94" t="s">
        <v>442</v>
      </c>
      <c r="AK15" s="87"/>
      <c r="AL15" s="87"/>
      <c r="AM15" s="87"/>
      <c r="AN15" s="87"/>
      <c r="AO15" s="87"/>
    </row>
    <row r="16">
      <c r="A16" s="84">
        <v>8.0</v>
      </c>
      <c r="B16" s="85" t="s">
        <v>443</v>
      </c>
      <c r="C16" s="86" t="s">
        <v>444</v>
      </c>
      <c r="D16" s="87" t="s">
        <v>445</v>
      </c>
      <c r="E16" s="84">
        <v>8.0</v>
      </c>
      <c r="F16" s="85" t="s">
        <v>446</v>
      </c>
      <c r="G16" s="86" t="s">
        <v>447</v>
      </c>
      <c r="H16" s="87" t="s">
        <v>448</v>
      </c>
      <c r="I16" s="84">
        <v>8.0</v>
      </c>
      <c r="J16" s="85" t="s">
        <v>449</v>
      </c>
      <c r="K16" s="86" t="s">
        <v>450</v>
      </c>
      <c r="L16" s="52" t="s">
        <v>451</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55" t="str">
        <f>IFERROR(__xludf.DUMMYFUNCTION("GOOGLETRANSLATE(D16,""zh-tw"",""es-MX"")"),"Se generará comida.
P. D.: La opción ""Quiero comerte"" aún no está implementada.")</f>
        <v>Se generará comida.
P. D.: La opción "Quiero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452</v>
      </c>
      <c r="AE16" s="86" t="s">
        <v>453</v>
      </c>
      <c r="AF16" s="87" t="s">
        <v>454</v>
      </c>
      <c r="AG16" s="84">
        <v>8.0</v>
      </c>
      <c r="AH16" s="105" t="s">
        <v>455</v>
      </c>
      <c r="AI16" s="93" t="s">
        <v>456</v>
      </c>
      <c r="AJ16" s="101" t="s">
        <v>457</v>
      </c>
      <c r="AK16" s="87"/>
      <c r="AL16" s="87"/>
      <c r="AM16" s="87"/>
      <c r="AN16" s="87"/>
      <c r="AO16" s="87"/>
    </row>
    <row r="17">
      <c r="A17" s="84">
        <v>9.0</v>
      </c>
      <c r="B17" s="85" t="s">
        <v>458</v>
      </c>
      <c r="C17" s="86" t="s">
        <v>459</v>
      </c>
      <c r="D17" s="87" t="s">
        <v>460</v>
      </c>
      <c r="E17" s="84">
        <v>9.0</v>
      </c>
      <c r="F17" s="85" t="s">
        <v>461</v>
      </c>
      <c r="G17" s="86" t="s">
        <v>462</v>
      </c>
      <c r="H17" s="87" t="s">
        <v>463</v>
      </c>
      <c r="I17" s="84">
        <v>9.0</v>
      </c>
      <c r="J17" s="85" t="s">
        <v>464</v>
      </c>
      <c r="K17" s="86" t="s">
        <v>465</v>
      </c>
      <c r="L17" s="87" t="s">
        <v>466</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467</v>
      </c>
      <c r="S17" s="86" t="s">
        <v>468</v>
      </c>
      <c r="T17" s="55" t="s">
        <v>469</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장면이 연출됨")</f>
        <v>매콤함에 울먹이는 장면이 연출됨</v>
      </c>
      <c r="Y17" s="84">
        <v>9.0</v>
      </c>
      <c r="Z17" s="99" t="s">
        <v>470</v>
      </c>
      <c r="AA17" s="91" t="s">
        <v>471</v>
      </c>
      <c r="AB17" s="43" t="s">
        <v>472</v>
      </c>
      <c r="AC17" s="84">
        <v>9.0</v>
      </c>
      <c r="AD17" s="85" t="s">
        <v>473</v>
      </c>
      <c r="AE17" s="86" t="s">
        <v>474</v>
      </c>
      <c r="AF17" s="87" t="s">
        <v>475</v>
      </c>
      <c r="AG17" s="84">
        <v>9.0</v>
      </c>
      <c r="AH17" s="92" t="s">
        <v>476</v>
      </c>
      <c r="AI17" s="93" t="s">
        <v>477</v>
      </c>
      <c r="AJ17" s="94" t="s">
        <v>478</v>
      </c>
      <c r="AK17" s="87"/>
      <c r="AL17" s="87"/>
      <c r="AM17" s="87"/>
      <c r="AN17" s="87"/>
      <c r="AO17" s="87"/>
    </row>
    <row r="18">
      <c r="A18" s="84">
        <v>10.0</v>
      </c>
      <c r="B18" s="85" t="s">
        <v>479</v>
      </c>
      <c r="C18" s="95" t="s">
        <v>480</v>
      </c>
      <c r="D18" s="87" t="s">
        <v>481</v>
      </c>
      <c r="E18" s="84">
        <v>10.0</v>
      </c>
      <c r="F18" s="85" t="s">
        <v>482</v>
      </c>
      <c r="G18" s="86" t="s">
        <v>483</v>
      </c>
      <c r="H18" s="87" t="s">
        <v>484</v>
      </c>
      <c r="I18" s="84">
        <v>10.0</v>
      </c>
      <c r="J18" s="85" t="s">
        <v>485</v>
      </c>
      <c r="K18" s="86" t="s">
        <v>486</v>
      </c>
      <c r="L18" s="87" t="s">
        <v>487</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488</v>
      </c>
      <c r="S18" s="86" t="s">
        <v>489</v>
      </c>
      <c r="T18" s="55" t="s">
        <v>490</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491</v>
      </c>
      <c r="AA18" s="91" t="s">
        <v>492</v>
      </c>
      <c r="AB18" s="43" t="s">
        <v>493</v>
      </c>
      <c r="AC18" s="84">
        <v>10.0</v>
      </c>
      <c r="AD18" s="85" t="s">
        <v>494</v>
      </c>
      <c r="AE18" s="86" t="s">
        <v>495</v>
      </c>
      <c r="AF18" s="87" t="s">
        <v>496</v>
      </c>
      <c r="AG18" s="84">
        <v>10.0</v>
      </c>
      <c r="AH18" s="92" t="s">
        <v>497</v>
      </c>
      <c r="AI18" s="93" t="s">
        <v>498</v>
      </c>
      <c r="AJ18" s="94" t="s">
        <v>499</v>
      </c>
      <c r="AK18" s="87"/>
      <c r="AL18" s="87"/>
      <c r="AM18" s="87"/>
      <c r="AN18" s="87"/>
      <c r="AO18" s="87"/>
    </row>
    <row r="19">
      <c r="A19" s="84">
        <v>11.0</v>
      </c>
      <c r="B19" s="85" t="s">
        <v>500</v>
      </c>
      <c r="C19" s="86" t="s">
        <v>501</v>
      </c>
      <c r="D19" s="87" t="s">
        <v>502</v>
      </c>
      <c r="E19" s="84">
        <v>11.0</v>
      </c>
      <c r="F19" s="85" t="s">
        <v>503</v>
      </c>
      <c r="G19" s="86" t="s">
        <v>504</v>
      </c>
      <c r="H19" s="87" t="s">
        <v>505</v>
      </c>
      <c r="I19" s="84">
        <v>11.0</v>
      </c>
      <c r="J19" s="85" t="s">
        <v>506</v>
      </c>
      <c r="K19" s="86" t="s">
        <v>507</v>
      </c>
      <c r="L19" s="87" t="s">
        <v>508</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509</v>
      </c>
      <c r="S19" s="86" t="s">
        <v>510</v>
      </c>
      <c r="T19" s="55" t="s">
        <v>511</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512</v>
      </c>
      <c r="AA19" s="91" t="s">
        <v>513</v>
      </c>
      <c r="AB19" s="43" t="s">
        <v>514</v>
      </c>
      <c r="AC19" s="84">
        <v>11.0</v>
      </c>
      <c r="AD19" s="85" t="s">
        <v>515</v>
      </c>
      <c r="AE19" s="86" t="s">
        <v>516</v>
      </c>
      <c r="AF19" s="87" t="s">
        <v>517</v>
      </c>
      <c r="AG19" s="84">
        <v>11.0</v>
      </c>
      <c r="AH19" s="92" t="s">
        <v>518</v>
      </c>
      <c r="AI19" s="93" t="s">
        <v>519</v>
      </c>
      <c r="AJ19" s="94" t="s">
        <v>520</v>
      </c>
      <c r="AK19" s="87"/>
      <c r="AL19" s="87"/>
      <c r="AM19" s="87"/>
      <c r="AN19" s="87"/>
      <c r="AO19" s="87"/>
    </row>
    <row r="20">
      <c r="A20" s="84">
        <v>12.0</v>
      </c>
      <c r="B20" s="85" t="s">
        <v>521</v>
      </c>
      <c r="C20" s="86" t="s">
        <v>522</v>
      </c>
      <c r="D20" s="87" t="s">
        <v>523</v>
      </c>
      <c r="E20" s="84">
        <v>12.0</v>
      </c>
      <c r="F20" s="85" t="s">
        <v>524</v>
      </c>
      <c r="G20" s="86" t="s">
        <v>525</v>
      </c>
      <c r="H20" s="87" t="s">
        <v>526</v>
      </c>
      <c r="I20" s="84">
        <v>12.0</v>
      </c>
      <c r="J20" s="85" t="s">
        <v>527</v>
      </c>
      <c r="K20" s="86" t="s">
        <v>528</v>
      </c>
      <c r="L20" s="52" t="s">
        <v>529</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530</v>
      </c>
      <c r="S20" s="86" t="s">
        <v>531</v>
      </c>
      <c r="T20" s="55" t="s">
        <v>532</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533</v>
      </c>
      <c r="AA20" s="91" t="s">
        <v>534</v>
      </c>
      <c r="AB20" s="43" t="s">
        <v>535</v>
      </c>
      <c r="AC20" s="84">
        <v>12.0</v>
      </c>
      <c r="AD20" s="85" t="s">
        <v>536</v>
      </c>
      <c r="AE20" s="86" t="s">
        <v>537</v>
      </c>
      <c r="AF20" s="87" t="s">
        <v>538</v>
      </c>
      <c r="AG20" s="84">
        <v>12.0</v>
      </c>
      <c r="AH20" s="92" t="s">
        <v>539</v>
      </c>
      <c r="AI20" s="93" t="s">
        <v>540</v>
      </c>
      <c r="AJ20" s="94" t="s">
        <v>541</v>
      </c>
      <c r="AK20" s="87"/>
      <c r="AL20" s="87"/>
      <c r="AM20" s="87"/>
      <c r="AN20" s="87"/>
      <c r="AO20" s="87"/>
    </row>
    <row r="21">
      <c r="A21" s="84">
        <v>13.0</v>
      </c>
      <c r="B21" s="85" t="s">
        <v>542</v>
      </c>
      <c r="C21" s="95" t="s">
        <v>543</v>
      </c>
      <c r="D21" s="87" t="s">
        <v>544</v>
      </c>
      <c r="E21" s="84">
        <v>13.0</v>
      </c>
      <c r="F21" s="85" t="s">
        <v>545</v>
      </c>
      <c r="G21" s="86" t="s">
        <v>546</v>
      </c>
      <c r="H21" s="87" t="s">
        <v>547</v>
      </c>
      <c r="I21" s="84">
        <v>13.0</v>
      </c>
      <c r="J21" s="85" t="s">
        <v>548</v>
      </c>
      <c r="K21" s="95" t="s">
        <v>549</v>
      </c>
      <c r="L21" s="87" t="s">
        <v>550</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551</v>
      </c>
      <c r="Q21" s="84">
        <v>13.0</v>
      </c>
      <c r="R21" s="88" t="s">
        <v>548</v>
      </c>
      <c r="S21" s="89" t="s">
        <v>552</v>
      </c>
      <c r="T21" s="52" t="s">
        <v>553</v>
      </c>
      <c r="U21" s="84">
        <v>13.0</v>
      </c>
      <c r="V21" s="85" t="s">
        <v>554</v>
      </c>
      <c r="W21" s="95" t="s">
        <v>555</v>
      </c>
      <c r="X21" s="52" t="s">
        <v>556</v>
      </c>
      <c r="Y21" s="84">
        <v>13.0</v>
      </c>
      <c r="Z21" s="90" t="s">
        <v>557</v>
      </c>
      <c r="AA21" s="91" t="s">
        <v>558</v>
      </c>
      <c r="AB21" s="43" t="s">
        <v>559</v>
      </c>
      <c r="AC21" s="84">
        <v>13.0</v>
      </c>
      <c r="AD21" s="85" t="s">
        <v>560</v>
      </c>
      <c r="AE21" s="86" t="s">
        <v>561</v>
      </c>
      <c r="AF21" s="87" t="s">
        <v>562</v>
      </c>
      <c r="AG21" s="84">
        <v>13.0</v>
      </c>
      <c r="AH21" s="92" t="s">
        <v>548</v>
      </c>
      <c r="AI21" s="93" t="s">
        <v>563</v>
      </c>
      <c r="AJ21" s="94" t="s">
        <v>564</v>
      </c>
      <c r="AK21" s="87"/>
      <c r="AL21" s="87"/>
      <c r="AM21" s="87"/>
      <c r="AN21" s="87"/>
      <c r="AO21" s="87"/>
    </row>
    <row r="22">
      <c r="A22" s="84">
        <v>14.0</v>
      </c>
      <c r="B22" s="85" t="s">
        <v>565</v>
      </c>
      <c r="C22" s="86" t="s">
        <v>566</v>
      </c>
      <c r="D22" s="87" t="s">
        <v>567</v>
      </c>
      <c r="E22" s="84">
        <v>14.0</v>
      </c>
      <c r="F22" s="85" t="s">
        <v>568</v>
      </c>
      <c r="G22" s="86" t="s">
        <v>569</v>
      </c>
      <c r="H22" s="87" t="s">
        <v>570</v>
      </c>
      <c r="I22" s="84">
        <v>14.0</v>
      </c>
      <c r="J22" s="85" t="s">
        <v>571</v>
      </c>
      <c r="K22" s="86" t="s">
        <v>572</v>
      </c>
      <c r="L22" s="87" t="s">
        <v>573</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574</v>
      </c>
      <c r="S22" s="89" t="str">
        <f>IFERROR(__xludf.DUMMYFUNCTION("GOOGLETRANSLATE(C22,""zh-tw"",""es-MX"")"),"Equipar ""Stinky Fishbone"" puede activar un determinado evento al regresar a casa.")</f>
        <v>Equipar "Stinky Fishbone" puede activar un determinado evento al regresar a casa.</v>
      </c>
      <c r="T22" s="55" t="str">
        <f>IFERROR(__xludf.DUMMYFUNCTION("GOOGLETRANSLATE(D22,""zh-tw"",""es-MX"")"),"Activación del evento ""Hermano huele mal""")</f>
        <v>Activación del evento "Hermano huele mal"</v>
      </c>
      <c r="U22" s="84">
        <v>14.0</v>
      </c>
      <c r="V22" s="98" t="s">
        <v>575</v>
      </c>
      <c r="W22" s="95" t="s">
        <v>576</v>
      </c>
      <c r="X22" s="52" t="s">
        <v>577</v>
      </c>
      <c r="Y22" s="84">
        <v>14.0</v>
      </c>
      <c r="Z22" s="90" t="s">
        <v>578</v>
      </c>
      <c r="AA22" s="91" t="s">
        <v>579</v>
      </c>
      <c r="AB22" s="43" t="s">
        <v>580</v>
      </c>
      <c r="AC22" s="84">
        <v>14.0</v>
      </c>
      <c r="AD22" s="85" t="s">
        <v>581</v>
      </c>
      <c r="AE22" s="86" t="s">
        <v>582</v>
      </c>
      <c r="AF22" s="87" t="s">
        <v>583</v>
      </c>
      <c r="AG22" s="84">
        <v>14.0</v>
      </c>
      <c r="AH22" s="92" t="s">
        <v>584</v>
      </c>
      <c r="AI22" s="93" t="s">
        <v>585</v>
      </c>
      <c r="AJ22" s="94" t="s">
        <v>586</v>
      </c>
      <c r="AK22" s="87"/>
      <c r="AL22" s="87"/>
      <c r="AM22" s="87"/>
      <c r="AN22" s="87"/>
      <c r="AO22" s="87"/>
    </row>
    <row r="23">
      <c r="A23" s="84">
        <v>15.0</v>
      </c>
      <c r="B23" s="85" t="s">
        <v>587</v>
      </c>
      <c r="C23" s="86" t="s">
        <v>588</v>
      </c>
      <c r="D23" s="87" t="s">
        <v>589</v>
      </c>
      <c r="E23" s="84">
        <v>15.0</v>
      </c>
      <c r="F23" s="85" t="s">
        <v>590</v>
      </c>
      <c r="G23" s="86" t="s">
        <v>591</v>
      </c>
      <c r="H23" s="87" t="s">
        <v>592</v>
      </c>
      <c r="I23" s="84">
        <v>15.0</v>
      </c>
      <c r="J23" s="85" t="s">
        <v>593</v>
      </c>
      <c r="K23" s="86" t="s">
        <v>594</v>
      </c>
      <c r="L23" s="87" t="s">
        <v>595</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596</v>
      </c>
      <c r="S23" s="95" t="s">
        <v>597</v>
      </c>
      <c r="T23" s="52" t="s">
        <v>598</v>
      </c>
      <c r="U23" s="84">
        <v>15.0</v>
      </c>
      <c r="V23" s="98" t="s">
        <v>599</v>
      </c>
      <c r="W23" s="95" t="s">
        <v>600</v>
      </c>
      <c r="X23" s="106" t="s">
        <v>601</v>
      </c>
      <c r="Y23" s="84">
        <v>15.0</v>
      </c>
      <c r="Z23" s="90" t="s">
        <v>602</v>
      </c>
      <c r="AA23" s="102" t="s">
        <v>603</v>
      </c>
      <c r="AB23" s="43" t="s">
        <v>604</v>
      </c>
      <c r="AC23" s="84">
        <v>15.0</v>
      </c>
      <c r="AD23" s="85" t="s">
        <v>605</v>
      </c>
      <c r="AE23" s="86" t="s">
        <v>606</v>
      </c>
      <c r="AF23" s="87" t="s">
        <v>607</v>
      </c>
      <c r="AG23" s="84">
        <v>15.0</v>
      </c>
      <c r="AH23" s="92" t="s">
        <v>608</v>
      </c>
      <c r="AI23" s="93" t="s">
        <v>609</v>
      </c>
      <c r="AJ23" s="94" t="s">
        <v>610</v>
      </c>
      <c r="AK23" s="87"/>
      <c r="AL23" s="87"/>
      <c r="AM23" s="87"/>
      <c r="AN23" s="87"/>
      <c r="AO23" s="87"/>
    </row>
    <row r="24">
      <c r="A24" s="84">
        <v>16.0</v>
      </c>
      <c r="B24" s="85" t="s">
        <v>611</v>
      </c>
      <c r="C24" s="86" t="s">
        <v>612</v>
      </c>
      <c r="D24" s="87" t="s">
        <v>613</v>
      </c>
      <c r="E24" s="84">
        <v>16.0</v>
      </c>
      <c r="F24" s="85" t="s">
        <v>614</v>
      </c>
      <c r="G24" s="86" t="s">
        <v>615</v>
      </c>
      <c r="H24" s="87" t="s">
        <v>616</v>
      </c>
      <c r="I24" s="84">
        <v>16.0</v>
      </c>
      <c r="J24" s="85" t="s">
        <v>617</v>
      </c>
      <c r="K24" s="86" t="s">
        <v>618</v>
      </c>
      <c r="L24" s="87" t="s">
        <v>619</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620</v>
      </c>
      <c r="S24" s="89" t="s">
        <v>621</v>
      </c>
      <c r="T24" s="52" t="s">
        <v>622</v>
      </c>
      <c r="U24" s="84">
        <v>16.0</v>
      </c>
      <c r="V24" s="98" t="s">
        <v>623</v>
      </c>
      <c r="W24" s="95" t="s">
        <v>624</v>
      </c>
      <c r="X24" s="52" t="s">
        <v>625</v>
      </c>
      <c r="Y24" s="84">
        <v>16.0</v>
      </c>
      <c r="Z24" s="90" t="s">
        <v>626</v>
      </c>
      <c r="AA24" s="91" t="s">
        <v>627</v>
      </c>
      <c r="AB24" s="43" t="s">
        <v>628</v>
      </c>
      <c r="AC24" s="84">
        <v>16.0</v>
      </c>
      <c r="AD24" s="85" t="s">
        <v>629</v>
      </c>
      <c r="AE24" s="86" t="s">
        <v>630</v>
      </c>
      <c r="AF24" s="87" t="s">
        <v>631</v>
      </c>
      <c r="AG24" s="84">
        <v>16.0</v>
      </c>
      <c r="AH24" s="92" t="s">
        <v>632</v>
      </c>
      <c r="AI24" s="93" t="s">
        <v>633</v>
      </c>
      <c r="AJ24" s="94" t="s">
        <v>634</v>
      </c>
      <c r="AK24" s="87"/>
      <c r="AL24" s="87"/>
      <c r="AM24" s="87"/>
      <c r="AN24" s="87"/>
      <c r="AO24" s="87"/>
    </row>
    <row r="25">
      <c r="A25" s="84">
        <v>17.0</v>
      </c>
      <c r="B25" s="85" t="s">
        <v>635</v>
      </c>
      <c r="C25" s="86" t="s">
        <v>636</v>
      </c>
      <c r="D25" s="87" t="s">
        <v>637</v>
      </c>
      <c r="E25" s="84">
        <v>17.0</v>
      </c>
      <c r="F25" s="85" t="s">
        <v>638</v>
      </c>
      <c r="G25" s="86" t="s">
        <v>639</v>
      </c>
      <c r="H25" s="87" t="s">
        <v>640</v>
      </c>
      <c r="I25" s="84">
        <v>17.0</v>
      </c>
      <c r="J25" s="85" t="s">
        <v>641</v>
      </c>
      <c r="K25" s="86" t="s">
        <v>642</v>
      </c>
      <c r="L25" s="87" t="s">
        <v>643</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644</v>
      </c>
      <c r="S25" s="95" t="s">
        <v>645</v>
      </c>
      <c r="T25" s="52" t="s">
        <v>646</v>
      </c>
      <c r="U25" s="84">
        <v>17.0</v>
      </c>
      <c r="V25" s="107" t="s">
        <v>647</v>
      </c>
      <c r="W25" s="95" t="s">
        <v>648</v>
      </c>
      <c r="X25" s="52" t="s">
        <v>649</v>
      </c>
      <c r="Y25" s="84">
        <v>17.0</v>
      </c>
      <c r="Z25" s="90" t="s">
        <v>650</v>
      </c>
      <c r="AA25" s="102" t="s">
        <v>651</v>
      </c>
      <c r="AB25" s="43" t="s">
        <v>652</v>
      </c>
      <c r="AC25" s="84">
        <v>17.0</v>
      </c>
      <c r="AD25" s="85" t="s">
        <v>653</v>
      </c>
      <c r="AE25" s="86" t="s">
        <v>654</v>
      </c>
      <c r="AF25" s="87" t="s">
        <v>655</v>
      </c>
      <c r="AG25" s="84">
        <v>17.0</v>
      </c>
      <c r="AH25" s="92" t="s">
        <v>656</v>
      </c>
      <c r="AI25" s="93" t="s">
        <v>657</v>
      </c>
      <c r="AJ25" s="94" t="s">
        <v>658</v>
      </c>
      <c r="AK25" s="87"/>
      <c r="AL25" s="87"/>
      <c r="AM25" s="87"/>
      <c r="AN25" s="87"/>
      <c r="AO25" s="87"/>
    </row>
    <row r="26">
      <c r="A26" s="84">
        <v>18.0</v>
      </c>
      <c r="B26" s="85" t="s">
        <v>659</v>
      </c>
      <c r="C26" s="86" t="s">
        <v>660</v>
      </c>
      <c r="D26" s="87" t="s">
        <v>661</v>
      </c>
      <c r="E26" s="84">
        <v>18.0</v>
      </c>
      <c r="F26" s="85" t="s">
        <v>662</v>
      </c>
      <c r="G26" s="86" t="s">
        <v>663</v>
      </c>
      <c r="H26" s="87" t="s">
        <v>664</v>
      </c>
      <c r="I26" s="84">
        <v>18.0</v>
      </c>
      <c r="J26" s="85" t="s">
        <v>665</v>
      </c>
      <c r="K26" s="86" t="s">
        <v>666</v>
      </c>
      <c r="L26" s="52" t="s">
        <v>667</v>
      </c>
      <c r="M26" s="84">
        <v>18.0</v>
      </c>
      <c r="N26" s="85" t="str">
        <f>IFERROR(__xludf.DUMMYFUNCTION("GOOGLETRANSLATE(B26,""zh-tw"",""zh"")"),"哥困了")</f>
        <v>哥困了</v>
      </c>
      <c r="O26" s="89" t="str">
        <f>IFERROR(__xludf.DUMMYFUNCTION("GOOGLETRANSLATE(C26,""zh-tw"",""zh"")"),"提前睡觉")</f>
        <v>提前睡觉</v>
      </c>
      <c r="P26" s="55" t="s">
        <v>668</v>
      </c>
      <c r="Q26" s="84">
        <v>18.0</v>
      </c>
      <c r="R26" s="98" t="s">
        <v>669</v>
      </c>
      <c r="S26" s="95" t="s">
        <v>670</v>
      </c>
      <c r="T26" s="52" t="s">
        <v>671</v>
      </c>
      <c r="U26" s="84">
        <v>18.0</v>
      </c>
      <c r="V26" s="107" t="s">
        <v>672</v>
      </c>
      <c r="W26" s="95" t="s">
        <v>673</v>
      </c>
      <c r="X26" s="52" t="s">
        <v>674</v>
      </c>
      <c r="Y26" s="84">
        <v>18.0</v>
      </c>
      <c r="Z26" s="99" t="s">
        <v>675</v>
      </c>
      <c r="AA26" s="102" t="s">
        <v>676</v>
      </c>
      <c r="AB26" s="43" t="s">
        <v>677</v>
      </c>
      <c r="AC26" s="84">
        <v>18.0</v>
      </c>
      <c r="AD26" s="85" t="s">
        <v>678</v>
      </c>
      <c r="AE26" s="86" t="s">
        <v>679</v>
      </c>
      <c r="AF26" s="87" t="s">
        <v>680</v>
      </c>
      <c r="AG26" s="84">
        <v>18.0</v>
      </c>
      <c r="AH26" s="92" t="s">
        <v>681</v>
      </c>
      <c r="AI26" s="93" t="s">
        <v>682</v>
      </c>
      <c r="AJ26" s="94" t="s">
        <v>683</v>
      </c>
      <c r="AK26" s="87"/>
      <c r="AL26" s="87"/>
      <c r="AM26" s="87"/>
      <c r="AN26" s="87"/>
      <c r="AO26" s="87"/>
    </row>
    <row r="27">
      <c r="A27" s="84">
        <v>19.0</v>
      </c>
      <c r="B27" s="85" t="s">
        <v>684</v>
      </c>
      <c r="C27" s="86" t="s">
        <v>685</v>
      </c>
      <c r="D27" s="87" t="s">
        <v>686</v>
      </c>
      <c r="E27" s="84">
        <v>19.0</v>
      </c>
      <c r="F27" s="85" t="s">
        <v>687</v>
      </c>
      <c r="G27" s="86" t="s">
        <v>688</v>
      </c>
      <c r="H27" s="87" t="s">
        <v>689</v>
      </c>
      <c r="I27" s="84">
        <v>19.0</v>
      </c>
      <c r="J27" s="85" t="s">
        <v>690</v>
      </c>
      <c r="K27" s="86" t="s">
        <v>691</v>
      </c>
      <c r="L27" s="87" t="s">
        <v>692</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693</v>
      </c>
      <c r="S27" s="89" t="s">
        <v>694</v>
      </c>
      <c r="T27" s="96" t="s">
        <v>695</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696</v>
      </c>
      <c r="AA27" s="91" t="s">
        <v>697</v>
      </c>
      <c r="AB27" s="43" t="s">
        <v>698</v>
      </c>
      <c r="AC27" s="84">
        <v>19.0</v>
      </c>
      <c r="AD27" s="85" t="s">
        <v>699</v>
      </c>
      <c r="AE27" s="86" t="s">
        <v>700</v>
      </c>
      <c r="AF27" s="87" t="s">
        <v>701</v>
      </c>
      <c r="AG27" s="84">
        <v>19.0</v>
      </c>
      <c r="AH27" s="92" t="s">
        <v>702</v>
      </c>
      <c r="AI27" s="93" t="s">
        <v>703</v>
      </c>
      <c r="AJ27" s="94" t="s">
        <v>704</v>
      </c>
      <c r="AK27" s="87"/>
      <c r="AL27" s="87"/>
      <c r="AM27" s="87"/>
      <c r="AN27" s="87"/>
      <c r="AO27" s="87"/>
    </row>
    <row r="28">
      <c r="A28" s="84">
        <v>20.0</v>
      </c>
      <c r="B28" s="85" t="s">
        <v>705</v>
      </c>
      <c r="C28" s="95" t="s">
        <v>706</v>
      </c>
      <c r="D28" s="87" t="s">
        <v>707</v>
      </c>
      <c r="E28" s="84">
        <v>20.0</v>
      </c>
      <c r="F28" s="85" t="str">
        <f>IFERROR(__xludf.DUMMYFUNCTION("GOOGLETRANSLATE(B28,""zh-tw"",""ja"")"),"最初の癒し")</f>
        <v>最初の癒し</v>
      </c>
      <c r="G28" s="95" t="s">
        <v>708</v>
      </c>
      <c r="H28" s="87" t="s">
        <v>709</v>
      </c>
      <c r="I28" s="84">
        <v>20.0</v>
      </c>
      <c r="J28" s="85" t="s">
        <v>710</v>
      </c>
      <c r="K28" s="95" t="s">
        <v>711</v>
      </c>
      <c r="L28" s="87" t="s">
        <v>712</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713</v>
      </c>
      <c r="S28" s="89"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55"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714</v>
      </c>
      <c r="AB28" s="43" t="s">
        <v>715</v>
      </c>
      <c r="AC28" s="84">
        <v>20.0</v>
      </c>
      <c r="AD28" s="85" t="s">
        <v>716</v>
      </c>
      <c r="AE28" s="95" t="s">
        <v>717</v>
      </c>
      <c r="AF28" s="87" t="s">
        <v>718</v>
      </c>
      <c r="AG28" s="84">
        <v>20.0</v>
      </c>
      <c r="AH28" s="92" t="s">
        <v>719</v>
      </c>
      <c r="AI28" s="100" t="s">
        <v>720</v>
      </c>
      <c r="AJ28" s="94" t="s">
        <v>721</v>
      </c>
      <c r="AK28" s="87"/>
      <c r="AL28" s="87"/>
      <c r="AM28" s="87"/>
      <c r="AN28" s="87"/>
      <c r="AO28" s="87"/>
    </row>
    <row r="29">
      <c r="A29" s="84">
        <v>21.0</v>
      </c>
      <c r="B29" s="98" t="s">
        <v>722</v>
      </c>
      <c r="C29" s="86" t="s">
        <v>723</v>
      </c>
      <c r="D29" s="87" t="s">
        <v>589</v>
      </c>
      <c r="E29" s="84">
        <v>21.0</v>
      </c>
      <c r="F29" s="98" t="s">
        <v>722</v>
      </c>
      <c r="G29" s="86" t="s">
        <v>724</v>
      </c>
      <c r="H29" s="87" t="s">
        <v>592</v>
      </c>
      <c r="I29" s="84">
        <v>21.0</v>
      </c>
      <c r="J29" s="98" t="s">
        <v>722</v>
      </c>
      <c r="K29" s="86" t="s">
        <v>725</v>
      </c>
      <c r="L29" s="52" t="s">
        <v>726</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722</v>
      </c>
      <c r="S29" s="89"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722</v>
      </c>
      <c r="AA29" s="102" t="s">
        <v>727</v>
      </c>
      <c r="AB29" s="43" t="s">
        <v>728</v>
      </c>
      <c r="AC29" s="84">
        <v>21.0</v>
      </c>
      <c r="AD29" s="98" t="s">
        <v>722</v>
      </c>
      <c r="AE29" s="86" t="s">
        <v>729</v>
      </c>
      <c r="AF29" s="87" t="s">
        <v>607</v>
      </c>
      <c r="AG29" s="84">
        <v>21.0</v>
      </c>
      <c r="AH29" s="92" t="s">
        <v>722</v>
      </c>
      <c r="AI29" s="93" t="s">
        <v>730</v>
      </c>
      <c r="AJ29" s="94" t="s">
        <v>731</v>
      </c>
      <c r="AK29" s="87"/>
      <c r="AL29" s="87"/>
      <c r="AM29" s="87"/>
      <c r="AN29" s="87"/>
      <c r="AO29" s="87"/>
    </row>
    <row r="30">
      <c r="A30" s="84">
        <v>22.0</v>
      </c>
      <c r="B30" s="85" t="s">
        <v>732</v>
      </c>
      <c r="C30" s="86" t="s">
        <v>733</v>
      </c>
      <c r="D30" s="87" t="s">
        <v>734</v>
      </c>
      <c r="E30" s="84">
        <v>22.0</v>
      </c>
      <c r="F30" s="85" t="s">
        <v>735</v>
      </c>
      <c r="G30" s="95" t="s">
        <v>736</v>
      </c>
      <c r="H30" s="87" t="s">
        <v>737</v>
      </c>
      <c r="I30" s="84">
        <v>22.0</v>
      </c>
      <c r="J30" s="85" t="s">
        <v>738</v>
      </c>
      <c r="K30" s="95" t="s">
        <v>739</v>
      </c>
      <c r="L30" s="87" t="s">
        <v>740</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741</v>
      </c>
      <c r="S30" s="95" t="s">
        <v>742</v>
      </c>
      <c r="T30" s="55" t="s">
        <v>743</v>
      </c>
      <c r="U30" s="84">
        <v>22.0</v>
      </c>
      <c r="V30" s="98" t="s">
        <v>744</v>
      </c>
      <c r="W30" s="95" t="s">
        <v>745</v>
      </c>
      <c r="X30" s="52" t="s">
        <v>746</v>
      </c>
      <c r="Y30" s="84">
        <v>22.0</v>
      </c>
      <c r="Z30" s="99" t="s">
        <v>747</v>
      </c>
      <c r="AA30" s="91" t="s">
        <v>748</v>
      </c>
      <c r="AB30" s="43" t="s">
        <v>749</v>
      </c>
      <c r="AC30" s="84">
        <v>22.0</v>
      </c>
      <c r="AD30" s="85" t="s">
        <v>750</v>
      </c>
      <c r="AE30" s="95" t="s">
        <v>751</v>
      </c>
      <c r="AF30" s="52" t="s">
        <v>752</v>
      </c>
      <c r="AG30" s="84">
        <v>22.0</v>
      </c>
      <c r="AH30" s="92" t="s">
        <v>753</v>
      </c>
      <c r="AI30" s="93" t="s">
        <v>754</v>
      </c>
      <c r="AJ30" s="94" t="s">
        <v>755</v>
      </c>
      <c r="AK30" s="87"/>
      <c r="AL30" s="87"/>
      <c r="AM30" s="87"/>
      <c r="AN30" s="87"/>
      <c r="AO30" s="87"/>
    </row>
    <row r="31">
      <c r="A31" s="108">
        <v>23.0</v>
      </c>
      <c r="B31" s="98" t="s">
        <v>756</v>
      </c>
      <c r="C31" s="95" t="s">
        <v>757</v>
      </c>
      <c r="D31" s="52" t="s">
        <v>758</v>
      </c>
      <c r="E31" s="108">
        <v>23.0</v>
      </c>
      <c r="F31" s="98" t="s">
        <v>759</v>
      </c>
      <c r="G31" s="95" t="s">
        <v>760</v>
      </c>
      <c r="H31" s="52" t="s">
        <v>761</v>
      </c>
      <c r="I31" s="108">
        <v>23.0</v>
      </c>
      <c r="J31" s="98" t="s">
        <v>762</v>
      </c>
      <c r="K31" s="95" t="s">
        <v>763</v>
      </c>
      <c r="L31" s="52" t="s">
        <v>764</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IFERROR(__xludf.DUMMYFUNCTION("GOOGLETRANSLATE(B31,""zh-tw"",""es-MX"")"),"Mirando la televisión con mi hermana")</f>
        <v>Mirando la televisión con mi hermana</v>
      </c>
      <c r="S31" s="89" t="str">
        <f>IFERROR(__xludf.DUMMYFUNCTION("GOOGLETRANSLATE(C31,""zh-tw"",""es-MX"")"),"En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activará los días 6, 13, 20 y 27. Está programado para activarse alrededor de las 8 p. m.")</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activará los días 6, 13, 20 y 27. Está programado para activarse alrededor de las 8 p. m.</v>
      </c>
      <c r="T31" s="55" t="str">
        <f>IFERROR(__xludf.DUMMYFUNCTION("GOOGLETRANSLATE(D31,""zh-tw"",""es-MX"")"),"Ver televisión
*La mayoría de las funciones aún no están implementadas")</f>
        <v>Ver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765</v>
      </c>
      <c r="AE31" s="109" t="s">
        <v>766</v>
      </c>
      <c r="AF31" s="52" t="s">
        <v>767</v>
      </c>
      <c r="AG31" s="108">
        <v>23.0</v>
      </c>
      <c r="AH31" s="105" t="s">
        <v>768</v>
      </c>
      <c r="AI31" s="110" t="s">
        <v>769</v>
      </c>
      <c r="AJ31" s="101" t="s">
        <v>770</v>
      </c>
      <c r="AK31" s="87"/>
      <c r="AL31" s="87"/>
      <c r="AM31" s="87"/>
      <c r="AN31" s="87"/>
      <c r="AO31" s="87"/>
    </row>
    <row r="32">
      <c r="A32" s="108">
        <v>24.0</v>
      </c>
      <c r="B32" s="85" t="s">
        <v>771</v>
      </c>
      <c r="C32" s="86" t="s">
        <v>772</v>
      </c>
      <c r="D32" s="87" t="s">
        <v>773</v>
      </c>
      <c r="E32" s="108">
        <v>24.0</v>
      </c>
      <c r="F32" s="85" t="s">
        <v>774</v>
      </c>
      <c r="G32" s="86" t="s">
        <v>775</v>
      </c>
      <c r="H32" s="87" t="s">
        <v>776</v>
      </c>
      <c r="I32" s="108">
        <v>24.0</v>
      </c>
      <c r="J32" s="85" t="s">
        <v>777</v>
      </c>
      <c r="K32" s="86" t="s">
        <v>778</v>
      </c>
      <c r="L32" s="87" t="s">
        <v>779</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IFERROR(__xludf.DUMMYFUNCTION("GOOGLETRANSLATE(B32,""zh-tw"",""es-MX"")"),"Actuando linda con mi hermana menor")</f>
        <v>Actuando linda con mi hermana menor</v>
      </c>
      <c r="S32" s="89" t="str">
        <f>IFERROR(__xludf.DUMMYFUNCTION("GOOGLETRANSLATE(C32,""zh-tw"",""es-MX"")"),"Tener el cupón “Todo Vale” agrega una nueva opción cuando quieres “hacer algo con tu hermana”.")</f>
        <v>Tener el cupón “Todo Vale” agrega una nueva opción cuando quieres “hacer algo con tu hermana”.</v>
      </c>
      <c r="T32" s="55" t="str">
        <f>IFERROR(__xludf.DUMMYFUNCTION("GOOGLETRANSLATE(D32,""zh-tw"",""es-MX"")"),"Nueva opción: ¡Sé cariñoso con tu hermana!
*Sin actualizaciones por ahora.")</f>
        <v>Nueva opción: ¡Sé cariñoso con tu hermana!
*Sin actualizaciones por ahora.</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780</v>
      </c>
      <c r="AE32" s="86" t="s">
        <v>781</v>
      </c>
      <c r="AF32" s="87" t="s">
        <v>782</v>
      </c>
      <c r="AG32" s="108">
        <v>24.0</v>
      </c>
      <c r="AH32" s="85" t="s">
        <v>783</v>
      </c>
      <c r="AI32" s="89" t="s">
        <v>784</v>
      </c>
      <c r="AJ32" s="87" t="s">
        <v>785</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786</v>
      </c>
      <c r="B34" s="81" t="s">
        <v>787</v>
      </c>
      <c r="E34" s="80" t="s">
        <v>786</v>
      </c>
      <c r="F34" s="80" t="s">
        <v>788</v>
      </c>
      <c r="I34" s="80" t="s">
        <v>786</v>
      </c>
      <c r="J34" s="80" t="s">
        <v>789</v>
      </c>
      <c r="M34" s="80" t="s">
        <v>786</v>
      </c>
      <c r="N34" s="81" t="str">
        <f>IFERROR(__xludf.DUMMYFUNCTION("GOOGLETRANSLATE(B34,""zh-tw"",""zh"")"),"厕所相关")</f>
        <v>厕所相关</v>
      </c>
      <c r="Q34" s="80" t="s">
        <v>786</v>
      </c>
      <c r="R34" s="80" t="s">
        <v>790</v>
      </c>
      <c r="U34" s="80" t="s">
        <v>786</v>
      </c>
      <c r="V34" s="80" t="s">
        <v>791</v>
      </c>
      <c r="Y34" s="80" t="s">
        <v>786</v>
      </c>
      <c r="Z34" s="80" t="s">
        <v>792</v>
      </c>
      <c r="AC34" s="80" t="s">
        <v>786</v>
      </c>
      <c r="AD34" s="80" t="s">
        <v>793</v>
      </c>
      <c r="AG34" s="80" t="s">
        <v>786</v>
      </c>
      <c r="AH34" s="83" t="s">
        <v>794</v>
      </c>
      <c r="AK34" s="81"/>
      <c r="AL34" s="81"/>
      <c r="AM34" s="81"/>
      <c r="AN34" s="81"/>
      <c r="AO34" s="81"/>
    </row>
    <row r="35">
      <c r="A35" s="84">
        <v>1.0</v>
      </c>
      <c r="B35" s="85" t="s">
        <v>795</v>
      </c>
      <c r="C35" s="86" t="s">
        <v>796</v>
      </c>
      <c r="D35" s="87" t="s">
        <v>797</v>
      </c>
      <c r="E35" s="84">
        <v>1.0</v>
      </c>
      <c r="F35" s="85" t="s">
        <v>798</v>
      </c>
      <c r="G35" s="86" t="s">
        <v>799</v>
      </c>
      <c r="H35" s="87" t="s">
        <v>800</v>
      </c>
      <c r="I35" s="84">
        <v>1.0</v>
      </c>
      <c r="J35" s="85" t="s">
        <v>801</v>
      </c>
      <c r="K35" s="86" t="s">
        <v>802</v>
      </c>
      <c r="L35" s="87" t="s">
        <v>803</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804</v>
      </c>
      <c r="Q35" s="84">
        <v>1.0</v>
      </c>
      <c r="R35" s="85" t="s">
        <v>805</v>
      </c>
      <c r="S35" s="95" t="s">
        <v>806</v>
      </c>
      <c r="T35" s="5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84">
        <v>1.0</v>
      </c>
      <c r="V35" s="88" t="s">
        <v>807</v>
      </c>
      <c r="W35" s="89" t="s">
        <v>808</v>
      </c>
      <c r="X35" s="55" t="s">
        <v>809</v>
      </c>
      <c r="Y35" s="84">
        <v>1.0</v>
      </c>
      <c r="Z35" s="99" t="s">
        <v>810</v>
      </c>
      <c r="AA35" s="102" t="s">
        <v>811</v>
      </c>
      <c r="AB35" s="43" t="s">
        <v>812</v>
      </c>
      <c r="AC35" s="84">
        <v>1.0</v>
      </c>
      <c r="AD35" s="85" t="s">
        <v>813</v>
      </c>
      <c r="AE35" s="86" t="s">
        <v>814</v>
      </c>
      <c r="AF35" s="87" t="s">
        <v>815</v>
      </c>
      <c r="AG35" s="84">
        <v>1.0</v>
      </c>
      <c r="AH35" s="92" t="s">
        <v>816</v>
      </c>
      <c r="AI35" s="93" t="s">
        <v>817</v>
      </c>
      <c r="AJ35" s="94" t="s">
        <v>818</v>
      </c>
      <c r="AK35" s="87"/>
      <c r="AL35" s="87"/>
      <c r="AM35" s="87"/>
      <c r="AN35" s="87"/>
      <c r="AO35" s="87"/>
    </row>
    <row r="36">
      <c r="A36" s="108">
        <v>2.0</v>
      </c>
      <c r="B36" s="85" t="s">
        <v>819</v>
      </c>
      <c r="C36" s="86" t="s">
        <v>820</v>
      </c>
      <c r="D36" s="87" t="s">
        <v>821</v>
      </c>
      <c r="E36" s="108">
        <v>2.0</v>
      </c>
      <c r="F36" s="85" t="s">
        <v>822</v>
      </c>
      <c r="G36" s="86" t="s">
        <v>823</v>
      </c>
      <c r="H36" s="87" t="s">
        <v>824</v>
      </c>
      <c r="I36" s="108">
        <v>2.0</v>
      </c>
      <c r="J36" s="85" t="s">
        <v>825</v>
      </c>
      <c r="K36" s="86" t="s">
        <v>826</v>
      </c>
      <c r="L36" s="87" t="s">
        <v>827</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828</v>
      </c>
      <c r="S36" s="89" t="s">
        <v>829</v>
      </c>
      <c r="T36" s="55" t="s">
        <v>830</v>
      </c>
      <c r="U36" s="108">
        <v>2.0</v>
      </c>
      <c r="V36" s="98" t="s">
        <v>831</v>
      </c>
      <c r="W36" s="95" t="s">
        <v>832</v>
      </c>
      <c r="X36" s="52" t="s">
        <v>833</v>
      </c>
      <c r="Y36" s="108">
        <v>2.0</v>
      </c>
      <c r="Z36" s="99" t="s">
        <v>834</v>
      </c>
      <c r="AA36" s="91" t="s">
        <v>835</v>
      </c>
      <c r="AB36" s="43" t="s">
        <v>836</v>
      </c>
      <c r="AC36" s="108">
        <v>2.0</v>
      </c>
      <c r="AD36" s="98" t="s">
        <v>837</v>
      </c>
      <c r="AE36" s="86" t="s">
        <v>838</v>
      </c>
      <c r="AF36" s="87" t="s">
        <v>839</v>
      </c>
      <c r="AG36" s="108">
        <v>2.0</v>
      </c>
      <c r="AH36" s="92" t="s">
        <v>840</v>
      </c>
      <c r="AI36" s="93" t="s">
        <v>841</v>
      </c>
      <c r="AJ36" s="94" t="s">
        <v>842</v>
      </c>
      <c r="AK36" s="87"/>
      <c r="AL36" s="87"/>
      <c r="AM36" s="87"/>
      <c r="AN36" s="87"/>
      <c r="AO36" s="87"/>
    </row>
    <row r="37">
      <c r="A37" s="84">
        <v>3.0</v>
      </c>
      <c r="B37" s="85" t="s">
        <v>843</v>
      </c>
      <c r="C37" s="86" t="s">
        <v>844</v>
      </c>
      <c r="D37" s="87" t="s">
        <v>845</v>
      </c>
      <c r="E37" s="84">
        <v>3.0</v>
      </c>
      <c r="F37" s="85" t="s">
        <v>846</v>
      </c>
      <c r="G37" s="86" t="s">
        <v>847</v>
      </c>
      <c r="H37" s="87" t="s">
        <v>848</v>
      </c>
      <c r="I37" s="84">
        <v>3.0</v>
      </c>
      <c r="J37" s="85" t="s">
        <v>849</v>
      </c>
      <c r="K37" s="95" t="s">
        <v>850</v>
      </c>
      <c r="L37" s="87" t="s">
        <v>851</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852</v>
      </c>
      <c r="S37" s="86" t="s">
        <v>853</v>
      </c>
      <c r="T37" s="55" t="s">
        <v>854</v>
      </c>
      <c r="U37" s="84">
        <v>3.0</v>
      </c>
      <c r="V37" s="98" t="s">
        <v>855</v>
      </c>
      <c r="W37" s="95" t="s">
        <v>856</v>
      </c>
      <c r="X37" s="52" t="s">
        <v>857</v>
      </c>
      <c r="Y37" s="84">
        <v>3.0</v>
      </c>
      <c r="Z37" s="99" t="s">
        <v>858</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859</v>
      </c>
      <c r="AE37" s="86" t="s">
        <v>860</v>
      </c>
      <c r="AF37" s="87" t="s">
        <v>861</v>
      </c>
      <c r="AG37" s="84">
        <v>3.0</v>
      </c>
      <c r="AH37" s="92" t="s">
        <v>862</v>
      </c>
      <c r="AI37" s="93" t="s">
        <v>863</v>
      </c>
      <c r="AJ37" s="94" t="s">
        <v>864</v>
      </c>
      <c r="AK37" s="87"/>
      <c r="AL37" s="87"/>
      <c r="AM37" s="87"/>
      <c r="AN37" s="87"/>
      <c r="AO37" s="87"/>
    </row>
    <row r="38">
      <c r="A38" s="108">
        <v>4.0</v>
      </c>
      <c r="B38" s="85" t="s">
        <v>865</v>
      </c>
      <c r="C38" s="86" t="s">
        <v>866</v>
      </c>
      <c r="D38" s="52" t="s">
        <v>867</v>
      </c>
      <c r="E38" s="108">
        <v>4.0</v>
      </c>
      <c r="F38" s="85" t="s">
        <v>868</v>
      </c>
      <c r="G38" s="86" t="s">
        <v>869</v>
      </c>
      <c r="H38" s="87" t="s">
        <v>870</v>
      </c>
      <c r="I38" s="108">
        <v>4.0</v>
      </c>
      <c r="J38" s="85" t="s">
        <v>871</v>
      </c>
      <c r="K38" s="86" t="s">
        <v>872</v>
      </c>
      <c r="L38" s="52" t="s">
        <v>873</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874</v>
      </c>
      <c r="S38" s="86" t="s">
        <v>875</v>
      </c>
      <c r="T38" s="55" t="s">
        <v>876</v>
      </c>
      <c r="U38" s="108">
        <v>4.0</v>
      </c>
      <c r="V38" s="98" t="s">
        <v>877</v>
      </c>
      <c r="W38" s="95" t="s">
        <v>878</v>
      </c>
      <c r="X38" s="52" t="s">
        <v>879</v>
      </c>
      <c r="Y38" s="108">
        <v>4.0</v>
      </c>
      <c r="Z38" s="99" t="s">
        <v>880</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881</v>
      </c>
      <c r="AE38" s="86" t="s">
        <v>882</v>
      </c>
      <c r="AF38" s="87" t="s">
        <v>883</v>
      </c>
      <c r="AG38" s="108">
        <v>4.0</v>
      </c>
      <c r="AH38" s="92" t="s">
        <v>884</v>
      </c>
      <c r="AI38" s="93" t="s">
        <v>885</v>
      </c>
      <c r="AJ38" s="94" t="s">
        <v>886</v>
      </c>
      <c r="AK38" s="52"/>
      <c r="AL38" s="52"/>
      <c r="AM38" s="52"/>
      <c r="AN38" s="52"/>
      <c r="AO38" s="52"/>
    </row>
    <row r="39">
      <c r="A39" s="84">
        <v>5.0</v>
      </c>
      <c r="B39" s="85" t="s">
        <v>887</v>
      </c>
      <c r="C39" s="86" t="s">
        <v>888</v>
      </c>
      <c r="D39" s="87" t="s">
        <v>889</v>
      </c>
      <c r="E39" s="84">
        <v>5.0</v>
      </c>
      <c r="F39" s="85" t="s">
        <v>890</v>
      </c>
      <c r="G39" s="86" t="s">
        <v>891</v>
      </c>
      <c r="H39" s="87" t="s">
        <v>892</v>
      </c>
      <c r="I39" s="84">
        <v>5.0</v>
      </c>
      <c r="J39" s="85" t="s">
        <v>893</v>
      </c>
      <c r="K39" s="86" t="s">
        <v>894</v>
      </c>
      <c r="L39" s="87" t="s">
        <v>895</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896</v>
      </c>
      <c r="S39" s="89"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5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84">
        <v>5.0</v>
      </c>
      <c r="V39" s="88" t="str">
        <f>IFERROR(__xludf.DUMMYFUNCTION("GOOGLETRANSLATE(B39,""zh-tw"",""KO"")"),"더 이상 참을 수 없어 -1")</f>
        <v>더 이상 참을 수 없어 -1</v>
      </c>
      <c r="W39" s="95" t="s">
        <v>897</v>
      </c>
      <c r="X39" s="52" t="s">
        <v>898</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899</v>
      </c>
      <c r="AE39" s="86" t="s">
        <v>900</v>
      </c>
      <c r="AF39" s="87" t="s">
        <v>901</v>
      </c>
      <c r="AG39" s="84">
        <v>5.0</v>
      </c>
      <c r="AH39" s="92" t="s">
        <v>902</v>
      </c>
      <c r="AI39" s="93" t="s">
        <v>903</v>
      </c>
      <c r="AJ39" s="94" t="s">
        <v>904</v>
      </c>
      <c r="AK39" s="87"/>
      <c r="AL39" s="87"/>
      <c r="AM39" s="87"/>
      <c r="AN39" s="87"/>
      <c r="AO39" s="87"/>
    </row>
    <row r="40">
      <c r="A40" s="108">
        <v>6.0</v>
      </c>
      <c r="B40" s="85" t="s">
        <v>905</v>
      </c>
      <c r="C40" s="86" t="s">
        <v>906</v>
      </c>
      <c r="D40" s="87" t="s">
        <v>907</v>
      </c>
      <c r="E40" s="108">
        <v>6.0</v>
      </c>
      <c r="F40" s="85" t="s">
        <v>908</v>
      </c>
      <c r="G40" s="86" t="s">
        <v>909</v>
      </c>
      <c r="H40" s="87" t="s">
        <v>910</v>
      </c>
      <c r="I40" s="108">
        <v>6.0</v>
      </c>
      <c r="J40" s="85" t="s">
        <v>911</v>
      </c>
      <c r="K40" s="86" t="s">
        <v>912</v>
      </c>
      <c r="L40" s="87" t="s">
        <v>913</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914</v>
      </c>
      <c r="S40" s="89" t="str">
        <f>IFERROR(__xludf.DUMMYFUNCTION("GOOGLETRANSLATE(C40,""zh-tw"",""es-MX"")"),"Si también se mezclan chiles en la comida, agravarán aún más los efectos secundarios de la diarrea.")</f>
        <v>Si también se mezclan chiles en la comida, agravarán aún más los efectos secundarios de la diarrea.</v>
      </c>
      <c r="T40" s="5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08">
        <v>6.0</v>
      </c>
      <c r="V40" s="88" t="str">
        <f>IFERROR(__xludf.DUMMYFUNCTION("GOOGLETRANSLATE(B40,""zh-tw"",""KO"")"),"더 이상 참을 수 없어 -2")</f>
        <v>더 이상 참을 수 없어 -2</v>
      </c>
      <c r="W40" s="95" t="s">
        <v>915</v>
      </c>
      <c r="X40" s="52" t="s">
        <v>916</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917</v>
      </c>
      <c r="AE40" s="86" t="s">
        <v>918</v>
      </c>
      <c r="AF40" s="87" t="s">
        <v>919</v>
      </c>
      <c r="AG40" s="108">
        <v>6.0</v>
      </c>
      <c r="AH40" s="92" t="s">
        <v>920</v>
      </c>
      <c r="AI40" s="93" t="s">
        <v>921</v>
      </c>
      <c r="AJ40" s="94" t="s">
        <v>922</v>
      </c>
      <c r="AK40" s="87"/>
      <c r="AL40" s="87"/>
      <c r="AM40" s="87"/>
      <c r="AN40" s="87"/>
      <c r="AO40" s="87"/>
    </row>
    <row r="41">
      <c r="A41" s="84">
        <v>7.0</v>
      </c>
      <c r="B41" s="85" t="s">
        <v>923</v>
      </c>
      <c r="C41" s="86" t="s">
        <v>924</v>
      </c>
      <c r="D41" s="87" t="s">
        <v>589</v>
      </c>
      <c r="E41" s="84">
        <v>7.0</v>
      </c>
      <c r="F41" s="85" t="s">
        <v>925</v>
      </c>
      <c r="G41" s="86" t="s">
        <v>926</v>
      </c>
      <c r="H41" s="87" t="s">
        <v>592</v>
      </c>
      <c r="I41" s="84">
        <v>7.0</v>
      </c>
      <c r="J41" s="85" t="s">
        <v>927</v>
      </c>
      <c r="K41" s="86" t="s">
        <v>928</v>
      </c>
      <c r="L41" s="87" t="s">
        <v>929</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930</v>
      </c>
      <c r="W41" s="95" t="s">
        <v>931</v>
      </c>
      <c r="X41" s="52" t="s">
        <v>601</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932</v>
      </c>
      <c r="AE41" s="86" t="s">
        <v>933</v>
      </c>
      <c r="AF41" s="87" t="s">
        <v>934</v>
      </c>
      <c r="AG41" s="84">
        <v>7.0</v>
      </c>
      <c r="AH41" s="92" t="s">
        <v>935</v>
      </c>
      <c r="AI41" s="93" t="s">
        <v>936</v>
      </c>
      <c r="AJ41" s="94" t="s">
        <v>937</v>
      </c>
      <c r="AK41" s="87"/>
      <c r="AL41" s="87"/>
      <c r="AM41" s="87"/>
      <c r="AN41" s="87"/>
      <c r="AO41" s="87"/>
    </row>
    <row r="42">
      <c r="A42" s="108">
        <v>8.0</v>
      </c>
      <c r="B42" s="85" t="s">
        <v>938</v>
      </c>
      <c r="C42" s="86" t="s">
        <v>939</v>
      </c>
      <c r="D42" s="52" t="s">
        <v>940</v>
      </c>
      <c r="E42" s="108">
        <v>8.0</v>
      </c>
      <c r="F42" s="85" t="s">
        <v>941</v>
      </c>
      <c r="G42" s="86" t="s">
        <v>942</v>
      </c>
      <c r="H42" s="52" t="s">
        <v>943</v>
      </c>
      <c r="I42" s="108">
        <v>8.0</v>
      </c>
      <c r="J42" s="85" t="s">
        <v>944</v>
      </c>
      <c r="K42" s="86" t="s">
        <v>945</v>
      </c>
      <c r="L42" s="52" t="s">
        <v>946</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947</v>
      </c>
      <c r="S42" s="89" t="s">
        <v>948</v>
      </c>
      <c r="T42" s="55" t="s">
        <v>949</v>
      </c>
      <c r="U42" s="108">
        <v>8.0</v>
      </c>
      <c r="V42" s="98" t="s">
        <v>950</v>
      </c>
      <c r="W42" s="95" t="s">
        <v>951</v>
      </c>
      <c r="X42" s="52" t="s">
        <v>952</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953</v>
      </c>
      <c r="AE42" s="86" t="s">
        <v>954</v>
      </c>
      <c r="AF42" s="52" t="s">
        <v>955</v>
      </c>
      <c r="AG42" s="108">
        <v>8.0</v>
      </c>
      <c r="AH42" s="92" t="s">
        <v>956</v>
      </c>
      <c r="AI42" s="93" t="s">
        <v>957</v>
      </c>
      <c r="AJ42" s="94" t="s">
        <v>958</v>
      </c>
      <c r="AK42" s="52"/>
      <c r="AL42" s="52"/>
      <c r="AM42" s="52"/>
      <c r="AN42" s="52"/>
      <c r="AO42" s="52"/>
    </row>
    <row r="43">
      <c r="A43" s="84">
        <v>9.0</v>
      </c>
      <c r="B43" s="85" t="s">
        <v>959</v>
      </c>
      <c r="C43" s="86" t="s">
        <v>960</v>
      </c>
      <c r="D43" s="52" t="s">
        <v>961</v>
      </c>
      <c r="E43" s="84">
        <v>9.0</v>
      </c>
      <c r="F43" s="85" t="s">
        <v>962</v>
      </c>
      <c r="G43" s="86" t="s">
        <v>963</v>
      </c>
      <c r="H43" s="52" t="s">
        <v>964</v>
      </c>
      <c r="I43" s="84">
        <v>9.0</v>
      </c>
      <c r="J43" s="85" t="s">
        <v>965</v>
      </c>
      <c r="K43" s="86" t="s">
        <v>966</v>
      </c>
      <c r="L43" s="52" t="s">
        <v>967</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968</v>
      </c>
      <c r="S43" s="89" t="s">
        <v>969</v>
      </c>
      <c r="T43" s="52" t="s">
        <v>970</v>
      </c>
      <c r="U43" s="84">
        <v>9.0</v>
      </c>
      <c r="V43" s="98" t="s">
        <v>971</v>
      </c>
      <c r="W43" s="95" t="s">
        <v>972</v>
      </c>
      <c r="X43" s="52" t="s">
        <v>973</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974</v>
      </c>
      <c r="AE43" s="86" t="s">
        <v>975</v>
      </c>
      <c r="AF43" s="87" t="s">
        <v>976</v>
      </c>
      <c r="AG43" s="84">
        <v>9.0</v>
      </c>
      <c r="AH43" s="92" t="s">
        <v>977</v>
      </c>
      <c r="AI43" s="93" t="s">
        <v>978</v>
      </c>
      <c r="AJ43" s="94" t="s">
        <v>979</v>
      </c>
      <c r="AK43" s="52"/>
      <c r="AL43" s="52"/>
      <c r="AM43" s="52"/>
      <c r="AN43" s="52"/>
      <c r="AO43" s="52"/>
    </row>
    <row r="44">
      <c r="A44" s="108">
        <v>10.0</v>
      </c>
      <c r="B44" s="85" t="s">
        <v>980</v>
      </c>
      <c r="C44" s="95" t="s">
        <v>981</v>
      </c>
      <c r="D44" s="52" t="s">
        <v>982</v>
      </c>
      <c r="E44" s="108">
        <v>10.0</v>
      </c>
      <c r="F44" s="85" t="s">
        <v>983</v>
      </c>
      <c r="G44" s="86" t="s">
        <v>984</v>
      </c>
      <c r="H44" s="52" t="s">
        <v>985</v>
      </c>
      <c r="I44" s="108">
        <v>10.0</v>
      </c>
      <c r="J44" s="85" t="s">
        <v>986</v>
      </c>
      <c r="K44" s="86" t="s">
        <v>987</v>
      </c>
      <c r="L44" s="52" t="s">
        <v>988</v>
      </c>
      <c r="M44" s="108">
        <v>10.0</v>
      </c>
      <c r="N44" s="85" t="str">
        <f>IFERROR(__xludf.DUMMYFUNCTION("GOOGLETRANSLATE(B44,""zh-tw"",""zh"")"),"厕所Plpy-1")</f>
        <v>厕所Plpy-1</v>
      </c>
      <c r="O44" s="95" t="s">
        <v>989</v>
      </c>
      <c r="P44" s="55" t="str">
        <f>IFERROR(__xludf.DUMMYFUNCTION("GOOGLETRANSLATE(D44,""zh-tw"",""zh"")"),"触发剧情
※目前尚未实装被发现的相关剧情")</f>
        <v>触发剧情
※目前尚未实装被发现的相关剧情</v>
      </c>
      <c r="Q44" s="108">
        <v>10.0</v>
      </c>
      <c r="R44" s="88" t="s">
        <v>990</v>
      </c>
      <c r="S44" s="89" t="s">
        <v>991</v>
      </c>
      <c r="T44" s="55" t="s">
        <v>992</v>
      </c>
      <c r="U44" s="108">
        <v>10.0</v>
      </c>
      <c r="V44" s="98" t="s">
        <v>993</v>
      </c>
      <c r="W44" s="95" t="s">
        <v>994</v>
      </c>
      <c r="X44" s="52" t="s">
        <v>995</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996</v>
      </c>
      <c r="AE44" s="86" t="s">
        <v>997</v>
      </c>
      <c r="AF44" s="87" t="s">
        <v>998</v>
      </c>
      <c r="AG44" s="108">
        <v>10.0</v>
      </c>
      <c r="AH44" s="92" t="s">
        <v>999</v>
      </c>
      <c r="AI44" s="93" t="s">
        <v>1000</v>
      </c>
      <c r="AJ44" s="94" t="s">
        <v>1001</v>
      </c>
      <c r="AK44" s="52"/>
      <c r="AL44" s="52"/>
      <c r="AM44" s="52"/>
      <c r="AN44" s="52"/>
      <c r="AO44" s="52"/>
    </row>
    <row r="45">
      <c r="A45" s="84">
        <v>11.0</v>
      </c>
      <c r="B45" s="98" t="s">
        <v>1002</v>
      </c>
      <c r="C45" s="95" t="s">
        <v>1003</v>
      </c>
      <c r="D45" s="52" t="s">
        <v>1004</v>
      </c>
      <c r="E45" s="84">
        <v>11.0</v>
      </c>
      <c r="F45" s="98" t="s">
        <v>1005</v>
      </c>
      <c r="G45" s="95" t="s">
        <v>1006</v>
      </c>
      <c r="H45" s="52" t="s">
        <v>1007</v>
      </c>
      <c r="I45" s="84">
        <v>11.0</v>
      </c>
      <c r="J45" s="98" t="s">
        <v>1008</v>
      </c>
      <c r="K45" s="95" t="s">
        <v>1009</v>
      </c>
      <c r="L45" s="52" t="s">
        <v>1010</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1011</v>
      </c>
      <c r="S45" s="89" t="s">
        <v>1012</v>
      </c>
      <c r="T45" s="55" t="s">
        <v>1013</v>
      </c>
      <c r="U45" s="84">
        <v>11.0</v>
      </c>
      <c r="V45" s="98" t="s">
        <v>1014</v>
      </c>
      <c r="W45" s="95" t="s">
        <v>1015</v>
      </c>
      <c r="X45" s="52" t="s">
        <v>1016</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1017</v>
      </c>
      <c r="AE45" s="86" t="s">
        <v>1018</v>
      </c>
      <c r="AF45" s="87" t="s">
        <v>1019</v>
      </c>
      <c r="AG45" s="84">
        <v>11.0</v>
      </c>
      <c r="AH45" s="92" t="s">
        <v>1020</v>
      </c>
      <c r="AI45" s="93" t="s">
        <v>1021</v>
      </c>
      <c r="AJ45" s="94" t="s">
        <v>1022</v>
      </c>
      <c r="AK45" s="52"/>
      <c r="AL45" s="52"/>
      <c r="AM45" s="52"/>
      <c r="AN45" s="52"/>
      <c r="AO45" s="52"/>
    </row>
    <row r="46">
      <c r="A46" s="108">
        <v>12.0</v>
      </c>
      <c r="B46" s="98" t="s">
        <v>1023</v>
      </c>
      <c r="C46" s="95" t="s">
        <v>1024</v>
      </c>
      <c r="D46" s="52" t="s">
        <v>1025</v>
      </c>
      <c r="E46" s="108">
        <v>12.0</v>
      </c>
      <c r="F46" s="98" t="s">
        <v>1026</v>
      </c>
      <c r="G46" s="86" t="s">
        <v>1027</v>
      </c>
      <c r="H46" s="52" t="s">
        <v>1028</v>
      </c>
      <c r="I46" s="108">
        <v>12.0</v>
      </c>
      <c r="J46" s="98" t="s">
        <v>1029</v>
      </c>
      <c r="K46" s="95" t="s">
        <v>1030</v>
      </c>
      <c r="L46" s="52" t="s">
        <v>1031</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1032</v>
      </c>
      <c r="S46" s="89" t="s">
        <v>1033</v>
      </c>
      <c r="T46" s="55" t="s">
        <v>876</v>
      </c>
      <c r="U46" s="108">
        <v>12.0</v>
      </c>
      <c r="V46" s="98" t="s">
        <v>1034</v>
      </c>
      <c r="W46" s="95" t="s">
        <v>1035</v>
      </c>
      <c r="X46" s="52" t="s">
        <v>1036</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1037</v>
      </c>
      <c r="AE46" s="86" t="s">
        <v>1038</v>
      </c>
      <c r="AF46" s="87" t="s">
        <v>861</v>
      </c>
      <c r="AG46" s="108">
        <v>12.0</v>
      </c>
      <c r="AH46" s="92" t="s">
        <v>1039</v>
      </c>
      <c r="AI46" s="93" t="s">
        <v>1040</v>
      </c>
      <c r="AJ46" s="94" t="s">
        <v>1041</v>
      </c>
      <c r="AK46" s="52"/>
      <c r="AL46" s="52"/>
      <c r="AM46" s="52"/>
      <c r="AN46" s="52"/>
      <c r="AO46" s="52"/>
    </row>
    <row r="47">
      <c r="A47" s="84">
        <v>13.0</v>
      </c>
      <c r="B47" s="85" t="s">
        <v>1042</v>
      </c>
      <c r="C47" s="95" t="s">
        <v>1043</v>
      </c>
      <c r="D47" s="52" t="s">
        <v>1044</v>
      </c>
      <c r="E47" s="84">
        <v>13.0</v>
      </c>
      <c r="F47" s="85" t="s">
        <v>1045</v>
      </c>
      <c r="G47" s="95" t="s">
        <v>1046</v>
      </c>
      <c r="H47" s="87" t="s">
        <v>1047</v>
      </c>
      <c r="I47" s="84">
        <v>13.0</v>
      </c>
      <c r="J47" s="85" t="s">
        <v>1048</v>
      </c>
      <c r="K47" s="95" t="s">
        <v>1049</v>
      </c>
      <c r="L47" s="87" t="s">
        <v>1050</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1051</v>
      </c>
      <c r="S47" s="89" t="s">
        <v>1052</v>
      </c>
      <c r="T47" s="55" t="s">
        <v>1053</v>
      </c>
      <c r="U47" s="84">
        <v>13.0</v>
      </c>
      <c r="V47" s="98" t="s">
        <v>1054</v>
      </c>
      <c r="W47" s="95" t="s">
        <v>1055</v>
      </c>
      <c r="X47" s="52" t="s">
        <v>1056</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1057</v>
      </c>
      <c r="AE47" s="86" t="s">
        <v>1058</v>
      </c>
      <c r="AF47" s="87" t="s">
        <v>1059</v>
      </c>
      <c r="AG47" s="84">
        <v>13.0</v>
      </c>
      <c r="AH47" s="92" t="s">
        <v>1060</v>
      </c>
      <c r="AI47" s="93" t="s">
        <v>1061</v>
      </c>
      <c r="AJ47" s="94" t="s">
        <v>1062</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1063</v>
      </c>
      <c r="B49" s="80" t="s">
        <v>1064</v>
      </c>
      <c r="E49" s="80" t="s">
        <v>1063</v>
      </c>
      <c r="F49" s="80" t="s">
        <v>1065</v>
      </c>
      <c r="I49" s="80" t="s">
        <v>1063</v>
      </c>
      <c r="J49" s="80" t="s">
        <v>1066</v>
      </c>
      <c r="M49" s="80" t="s">
        <v>1063</v>
      </c>
      <c r="N49" s="81" t="str">
        <f>IFERROR(__xludf.DUMMYFUNCTION("GOOGLETRANSLATE(B49,""zh-tw"",""zh"")"),"浴室相关")</f>
        <v>浴室相关</v>
      </c>
      <c r="Q49" s="80" t="s">
        <v>1063</v>
      </c>
      <c r="R49" s="80" t="s">
        <v>1067</v>
      </c>
      <c r="U49" s="80" t="s">
        <v>1063</v>
      </c>
      <c r="V49" s="80" t="s">
        <v>1068</v>
      </c>
      <c r="Y49" s="80" t="s">
        <v>1063</v>
      </c>
      <c r="Z49" s="80" t="s">
        <v>1069</v>
      </c>
      <c r="AC49" s="80" t="s">
        <v>1063</v>
      </c>
      <c r="AD49" s="80" t="s">
        <v>1070</v>
      </c>
      <c r="AG49" s="80" t="s">
        <v>1063</v>
      </c>
      <c r="AH49" s="111" t="s">
        <v>1071</v>
      </c>
      <c r="AK49" s="80"/>
      <c r="AL49" s="80"/>
      <c r="AM49" s="80"/>
      <c r="AN49" s="80"/>
      <c r="AO49" s="80"/>
    </row>
    <row r="50">
      <c r="A50" s="84">
        <v>1.0</v>
      </c>
      <c r="B50" s="85" t="s">
        <v>1072</v>
      </c>
      <c r="C50" s="86" t="s">
        <v>1073</v>
      </c>
      <c r="D50" s="87" t="s">
        <v>1074</v>
      </c>
      <c r="E50" s="84">
        <v>1.0</v>
      </c>
      <c r="F50" s="85" t="str">
        <f>IFERROR(__xludf.DUMMYFUNCTION("GOOGLETRANSLATE(B50,""zh-tw"",""ja"")"),"シャンプー")</f>
        <v>シャンプー</v>
      </c>
      <c r="G50" s="86" t="s">
        <v>1075</v>
      </c>
      <c r="H50" s="87" t="s">
        <v>1076</v>
      </c>
      <c r="I50" s="84">
        <v>1.0</v>
      </c>
      <c r="J50" s="85" t="str">
        <f>IFERROR(__xludf.DUMMYFUNCTION("GOOGLETRANSLATE(B50,""zh-tw"",""en"")"),"Shampoo")</f>
        <v>Shampoo</v>
      </c>
      <c r="K50" s="86" t="s">
        <v>1077</v>
      </c>
      <c r="L50" s="87" t="s">
        <v>1078</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55" t="str">
        <f>IFERROR(__xludf.DUMMYFUNCTION("GOOGLETRANSLATE(D50,""zh-tw"",""es-MX"")"),"Posibilidad de provocar un resbalón y caída en el baño")</f>
        <v>Posibilidad de provocar un resbalón y caída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수도 있습니다.
아니면 속옷을 훔칠 때 발동될 확률이 있습니다.")</f>
        <v>목욕 능력은 약 7일 후에 모든 능력을 소모하며, 엿보지 않으면 발동될 확률이 있습니다.
형제가 혼자 목욕을 하면 더 일찍 소모될 수도 있습니다.
아니면 속옷을 훔칠 때 발동될 확률이 있습니다.</v>
      </c>
      <c r="X50" s="55" t="str">
        <f>IFERROR(__xludf.DUMMYFUNCTION("GOOGLETRANSLATE(D50,""zh-tw"",""KO"")"),"욕실 미끄러짐 및 넘어짐 사고가 발생할 가능성")</f>
        <v>욕실 미끄러짐 및 넘어짐 사고가 발생할 가능성</v>
      </c>
      <c r="Y50" s="84">
        <v>1.0</v>
      </c>
      <c r="Z50" s="90" t="str">
        <f>IFERROR(__xludf.DUMMYFUNCTION("GOOGLETRANSLATE(B50,""zh-tw"",""ru"")"),"Шампунь")</f>
        <v>Шампунь</v>
      </c>
      <c r="AA50" s="102" t="s">
        <v>1079</v>
      </c>
      <c r="AB50" s="97" t="s">
        <v>1080</v>
      </c>
      <c r="AC50" s="84">
        <v>1.0</v>
      </c>
      <c r="AD50" s="85" t="s">
        <v>1081</v>
      </c>
      <c r="AE50" s="86" t="s">
        <v>1082</v>
      </c>
      <c r="AF50" s="87" t="s">
        <v>1083</v>
      </c>
      <c r="AG50" s="84">
        <v>1.0</v>
      </c>
      <c r="AH50" s="92" t="s">
        <v>1084</v>
      </c>
      <c r="AI50" s="93" t="s">
        <v>1085</v>
      </c>
      <c r="AJ50" s="94" t="s">
        <v>1086</v>
      </c>
      <c r="AK50" s="87"/>
      <c r="AL50" s="87"/>
      <c r="AM50" s="87"/>
      <c r="AN50" s="87"/>
      <c r="AO50" s="87"/>
    </row>
    <row r="51">
      <c r="A51" s="108">
        <v>2.0</v>
      </c>
      <c r="B51" s="85" t="s">
        <v>1087</v>
      </c>
      <c r="C51" s="86" t="s">
        <v>1088</v>
      </c>
      <c r="D51" s="87" t="s">
        <v>1089</v>
      </c>
      <c r="E51" s="108">
        <v>2.0</v>
      </c>
      <c r="F51" s="85" t="s">
        <v>1090</v>
      </c>
      <c r="G51" s="86" t="s">
        <v>1091</v>
      </c>
      <c r="H51" s="87" t="s">
        <v>1092</v>
      </c>
      <c r="I51" s="108">
        <v>2.0</v>
      </c>
      <c r="J51" s="85" t="s">
        <v>1093</v>
      </c>
      <c r="K51" s="86" t="s">
        <v>1094</v>
      </c>
      <c r="L51" s="87" t="s">
        <v>1095</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1096</v>
      </c>
      <c r="S51" s="89" t="s">
        <v>1097</v>
      </c>
      <c r="T51" s="55" t="s">
        <v>1098</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1099</v>
      </c>
      <c r="AE51" s="86" t="s">
        <v>1100</v>
      </c>
      <c r="AF51" s="87" t="s">
        <v>1101</v>
      </c>
      <c r="AG51" s="108">
        <v>2.0</v>
      </c>
      <c r="AH51" s="92" t="s">
        <v>1102</v>
      </c>
      <c r="AI51" s="93" t="s">
        <v>1103</v>
      </c>
      <c r="AJ51" s="94" t="s">
        <v>1104</v>
      </c>
      <c r="AK51" s="87"/>
      <c r="AL51" s="87"/>
      <c r="AM51" s="87"/>
      <c r="AN51" s="87"/>
      <c r="AO51" s="87"/>
    </row>
    <row r="52">
      <c r="A52" s="84">
        <v>3.0</v>
      </c>
      <c r="B52" s="85" t="s">
        <v>1105</v>
      </c>
      <c r="C52" s="86" t="s">
        <v>1106</v>
      </c>
      <c r="D52" s="87" t="s">
        <v>1107</v>
      </c>
      <c r="E52" s="84">
        <v>3.0</v>
      </c>
      <c r="F52" s="85" t="s">
        <v>1108</v>
      </c>
      <c r="G52" s="86" t="s">
        <v>1109</v>
      </c>
      <c r="H52" s="87" t="s">
        <v>1110</v>
      </c>
      <c r="I52" s="84">
        <v>3.0</v>
      </c>
      <c r="J52" s="85" t="s">
        <v>1111</v>
      </c>
      <c r="K52" s="86" t="s">
        <v>1112</v>
      </c>
      <c r="L52" s="87" t="s">
        <v>1113</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1114</v>
      </c>
      <c r="S52" s="89" t="s">
        <v>1115</v>
      </c>
      <c r="T52" s="55" t="s">
        <v>1116</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여동생에게 발각되었습니다.")</f>
        <v>1. 얼굴 치료 센터에 성공적으로 침투했습니다.
2. 여동생에게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1117</v>
      </c>
      <c r="AE52" s="86" t="s">
        <v>1118</v>
      </c>
      <c r="AF52" s="87" t="s">
        <v>1119</v>
      </c>
      <c r="AG52" s="84">
        <v>3.0</v>
      </c>
      <c r="AH52" s="92" t="s">
        <v>1120</v>
      </c>
      <c r="AI52" s="93" t="s">
        <v>1121</v>
      </c>
      <c r="AJ52" s="94" t="s">
        <v>1122</v>
      </c>
      <c r="AK52" s="87"/>
      <c r="AL52" s="87"/>
      <c r="AM52" s="87"/>
      <c r="AN52" s="87"/>
      <c r="AO52" s="87"/>
    </row>
    <row r="53">
      <c r="A53" s="84">
        <v>4.0</v>
      </c>
      <c r="B53" s="85" t="s">
        <v>1123</v>
      </c>
      <c r="C53" s="86" t="s">
        <v>1124</v>
      </c>
      <c r="D53" s="87" t="s">
        <v>1125</v>
      </c>
      <c r="E53" s="84">
        <v>4.0</v>
      </c>
      <c r="F53" s="85" t="s">
        <v>1126</v>
      </c>
      <c r="G53" s="86" t="s">
        <v>1127</v>
      </c>
      <c r="H53" s="87" t="s">
        <v>1128</v>
      </c>
      <c r="I53" s="84">
        <v>4.0</v>
      </c>
      <c r="J53" s="85" t="s">
        <v>1129</v>
      </c>
      <c r="K53" s="86" t="s">
        <v>1130</v>
      </c>
      <c r="L53" s="87" t="s">
        <v>1131</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1132</v>
      </c>
      <c r="S53" s="89" t="s">
        <v>1133</v>
      </c>
      <c r="T53" s="55" t="s">
        <v>1134</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1135</v>
      </c>
      <c r="AE53" s="86" t="s">
        <v>1136</v>
      </c>
      <c r="AF53" s="87" t="s">
        <v>1137</v>
      </c>
      <c r="AG53" s="84">
        <v>4.0</v>
      </c>
      <c r="AH53" s="92" t="s">
        <v>1138</v>
      </c>
      <c r="AI53" s="93" t="s">
        <v>1139</v>
      </c>
      <c r="AJ53" s="94" t="s">
        <v>1140</v>
      </c>
      <c r="AK53" s="87"/>
      <c r="AL53" s="87"/>
      <c r="AM53" s="87"/>
      <c r="AN53" s="87"/>
      <c r="AO53" s="87"/>
    </row>
    <row r="54">
      <c r="A54" s="108">
        <v>5.0</v>
      </c>
      <c r="B54" s="85" t="s">
        <v>1141</v>
      </c>
      <c r="C54" s="86" t="s">
        <v>1142</v>
      </c>
      <c r="D54" s="87" t="s">
        <v>1143</v>
      </c>
      <c r="E54" s="108">
        <v>5.0</v>
      </c>
      <c r="F54" s="85" t="s">
        <v>1144</v>
      </c>
      <c r="G54" s="86" t="s">
        <v>1145</v>
      </c>
      <c r="H54" s="87" t="s">
        <v>1146</v>
      </c>
      <c r="I54" s="108">
        <v>5.0</v>
      </c>
      <c r="J54" s="85" t="s">
        <v>1147</v>
      </c>
      <c r="K54" s="86" t="s">
        <v>1148</v>
      </c>
      <c r="L54" s="87" t="s">
        <v>1149</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1150</v>
      </c>
      <c r="S54" s="89" t="s">
        <v>1151</v>
      </c>
      <c r="T54" s="55" t="s">
        <v>1152</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1153</v>
      </c>
      <c r="AE54" s="86" t="s">
        <v>1154</v>
      </c>
      <c r="AF54" s="87" t="s">
        <v>1155</v>
      </c>
      <c r="AG54" s="108">
        <v>5.0</v>
      </c>
      <c r="AH54" s="92" t="s">
        <v>1156</v>
      </c>
      <c r="AI54" s="93" t="s">
        <v>1157</v>
      </c>
      <c r="AJ54" s="94" t="s">
        <v>1158</v>
      </c>
      <c r="AK54" s="87"/>
      <c r="AL54" s="87"/>
      <c r="AM54" s="87"/>
      <c r="AN54" s="87"/>
      <c r="AO54" s="87"/>
    </row>
    <row r="55">
      <c r="A55" s="84">
        <v>6.0</v>
      </c>
      <c r="B55" s="85" t="s">
        <v>1159</v>
      </c>
      <c r="C55" s="86" t="s">
        <v>1160</v>
      </c>
      <c r="D55" s="87" t="s">
        <v>1161</v>
      </c>
      <c r="E55" s="84">
        <v>6.0</v>
      </c>
      <c r="F55" s="85" t="s">
        <v>1162</v>
      </c>
      <c r="G55" s="86" t="s">
        <v>1163</v>
      </c>
      <c r="H55" s="87" t="s">
        <v>1164</v>
      </c>
      <c r="I55" s="84">
        <v>6.0</v>
      </c>
      <c r="J55" s="85" t="s">
        <v>1165</v>
      </c>
      <c r="K55" s="86" t="s">
        <v>1166</v>
      </c>
      <c r="L55" s="87" t="s">
        <v>1167</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1168</v>
      </c>
      <c r="S55" s="89" t="s">
        <v>1169</v>
      </c>
      <c r="T55" s="55" t="s">
        <v>1170</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1171</v>
      </c>
      <c r="AE55" s="86" t="s">
        <v>1172</v>
      </c>
      <c r="AF55" s="87" t="s">
        <v>1173</v>
      </c>
      <c r="AG55" s="84">
        <v>6.0</v>
      </c>
      <c r="AH55" s="92" t="s">
        <v>1174</v>
      </c>
      <c r="AI55" s="93" t="s">
        <v>1175</v>
      </c>
      <c r="AJ55" s="94" t="s">
        <v>1176</v>
      </c>
      <c r="AK55" s="87"/>
      <c r="AL55" s="87"/>
      <c r="AM55" s="87"/>
      <c r="AN55" s="87"/>
      <c r="AO55" s="87"/>
    </row>
    <row r="56">
      <c r="A56" s="84">
        <v>7.0</v>
      </c>
      <c r="B56" s="85" t="s">
        <v>1177</v>
      </c>
      <c r="C56" s="95" t="s">
        <v>1178</v>
      </c>
      <c r="D56" s="52" t="s">
        <v>1179</v>
      </c>
      <c r="E56" s="84">
        <v>7.0</v>
      </c>
      <c r="F56" s="98" t="s">
        <v>1180</v>
      </c>
      <c r="G56" s="95" t="s">
        <v>1181</v>
      </c>
      <c r="H56" s="52" t="s">
        <v>1182</v>
      </c>
      <c r="I56" s="84">
        <v>7.0</v>
      </c>
      <c r="J56" s="98" t="s">
        <v>1183</v>
      </c>
      <c r="K56" s="95" t="s">
        <v>1184</v>
      </c>
      <c r="L56" s="52" t="s">
        <v>1185</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1186</v>
      </c>
      <c r="AE56" s="95" t="s">
        <v>1187</v>
      </c>
      <c r="AF56" s="52" t="s">
        <v>1188</v>
      </c>
      <c r="AG56" s="84">
        <v>7.0</v>
      </c>
      <c r="AH56" s="92" t="s">
        <v>1189</v>
      </c>
      <c r="AI56" s="93" t="s">
        <v>1190</v>
      </c>
      <c r="AJ56" s="94" t="s">
        <v>1191</v>
      </c>
      <c r="AK56" s="52"/>
      <c r="AL56" s="52"/>
      <c r="AM56" s="52"/>
      <c r="AN56" s="52"/>
      <c r="AO56" s="52"/>
    </row>
    <row r="57">
      <c r="A57" s="108">
        <v>8.0</v>
      </c>
      <c r="B57" s="85" t="s">
        <v>1192</v>
      </c>
      <c r="C57" s="95" t="s">
        <v>1193</v>
      </c>
      <c r="D57" s="87" t="s">
        <v>1194</v>
      </c>
      <c r="E57" s="108">
        <v>8.0</v>
      </c>
      <c r="F57" s="85" t="s">
        <v>1195</v>
      </c>
      <c r="G57" s="86" t="s">
        <v>1196</v>
      </c>
      <c r="H57" s="87" t="s">
        <v>1197</v>
      </c>
      <c r="I57" s="108">
        <v>8.0</v>
      </c>
      <c r="J57" s="85" t="s">
        <v>1198</v>
      </c>
      <c r="K57" s="86" t="s">
        <v>1199</v>
      </c>
      <c r="L57" s="87" t="s">
        <v>1200</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1201</v>
      </c>
      <c r="S57" s="89" t="s">
        <v>1202</v>
      </c>
      <c r="T57" s="55" t="s">
        <v>1203</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1204</v>
      </c>
      <c r="AE57" s="86" t="s">
        <v>1205</v>
      </c>
      <c r="AF57" s="87" t="s">
        <v>1206</v>
      </c>
      <c r="AG57" s="108">
        <v>8.0</v>
      </c>
      <c r="AH57" s="92" t="s">
        <v>1207</v>
      </c>
      <c r="AI57" s="93" t="s">
        <v>1208</v>
      </c>
      <c r="AJ57" s="94" t="s">
        <v>1209</v>
      </c>
      <c r="AK57" s="87"/>
      <c r="AL57" s="87"/>
      <c r="AM57" s="87"/>
      <c r="AN57" s="87"/>
      <c r="AO57" s="87"/>
    </row>
    <row r="58">
      <c r="A58" s="84">
        <v>9.0</v>
      </c>
      <c r="B58" s="98" t="s">
        <v>1210</v>
      </c>
      <c r="C58" s="95" t="s">
        <v>1211</v>
      </c>
      <c r="D58" s="52" t="s">
        <v>1212</v>
      </c>
      <c r="E58" s="84">
        <v>9.0</v>
      </c>
      <c r="F58" s="85" t="s">
        <v>1213</v>
      </c>
      <c r="G58" s="86" t="s">
        <v>1214</v>
      </c>
      <c r="H58" s="87" t="s">
        <v>1215</v>
      </c>
      <c r="I58" s="84">
        <v>9.0</v>
      </c>
      <c r="J58" s="85" t="s">
        <v>1216</v>
      </c>
      <c r="K58" s="86" t="s">
        <v>1217</v>
      </c>
      <c r="L58" s="52" t="s">
        <v>1218</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1219</v>
      </c>
      <c r="S58" s="100" t="s">
        <v>1220</v>
      </c>
      <c r="T58" s="101" t="s">
        <v>1221</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1222</v>
      </c>
      <c r="AE58" s="86" t="s">
        <v>1223</v>
      </c>
      <c r="AF58" s="87" t="s">
        <v>1224</v>
      </c>
      <c r="AG58" s="84">
        <v>9.0</v>
      </c>
      <c r="AH58" s="92" t="s">
        <v>1225</v>
      </c>
      <c r="AI58" s="93" t="s">
        <v>1226</v>
      </c>
      <c r="AJ58" s="94" t="s">
        <v>1227</v>
      </c>
      <c r="AK58" s="52"/>
      <c r="AL58" s="52"/>
      <c r="AM58" s="52"/>
      <c r="AN58" s="52"/>
      <c r="AO58" s="52"/>
    </row>
    <row r="59">
      <c r="A59" s="84">
        <v>10.0</v>
      </c>
      <c r="B59" s="98" t="s">
        <v>1228</v>
      </c>
      <c r="C59" s="86" t="s">
        <v>1229</v>
      </c>
      <c r="D59" s="52" t="s">
        <v>1230</v>
      </c>
      <c r="E59" s="84">
        <v>10.0</v>
      </c>
      <c r="F59" s="85" t="s">
        <v>1231</v>
      </c>
      <c r="G59" s="86" t="s">
        <v>1232</v>
      </c>
      <c r="H59" s="87" t="s">
        <v>1233</v>
      </c>
      <c r="I59" s="84">
        <v>10.0</v>
      </c>
      <c r="J59" s="85" t="s">
        <v>1234</v>
      </c>
      <c r="K59" s="86" t="s">
        <v>1235</v>
      </c>
      <c r="L59" s="87" t="s">
        <v>1236</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1237</v>
      </c>
      <c r="S59" s="100" t="s">
        <v>1238</v>
      </c>
      <c r="T59" s="101" t="s">
        <v>1239</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1240</v>
      </c>
      <c r="AE59" s="86" t="s">
        <v>1241</v>
      </c>
      <c r="AF59" s="87" t="s">
        <v>1242</v>
      </c>
      <c r="AG59" s="84">
        <v>10.0</v>
      </c>
      <c r="AH59" s="92" t="s">
        <v>1243</v>
      </c>
      <c r="AI59" s="93" t="s">
        <v>1244</v>
      </c>
      <c r="AJ59" s="94" t="s">
        <v>1245</v>
      </c>
      <c r="AK59" s="52"/>
      <c r="AL59" s="52"/>
      <c r="AM59" s="52"/>
      <c r="AN59" s="52"/>
      <c r="AO59" s="52"/>
    </row>
    <row r="60">
      <c r="A60" s="108">
        <v>11.0</v>
      </c>
      <c r="B60" s="98" t="s">
        <v>1246</v>
      </c>
      <c r="C60" s="95" t="s">
        <v>1247</v>
      </c>
      <c r="D60" s="52" t="s">
        <v>1248</v>
      </c>
      <c r="E60" s="108">
        <v>11.0</v>
      </c>
      <c r="F60" s="85" t="s">
        <v>1249</v>
      </c>
      <c r="G60" s="86" t="s">
        <v>1250</v>
      </c>
      <c r="H60" s="52" t="s">
        <v>1251</v>
      </c>
      <c r="I60" s="108">
        <v>11.0</v>
      </c>
      <c r="J60" s="98" t="s">
        <v>1252</v>
      </c>
      <c r="K60" s="95" t="s">
        <v>1253</v>
      </c>
      <c r="L60" s="52" t="s">
        <v>1254</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1255</v>
      </c>
      <c r="S60" s="100" t="s">
        <v>1256</v>
      </c>
      <c r="T60" s="101" t="s">
        <v>1257</v>
      </c>
      <c r="U60" s="108">
        <v>11.0</v>
      </c>
      <c r="V60" s="88" t="str">
        <f>IFERROR(__xludf.DUMMYFUNCTION("GOOGLETRANSLATE(B60,""zh-tw"",""KO"")"),"어디 보자... -4
""섹스하고 싶어""")</f>
        <v>어디 보자... -4
"섹스하고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1258</v>
      </c>
      <c r="AE60" s="86" t="s">
        <v>1259</v>
      </c>
      <c r="AF60" s="87" t="s">
        <v>1260</v>
      </c>
      <c r="AG60" s="108">
        <v>11.0</v>
      </c>
      <c r="AH60" s="92" t="s">
        <v>1261</v>
      </c>
      <c r="AI60" s="100" t="s">
        <v>1262</v>
      </c>
      <c r="AJ60" s="94" t="s">
        <v>1263</v>
      </c>
      <c r="AK60" s="52"/>
      <c r="AL60" s="52"/>
      <c r="AM60" s="52"/>
      <c r="AN60" s="52"/>
      <c r="AO60" s="52"/>
    </row>
    <row r="61">
      <c r="A61" s="84">
        <v>12.0</v>
      </c>
      <c r="B61" s="85" t="s">
        <v>1264</v>
      </c>
      <c r="C61" s="86" t="s">
        <v>1265</v>
      </c>
      <c r="D61" s="87" t="s">
        <v>1266</v>
      </c>
      <c r="E61" s="84">
        <v>12.0</v>
      </c>
      <c r="F61" s="85" t="s">
        <v>1267</v>
      </c>
      <c r="G61" s="86" t="s">
        <v>1268</v>
      </c>
      <c r="H61" s="87" t="s">
        <v>1269</v>
      </c>
      <c r="I61" s="84">
        <v>12.0</v>
      </c>
      <c r="J61" s="98" t="s">
        <v>1270</v>
      </c>
      <c r="K61" s="95" t="s">
        <v>1271</v>
      </c>
      <c r="L61" s="52" t="s">
        <v>1272</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1273</v>
      </c>
      <c r="S61" s="100" t="s">
        <v>1274</v>
      </c>
      <c r="T61" s="101" t="s">
        <v>1275</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1276</v>
      </c>
      <c r="AE61" s="86" t="s">
        <v>1277</v>
      </c>
      <c r="AF61" s="87" t="s">
        <v>1278</v>
      </c>
      <c r="AG61" s="84">
        <v>12.0</v>
      </c>
      <c r="AH61" s="92" t="s">
        <v>1279</v>
      </c>
      <c r="AI61" s="93" t="s">
        <v>1280</v>
      </c>
      <c r="AJ61" s="94" t="s">
        <v>1281</v>
      </c>
      <c r="AK61" s="87"/>
      <c r="AL61" s="87"/>
      <c r="AM61" s="87"/>
      <c r="AN61" s="87"/>
      <c r="AO61" s="87"/>
    </row>
    <row r="62">
      <c r="A62" s="84">
        <v>13.0</v>
      </c>
      <c r="B62" s="85" t="s">
        <v>1282</v>
      </c>
      <c r="C62" s="86" t="s">
        <v>1283</v>
      </c>
      <c r="D62" s="87" t="s">
        <v>1284</v>
      </c>
      <c r="E62" s="84">
        <v>13.0</v>
      </c>
      <c r="F62" s="85" t="str">
        <f>IFERROR(__xludf.DUMMYFUNCTION("GOOGLETRANSLATE(B62,""zh-tw"",""ja"")"),"最初の侵入")</f>
        <v>最初の侵入</v>
      </c>
      <c r="G62" s="86" t="s">
        <v>1285</v>
      </c>
      <c r="H62" s="87" t="s">
        <v>1286</v>
      </c>
      <c r="I62" s="84">
        <v>13.0</v>
      </c>
      <c r="J62" s="85" t="s">
        <v>1287</v>
      </c>
      <c r="K62" s="86" t="s">
        <v>1288</v>
      </c>
      <c r="L62" s="87" t="s">
        <v>1289</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1290</v>
      </c>
      <c r="S62" s="89" t="str">
        <f>IFERROR(__xludf.DUMMYFUNCTION("GOOGLETRANSLATE(C62,""zh-tw"",""es-MX"")"),"La primera infiltración en el baño es parte de una historia especial.")</f>
        <v>La primera infiltración en el baño es parte de una historia especial.</v>
      </c>
      <c r="T62" s="55" t="s">
        <v>1291</v>
      </c>
      <c r="U62" s="84">
        <v>13.0</v>
      </c>
      <c r="V62" s="88" t="str">
        <f>IFERROR(__xludf.DUMMYFUNCTION("GOOGLETRANSLATE(B62,""zh-tw"",""KO"")"),"첫 번째 침투")</f>
        <v>첫 번째 침투</v>
      </c>
      <c r="W62" s="89" t="s">
        <v>1292</v>
      </c>
      <c r="X62" s="55" t="s">
        <v>1293</v>
      </c>
      <c r="Y62" s="84">
        <v>13.0</v>
      </c>
      <c r="Z62" s="103" t="s">
        <v>1294</v>
      </c>
      <c r="AA62" s="104" t="s">
        <v>1295</v>
      </c>
      <c r="AB62" s="44" t="s">
        <v>1296</v>
      </c>
      <c r="AC62" s="84">
        <v>13.0</v>
      </c>
      <c r="AD62" s="85" t="s">
        <v>1297</v>
      </c>
      <c r="AE62" s="86" t="s">
        <v>1298</v>
      </c>
      <c r="AF62" s="87" t="s">
        <v>1299</v>
      </c>
      <c r="AG62" s="84">
        <v>13.0</v>
      </c>
      <c r="AH62" s="92" t="s">
        <v>1300</v>
      </c>
      <c r="AI62" s="93" t="s">
        <v>1301</v>
      </c>
      <c r="AJ62" s="94" t="s">
        <v>1302</v>
      </c>
      <c r="AK62" s="87"/>
      <c r="AL62" s="87"/>
      <c r="AM62" s="87"/>
      <c r="AN62" s="87"/>
      <c r="AO62" s="87"/>
    </row>
    <row r="63">
      <c r="A63" s="108">
        <v>14.0</v>
      </c>
      <c r="B63" s="85" t="s">
        <v>1303</v>
      </c>
      <c r="C63" s="86" t="s">
        <v>1304</v>
      </c>
      <c r="D63" s="87" t="s">
        <v>1305</v>
      </c>
      <c r="E63" s="108">
        <v>14.0</v>
      </c>
      <c r="F63" s="85" t="s">
        <v>1306</v>
      </c>
      <c r="G63" s="86" t="s">
        <v>1307</v>
      </c>
      <c r="H63" s="87" t="s">
        <v>1308</v>
      </c>
      <c r="I63" s="108">
        <v>14.0</v>
      </c>
      <c r="J63" s="85" t="s">
        <v>1309</v>
      </c>
      <c r="K63" s="86" t="s">
        <v>1310</v>
      </c>
      <c r="L63" s="87" t="s">
        <v>1311</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1312</v>
      </c>
      <c r="S63" s="89" t="s">
        <v>1313</v>
      </c>
      <c r="T63" s="55" t="s">
        <v>1314</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1315</v>
      </c>
      <c r="AE63" s="86" t="s">
        <v>1316</v>
      </c>
      <c r="AF63" s="87" t="s">
        <v>1317</v>
      </c>
      <c r="AG63" s="108">
        <v>14.0</v>
      </c>
      <c r="AH63" s="92" t="s">
        <v>1318</v>
      </c>
      <c r="AI63" s="93" t="s">
        <v>1319</v>
      </c>
      <c r="AJ63" s="94" t="s">
        <v>1320</v>
      </c>
      <c r="AK63" s="87"/>
      <c r="AL63" s="87"/>
      <c r="AM63" s="87"/>
      <c r="AN63" s="87"/>
      <c r="AO63" s="87"/>
    </row>
    <row r="64">
      <c r="A64" s="84">
        <v>15.0</v>
      </c>
      <c r="B64" s="85" t="s">
        <v>1321</v>
      </c>
      <c r="C64" s="86" t="s">
        <v>1322</v>
      </c>
      <c r="D64" s="87" t="s">
        <v>1323</v>
      </c>
      <c r="E64" s="84">
        <v>15.0</v>
      </c>
      <c r="F64" s="85" t="s">
        <v>1324</v>
      </c>
      <c r="G64" s="86" t="s">
        <v>1325</v>
      </c>
      <c r="H64" s="87" t="s">
        <v>1326</v>
      </c>
      <c r="I64" s="84">
        <v>15.0</v>
      </c>
      <c r="J64" s="85" t="s">
        <v>1327</v>
      </c>
      <c r="K64" s="95" t="s">
        <v>1328</v>
      </c>
      <c r="L64" s="87" t="s">
        <v>1329</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1330</v>
      </c>
      <c r="S64" s="89" t="s">
        <v>1331</v>
      </c>
      <c r="T64" s="5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1332</v>
      </c>
      <c r="AA64" s="104" t="s">
        <v>1333</v>
      </c>
      <c r="AB64" s="44" t="s">
        <v>1334</v>
      </c>
      <c r="AC64" s="84">
        <v>15.0</v>
      </c>
      <c r="AD64" s="85" t="s">
        <v>1335</v>
      </c>
      <c r="AE64" s="86" t="s">
        <v>1336</v>
      </c>
      <c r="AF64" s="87" t="s">
        <v>1337</v>
      </c>
      <c r="AG64" s="84">
        <v>15.0</v>
      </c>
      <c r="AH64" s="92" t="s">
        <v>1338</v>
      </c>
      <c r="AI64" s="93" t="s">
        <v>1339</v>
      </c>
      <c r="AJ64" s="94" t="s">
        <v>1340</v>
      </c>
      <c r="AK64" s="87"/>
      <c r="AL64" s="87"/>
      <c r="AM64" s="87"/>
      <c r="AN64" s="87"/>
      <c r="AO64" s="87"/>
    </row>
    <row r="65">
      <c r="A65" s="84">
        <v>16.0</v>
      </c>
      <c r="B65" s="85" t="s">
        <v>1341</v>
      </c>
      <c r="C65" s="86" t="s">
        <v>1342</v>
      </c>
      <c r="D65" s="87" t="s">
        <v>1343</v>
      </c>
      <c r="E65" s="84">
        <v>16.0</v>
      </c>
      <c r="F65" s="85" t="s">
        <v>1344</v>
      </c>
      <c r="G65" s="86" t="s">
        <v>1345</v>
      </c>
      <c r="H65" s="87" t="s">
        <v>1346</v>
      </c>
      <c r="I65" s="84">
        <v>16.0</v>
      </c>
      <c r="J65" s="85" t="s">
        <v>1347</v>
      </c>
      <c r="K65" s="86" t="s">
        <v>1348</v>
      </c>
      <c r="L65" s="87" t="s">
        <v>1349</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1350</v>
      </c>
      <c r="S65" s="89"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1351</v>
      </c>
      <c r="AA65" s="104" t="s">
        <v>1352</v>
      </c>
      <c r="AB65" s="44" t="s">
        <v>1353</v>
      </c>
      <c r="AC65" s="84">
        <v>16.0</v>
      </c>
      <c r="AD65" s="85" t="s">
        <v>1354</v>
      </c>
      <c r="AE65" s="86" t="s">
        <v>1355</v>
      </c>
      <c r="AF65" s="87" t="s">
        <v>1356</v>
      </c>
      <c r="AG65" s="84">
        <v>16.0</v>
      </c>
      <c r="AH65" s="92" t="s">
        <v>1357</v>
      </c>
      <c r="AI65" s="93" t="s">
        <v>1358</v>
      </c>
      <c r="AJ65" s="94" t="s">
        <v>1359</v>
      </c>
      <c r="AK65" s="87"/>
      <c r="AL65" s="87"/>
      <c r="AM65" s="87"/>
      <c r="AN65" s="87"/>
      <c r="AO65" s="87"/>
    </row>
    <row r="66">
      <c r="A66" s="108">
        <v>17.0</v>
      </c>
      <c r="B66" s="85" t="s">
        <v>1360</v>
      </c>
      <c r="C66" s="86" t="s">
        <v>1361</v>
      </c>
      <c r="D66" s="87" t="s">
        <v>1362</v>
      </c>
      <c r="E66" s="108">
        <v>17.0</v>
      </c>
      <c r="F66" s="85" t="s">
        <v>1363</v>
      </c>
      <c r="G66" s="86" t="s">
        <v>1364</v>
      </c>
      <c r="H66" s="87" t="s">
        <v>1365</v>
      </c>
      <c r="I66" s="108">
        <v>17.0</v>
      </c>
      <c r="J66" s="85" t="s">
        <v>1366</v>
      </c>
      <c r="K66" s="86" t="s">
        <v>1367</v>
      </c>
      <c r="L66" s="87" t="s">
        <v>1368</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1369</v>
      </c>
      <c r="AE66" s="86" t="s">
        <v>1370</v>
      </c>
      <c r="AF66" s="87" t="s">
        <v>1371</v>
      </c>
      <c r="AG66" s="108">
        <v>17.0</v>
      </c>
      <c r="AH66" s="92" t="s">
        <v>1372</v>
      </c>
      <c r="AI66" s="93" t="s">
        <v>1373</v>
      </c>
      <c r="AJ66" s="94" t="s">
        <v>1374</v>
      </c>
      <c r="AK66" s="87"/>
      <c r="AL66" s="87"/>
      <c r="AM66" s="87"/>
      <c r="AN66" s="87"/>
      <c r="AO66" s="87"/>
    </row>
    <row r="67">
      <c r="A67" s="84">
        <v>18.0</v>
      </c>
      <c r="B67" s="85" t="s">
        <v>1375</v>
      </c>
      <c r="C67" s="86" t="s">
        <v>1376</v>
      </c>
      <c r="D67" s="87" t="s">
        <v>1377</v>
      </c>
      <c r="E67" s="84">
        <v>18.0</v>
      </c>
      <c r="F67" s="85" t="s">
        <v>1378</v>
      </c>
      <c r="G67" s="86" t="s">
        <v>1379</v>
      </c>
      <c r="H67" s="87" t="s">
        <v>1380</v>
      </c>
      <c r="I67" s="84">
        <v>18.0</v>
      </c>
      <c r="J67" s="85" t="s">
        <v>1381</v>
      </c>
      <c r="K67" s="86" t="s">
        <v>1382</v>
      </c>
      <c r="L67" s="87" t="s">
        <v>1383</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1384</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1385</v>
      </c>
      <c r="AB67" s="44" t="s">
        <v>1386</v>
      </c>
      <c r="AC67" s="84">
        <v>18.0</v>
      </c>
      <c r="AD67" s="85" t="s">
        <v>1387</v>
      </c>
      <c r="AE67" s="86" t="s">
        <v>1388</v>
      </c>
      <c r="AF67" s="87" t="s">
        <v>1389</v>
      </c>
      <c r="AG67" s="84">
        <v>18.0</v>
      </c>
      <c r="AH67" s="92" t="s">
        <v>1390</v>
      </c>
      <c r="AI67" s="93" t="s">
        <v>1391</v>
      </c>
      <c r="AJ67" s="94" t="s">
        <v>1392</v>
      </c>
      <c r="AK67" s="87"/>
      <c r="AL67" s="87"/>
      <c r="AM67" s="87"/>
      <c r="AN67" s="87"/>
      <c r="AO67" s="87"/>
    </row>
    <row r="68">
      <c r="A68" s="84">
        <v>19.0</v>
      </c>
      <c r="B68" s="85" t="s">
        <v>1393</v>
      </c>
      <c r="C68" s="86" t="s">
        <v>1394</v>
      </c>
      <c r="D68" s="87" t="s">
        <v>1395</v>
      </c>
      <c r="E68" s="84">
        <v>19.0</v>
      </c>
      <c r="F68" s="85" t="s">
        <v>1396</v>
      </c>
      <c r="G68" s="86" t="s">
        <v>1397</v>
      </c>
      <c r="H68" s="87" t="s">
        <v>1398</v>
      </c>
      <c r="I68" s="84">
        <v>19.0</v>
      </c>
      <c r="J68" s="85" t="s">
        <v>1399</v>
      </c>
      <c r="K68" s="86" t="s">
        <v>1400</v>
      </c>
      <c r="L68" s="87" t="s">
        <v>1401</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1402</v>
      </c>
      <c r="S68" s="89" t="s">
        <v>1403</v>
      </c>
      <c r="T68" s="5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68" s="84">
        <v>19.0</v>
      </c>
      <c r="Z68" s="103" t="str">
        <f>IFERROR(__xludf.DUMMYFUNCTION("IF(J68="""", """", GOOGLETRANSLATE(
J68,""en"",""ru""))"),"Прозрачная дверь - 2")</f>
        <v>Прозрачная дверь - 2</v>
      </c>
      <c r="AA68" s="104" t="s">
        <v>1404</v>
      </c>
      <c r="AB68" s="44" t="s">
        <v>1405</v>
      </c>
      <c r="AC68" s="84">
        <v>19.0</v>
      </c>
      <c r="AD68" s="85" t="s">
        <v>1406</v>
      </c>
      <c r="AE68" s="86" t="s">
        <v>1407</v>
      </c>
      <c r="AF68" s="87" t="s">
        <v>1408</v>
      </c>
      <c r="AG68" s="84">
        <v>19.0</v>
      </c>
      <c r="AH68" s="92" t="s">
        <v>1409</v>
      </c>
      <c r="AI68" s="93" t="s">
        <v>1410</v>
      </c>
      <c r="AJ68" s="94" t="s">
        <v>1411</v>
      </c>
      <c r="AK68" s="87"/>
      <c r="AL68" s="87"/>
      <c r="AM68" s="87"/>
      <c r="AN68" s="87"/>
      <c r="AO68" s="87"/>
    </row>
    <row r="69">
      <c r="A69" s="108">
        <v>20.0</v>
      </c>
      <c r="B69" s="85" t="s">
        <v>1412</v>
      </c>
      <c r="C69" s="86" t="s">
        <v>1413</v>
      </c>
      <c r="D69" s="87" t="s">
        <v>1414</v>
      </c>
      <c r="E69" s="108">
        <v>20.0</v>
      </c>
      <c r="F69" s="85" t="s">
        <v>1415</v>
      </c>
      <c r="G69" s="86" t="s">
        <v>1416</v>
      </c>
      <c r="H69" s="87" t="s">
        <v>1417</v>
      </c>
      <c r="I69" s="108">
        <v>20.0</v>
      </c>
      <c r="J69" s="85" t="s">
        <v>1418</v>
      </c>
      <c r="K69" s="86" t="s">
        <v>1419</v>
      </c>
      <c r="L69" s="87" t="s">
        <v>1420</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1421</v>
      </c>
      <c r="S69" s="89" t="s">
        <v>1422</v>
      </c>
      <c r="T69" s="55" t="s">
        <v>1423</v>
      </c>
      <c r="U69" s="108">
        <v>20.0</v>
      </c>
      <c r="V69" s="88" t="str">
        <f>IFERROR(__xludf.DUMMYFUNCTION("GOOGLETRANSLATE(B69,""zh-tw"",""KO"")"),"투명문-3")</f>
        <v>투명문-3</v>
      </c>
      <c r="W69" s="89" t="str">
        <f>IFERROR(__xludf.DUMMYFUNCTION("GOOGLETRANSLATE(C69,""zh-tw"",""KO"")"),"""냄새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1424</v>
      </c>
      <c r="AE69" s="86" t="s">
        <v>1425</v>
      </c>
      <c r="AF69" s="87" t="s">
        <v>1426</v>
      </c>
      <c r="AG69" s="108">
        <v>20.0</v>
      </c>
      <c r="AH69" s="92" t="s">
        <v>1427</v>
      </c>
      <c r="AI69" s="93" t="s">
        <v>1428</v>
      </c>
      <c r="AJ69" s="94" t="s">
        <v>1429</v>
      </c>
      <c r="AK69" s="87"/>
      <c r="AL69" s="87"/>
      <c r="AM69" s="87"/>
      <c r="AN69" s="87"/>
      <c r="AO69" s="87"/>
    </row>
    <row r="70" ht="41.25" customHeight="1">
      <c r="A70" s="84">
        <v>21.0</v>
      </c>
      <c r="B70" s="85" t="s">
        <v>1430</v>
      </c>
      <c r="C70" s="86" t="s">
        <v>1431</v>
      </c>
      <c r="D70" s="87" t="s">
        <v>1432</v>
      </c>
      <c r="E70" s="84">
        <v>21.0</v>
      </c>
      <c r="F70" s="85" t="s">
        <v>1433</v>
      </c>
      <c r="G70" s="86" t="s">
        <v>1434</v>
      </c>
      <c r="H70" s="87" t="s">
        <v>1435</v>
      </c>
      <c r="I70" s="84">
        <v>21.0</v>
      </c>
      <c r="J70" s="85" t="s">
        <v>1436</v>
      </c>
      <c r="K70" s="86" t="s">
        <v>1437</v>
      </c>
      <c r="L70" s="87" t="s">
        <v>1438</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1439</v>
      </c>
      <c r="S70" s="89" t="s">
        <v>1440</v>
      </c>
      <c r="T70" s="55" t="s">
        <v>1441</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IFERROR(__xludf.DUMMYFUNCTION("GOOGLETRANSLATE(D70,""zh-tw"",""KO"")"),"너는 네 여동생과 함께 목욕을 할 수 있어.")</f>
        <v>너는 네 여동생과 함께 목욕을 할 수 있어.</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1442</v>
      </c>
      <c r="AE70" s="86" t="s">
        <v>1443</v>
      </c>
      <c r="AF70" s="87" t="s">
        <v>1444</v>
      </c>
      <c r="AG70" s="84">
        <v>21.0</v>
      </c>
      <c r="AH70" s="92" t="s">
        <v>1445</v>
      </c>
      <c r="AI70" s="93" t="s">
        <v>1446</v>
      </c>
      <c r="AJ70" s="94" t="s">
        <v>1447</v>
      </c>
      <c r="AK70" s="87"/>
      <c r="AL70" s="87"/>
      <c r="AM70" s="87"/>
      <c r="AN70" s="87"/>
      <c r="AO70" s="87"/>
    </row>
    <row r="71">
      <c r="A71" s="84">
        <v>22.0</v>
      </c>
      <c r="B71" s="85" t="s">
        <v>1448</v>
      </c>
      <c r="C71" s="86" t="s">
        <v>1449</v>
      </c>
      <c r="D71" s="87" t="s">
        <v>1450</v>
      </c>
      <c r="E71" s="84">
        <v>22.0</v>
      </c>
      <c r="F71" s="85" t="s">
        <v>1451</v>
      </c>
      <c r="G71" s="86" t="s">
        <v>1452</v>
      </c>
      <c r="H71" s="87" t="s">
        <v>1453</v>
      </c>
      <c r="I71" s="84">
        <v>22.0</v>
      </c>
      <c r="J71" s="85" t="s">
        <v>1454</v>
      </c>
      <c r="K71" s="86" t="s">
        <v>1455</v>
      </c>
      <c r="L71" s="87" t="s">
        <v>1456</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1457</v>
      </c>
      <c r="S71" s="89" t="str">
        <f>IFERROR(__xludf.DUMMYFUNCTION("GOOGLETRANSLATE(C71,""zh-tw"",""es-MX"")"),"Se cumplen las condiciones para tomar un baño juntos, pero mi hermana está de mal humor.")</f>
        <v>Se cumplen las condiciones para tomar un baño juntos,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1458</v>
      </c>
      <c r="AA71" s="102" t="s">
        <v>1459</v>
      </c>
      <c r="AB71" s="97" t="s">
        <v>1460</v>
      </c>
      <c r="AC71" s="84">
        <v>22.0</v>
      </c>
      <c r="AD71" s="85" t="s">
        <v>1461</v>
      </c>
      <c r="AE71" s="86" t="s">
        <v>1462</v>
      </c>
      <c r="AF71" s="87" t="s">
        <v>1463</v>
      </c>
      <c r="AG71" s="84">
        <v>22.0</v>
      </c>
      <c r="AH71" s="92" t="s">
        <v>1464</v>
      </c>
      <c r="AI71" s="93" t="s">
        <v>1465</v>
      </c>
      <c r="AJ71" s="94" t="s">
        <v>1466</v>
      </c>
      <c r="AK71" s="87"/>
      <c r="AL71" s="87"/>
      <c r="AM71" s="87"/>
      <c r="AN71" s="87"/>
      <c r="AO71" s="87"/>
    </row>
    <row r="72">
      <c r="A72" s="108">
        <v>23.0</v>
      </c>
      <c r="B72" s="85" t="s">
        <v>1467</v>
      </c>
      <c r="C72" s="86" t="s">
        <v>1468</v>
      </c>
      <c r="D72" s="87" t="s">
        <v>1469</v>
      </c>
      <c r="E72" s="108">
        <v>23.0</v>
      </c>
      <c r="F72" s="85" t="s">
        <v>1470</v>
      </c>
      <c r="G72" s="86" t="s">
        <v>1471</v>
      </c>
      <c r="H72" s="87" t="s">
        <v>1472</v>
      </c>
      <c r="I72" s="108">
        <v>23.0</v>
      </c>
      <c r="J72" s="85" t="s">
        <v>1473</v>
      </c>
      <c r="K72" s="86" t="s">
        <v>1474</v>
      </c>
      <c r="L72" s="87" t="s">
        <v>1475</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menor mientras te bañas con ella (sin un corazón morado), ella huirá.")</f>
        <v>Si sigues tocando a tu hermana menor mientras te bañas con ella (sin un corazón morado), ella huirá.</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1476</v>
      </c>
      <c r="AE72" s="86" t="s">
        <v>1477</v>
      </c>
      <c r="AF72" s="87" t="s">
        <v>1478</v>
      </c>
      <c r="AG72" s="108">
        <v>23.0</v>
      </c>
      <c r="AH72" s="85" t="s">
        <v>1479</v>
      </c>
      <c r="AI72" s="86" t="s">
        <v>1480</v>
      </c>
      <c r="AJ72" s="87" t="s">
        <v>1481</v>
      </c>
      <c r="AK72" s="87"/>
      <c r="AL72" s="87"/>
      <c r="AM72" s="87"/>
      <c r="AN72" s="87"/>
      <c r="AO72" s="87"/>
    </row>
    <row r="73">
      <c r="A73" s="84">
        <v>24.0</v>
      </c>
      <c r="B73" s="85" t="s">
        <v>1482</v>
      </c>
      <c r="C73" s="86" t="s">
        <v>1483</v>
      </c>
      <c r="D73" s="87" t="s">
        <v>1484</v>
      </c>
      <c r="E73" s="84">
        <v>24.0</v>
      </c>
      <c r="F73" s="85" t="s">
        <v>1485</v>
      </c>
      <c r="G73" s="86" t="s">
        <v>1486</v>
      </c>
      <c r="H73" s="87" t="s">
        <v>1487</v>
      </c>
      <c r="I73" s="84">
        <v>24.0</v>
      </c>
      <c r="J73" s="85" t="s">
        <v>1473</v>
      </c>
      <c r="K73" s="86" t="s">
        <v>1488</v>
      </c>
      <c r="L73" s="87" t="s">
        <v>1489</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55" t="str">
        <f>IFERROR(__xludf.DUMMYFUNCTION("GOOGLETRANSLATE(D73,""zh-tw"",""es-MX"")"),"Mi hermana se desmayó por el calor.
*Esto es algo que ocurrió una sola vez.")</f>
        <v>Mi hermana se desmayó por el calor.
*Esto es algo que ocurrió una sola vez.</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1490</v>
      </c>
      <c r="AE73" s="86" t="s">
        <v>1491</v>
      </c>
      <c r="AF73" s="87" t="s">
        <v>1492</v>
      </c>
      <c r="AG73" s="84">
        <v>24.0</v>
      </c>
      <c r="AH73" s="85" t="s">
        <v>1493</v>
      </c>
      <c r="AI73" s="86" t="s">
        <v>1494</v>
      </c>
      <c r="AJ73" s="87" t="s">
        <v>1495</v>
      </c>
      <c r="AK73" s="87"/>
      <c r="AL73" s="87"/>
      <c r="AM73" s="87"/>
      <c r="AN73" s="87"/>
      <c r="AO73" s="87"/>
    </row>
    <row r="74">
      <c r="A74" s="84">
        <v>25.0</v>
      </c>
      <c r="B74" s="85" t="s">
        <v>1496</v>
      </c>
      <c r="C74" s="86" t="s">
        <v>1497</v>
      </c>
      <c r="D74" s="87" t="s">
        <v>1498</v>
      </c>
      <c r="E74" s="84">
        <v>25.0</v>
      </c>
      <c r="F74" s="85" t="s">
        <v>1499</v>
      </c>
      <c r="G74" s="86" t="s">
        <v>1500</v>
      </c>
      <c r="H74" s="87" t="s">
        <v>1498</v>
      </c>
      <c r="I74" s="84">
        <v>25.0</v>
      </c>
      <c r="J74" s="85" t="s">
        <v>1473</v>
      </c>
      <c r="K74" s="86" t="s">
        <v>1501</v>
      </c>
      <c r="L74" s="87" t="s">
        <v>1502</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1503</v>
      </c>
      <c r="AE74" s="86" t="s">
        <v>1504</v>
      </c>
      <c r="AF74" s="87" t="s">
        <v>1505</v>
      </c>
      <c r="AG74" s="84">
        <v>25.0</v>
      </c>
      <c r="AH74" s="85" t="s">
        <v>1506</v>
      </c>
      <c r="AI74" s="86" t="s">
        <v>1507</v>
      </c>
      <c r="AJ74" s="87" t="s">
        <v>1508</v>
      </c>
      <c r="AK74" s="87"/>
      <c r="AL74" s="87"/>
      <c r="AM74" s="87"/>
      <c r="AN74" s="87"/>
      <c r="AO74" s="87"/>
    </row>
    <row r="75">
      <c r="A75" s="108">
        <v>26.0</v>
      </c>
      <c r="B75" s="85" t="s">
        <v>1509</v>
      </c>
      <c r="C75" s="86" t="s">
        <v>1510</v>
      </c>
      <c r="D75" s="87" t="s">
        <v>1511</v>
      </c>
      <c r="E75" s="108">
        <v>26.0</v>
      </c>
      <c r="F75" s="85" t="s">
        <v>1512</v>
      </c>
      <c r="G75" s="86" t="s">
        <v>1513</v>
      </c>
      <c r="H75" s="87" t="s">
        <v>1514</v>
      </c>
      <c r="I75" s="108">
        <v>26.0</v>
      </c>
      <c r="J75" s="85" t="s">
        <v>1515</v>
      </c>
      <c r="K75" s="86" t="s">
        <v>1516</v>
      </c>
      <c r="L75" s="87" t="s">
        <v>1517</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estaba bañando con mi hermana menor, le pedí que me ayudara a frotarme la espalda.")</f>
        <v>Cuando me estaba bañando con mi hermana menor, le pedí que me ayudara a frotarme la espalda.</v>
      </c>
      <c r="T75" s="55" t="str">
        <f>IFERROR(__xludf.DUMMYFUNCTION("GOOGLETRANSLATE(D75,""zh-tw"",""es-MX"")"),"Esto activa una escena y agrega una nueva opción la próxima vez: limpiar el área que se avecina.")</f>
        <v>Esto activa una escena y agrega una nueva opción la próxima vez: limpiar el área que se avecina.</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1518</v>
      </c>
      <c r="AE75" s="86" t="s">
        <v>1519</v>
      </c>
      <c r="AF75" s="87" t="s">
        <v>1520</v>
      </c>
      <c r="AG75" s="108">
        <v>26.0</v>
      </c>
      <c r="AH75" s="85" t="s">
        <v>1521</v>
      </c>
      <c r="AI75" s="86" t="s">
        <v>1522</v>
      </c>
      <c r="AJ75" s="87" t="s">
        <v>1523</v>
      </c>
      <c r="AK75" s="87"/>
      <c r="AL75" s="87"/>
      <c r="AM75" s="87"/>
      <c r="AN75" s="87"/>
      <c r="AO75" s="87"/>
    </row>
    <row r="76">
      <c r="A76" s="84">
        <v>27.0</v>
      </c>
      <c r="B76" s="85" t="s">
        <v>1524</v>
      </c>
      <c r="C76" s="86" t="s">
        <v>1525</v>
      </c>
      <c r="D76" s="87" t="s">
        <v>1526</v>
      </c>
      <c r="E76" s="84">
        <v>27.0</v>
      </c>
      <c r="F76" s="85" t="s">
        <v>1527</v>
      </c>
      <c r="G76" s="86" t="s">
        <v>1528</v>
      </c>
      <c r="H76" s="87" t="s">
        <v>1529</v>
      </c>
      <c r="I76" s="84">
        <v>27.0</v>
      </c>
      <c r="J76" s="85" t="s">
        <v>1530</v>
      </c>
      <c r="K76" s="86" t="s">
        <v>1531</v>
      </c>
      <c r="L76" s="87" t="s">
        <v>1532</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1533</v>
      </c>
      <c r="AE76" s="86" t="s">
        <v>1534</v>
      </c>
      <c r="AF76" s="87" t="s">
        <v>1535</v>
      </c>
      <c r="AG76" s="84">
        <v>27.0</v>
      </c>
      <c r="AH76" s="85" t="s">
        <v>1536</v>
      </c>
      <c r="AI76" s="86" t="s">
        <v>1537</v>
      </c>
      <c r="AJ76" s="87" t="s">
        <v>1538</v>
      </c>
      <c r="AK76" s="87"/>
      <c r="AL76" s="87"/>
      <c r="AM76" s="87"/>
      <c r="AN76" s="87"/>
      <c r="AO76" s="87"/>
    </row>
    <row r="77">
      <c r="A77" s="84">
        <v>28.0</v>
      </c>
      <c r="B77" s="85" t="s">
        <v>1539</v>
      </c>
      <c r="C77" s="86" t="s">
        <v>1540</v>
      </c>
      <c r="D77" s="87" t="s">
        <v>1541</v>
      </c>
      <c r="E77" s="84">
        <v>28.0</v>
      </c>
      <c r="F77" s="85" t="s">
        <v>1542</v>
      </c>
      <c r="G77" s="86" t="s">
        <v>1543</v>
      </c>
      <c r="H77" s="87" t="s">
        <v>1544</v>
      </c>
      <c r="I77" s="84">
        <v>28.0</v>
      </c>
      <c r="J77" s="85" t="s">
        <v>1545</v>
      </c>
      <c r="K77" s="86" t="s">
        <v>1546</v>
      </c>
      <c r="L77" s="87" t="s">
        <v>1547</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alcanzas 4 corazones morados...")</f>
        <v>Del mismo modo, si alcanzas 4 corazones morados...</v>
      </c>
      <c r="T77" s="55" t="str">
        <f>IFERROR(__xludf.DUMMYFUNCTION("GOOGLETRANSLATE(D77,""zh-tw"",""es-MX"")"),"La primera parte de la representación de la escena de las medias sencillas.")</f>
        <v>La primera parte de la representación de la escena de las medias sencillas.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1548</v>
      </c>
      <c r="AE77" s="86" t="s">
        <v>1549</v>
      </c>
      <c r="AF77" s="87" t="s">
        <v>1550</v>
      </c>
      <c r="AG77" s="84">
        <v>28.0</v>
      </c>
      <c r="AH77" s="85" t="s">
        <v>1551</v>
      </c>
      <c r="AI77" s="86" t="s">
        <v>1552</v>
      </c>
      <c r="AJ77" s="87" t="s">
        <v>1553</v>
      </c>
      <c r="AK77" s="87"/>
      <c r="AL77" s="87"/>
      <c r="AM77" s="87"/>
      <c r="AN77" s="87"/>
      <c r="AO77" s="87"/>
    </row>
    <row r="78">
      <c r="A78" s="108">
        <v>29.0</v>
      </c>
      <c r="B78" s="85" t="s">
        <v>1554</v>
      </c>
      <c r="C78" s="86" t="s">
        <v>1555</v>
      </c>
      <c r="D78" s="87" t="s">
        <v>1556</v>
      </c>
      <c r="E78" s="108">
        <v>29.0</v>
      </c>
      <c r="F78" s="85" t="s">
        <v>1557</v>
      </c>
      <c r="G78" s="86" t="s">
        <v>1558</v>
      </c>
      <c r="H78" s="87" t="s">
        <v>1559</v>
      </c>
      <c r="I78" s="108">
        <v>29.0</v>
      </c>
      <c r="J78" s="85" t="s">
        <v>1560</v>
      </c>
      <c r="K78" s="86" t="s">
        <v>1561</v>
      </c>
      <c r="L78" s="87" t="s">
        <v>1562</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alcanzas 5 corazones morados...")</f>
        <v>Del mismo modo, si alcanzas 5 corazones morados...</v>
      </c>
      <c r="T78" s="55" t="str">
        <f>IFERROR(__xludf.DUMMYFUNCTION("GOOGLETRANSLATE(D78,""zh-tw"",""es-MX"")"),"El segundo segmento de la representación de la escena de las medias.")</f>
        <v>El segundo segmento de la representación de la escena de las medias.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IFERROR(__xludf.DUMMYFUNCTION("GOOGLETRANSLATE(D78,""zh-tw"",""KO"")"),"스타킹 신 퍼포먼스의 두 번째 부분")</f>
        <v>스타킹 신 퍼포먼스의 두 번째 부분</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1563</v>
      </c>
      <c r="AE78" s="86" t="s">
        <v>1564</v>
      </c>
      <c r="AF78" s="87" t="s">
        <v>1565</v>
      </c>
      <c r="AG78" s="108">
        <v>29.0</v>
      </c>
      <c r="AH78" s="85" t="s">
        <v>1566</v>
      </c>
      <c r="AI78" s="86" t="s">
        <v>1567</v>
      </c>
      <c r="AJ78" s="87" t="s">
        <v>1568</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1569</v>
      </c>
      <c r="B80" s="81" t="s">
        <v>1570</v>
      </c>
      <c r="E80" s="80" t="s">
        <v>1569</v>
      </c>
      <c r="F80" s="80" t="s">
        <v>1571</v>
      </c>
      <c r="I80" s="80" t="s">
        <v>1569</v>
      </c>
      <c r="J80" s="80" t="s">
        <v>1572</v>
      </c>
      <c r="M80" s="80" t="s">
        <v>1569</v>
      </c>
      <c r="N80" s="81" t="str">
        <f>IFERROR(__xludf.DUMMYFUNCTION("GOOGLETRANSLATE(B80,""zh-tw"",""zh"")"),"游戏机相关剧情")</f>
        <v>游戏机相关剧情</v>
      </c>
      <c r="Q80" s="80" t="s">
        <v>1569</v>
      </c>
      <c r="R80" s="80" t="s">
        <v>1573</v>
      </c>
      <c r="U80" s="80" t="s">
        <v>1569</v>
      </c>
      <c r="V80" s="80" t="s">
        <v>1574</v>
      </c>
      <c r="Y80" s="80" t="s">
        <v>1569</v>
      </c>
      <c r="Z80" s="80" t="s">
        <v>1575</v>
      </c>
      <c r="AC80" s="80" t="s">
        <v>1569</v>
      </c>
      <c r="AD80" s="80" t="s">
        <v>1576</v>
      </c>
      <c r="AG80" s="82" t="s">
        <v>1569</v>
      </c>
      <c r="AH80" s="83" t="s">
        <v>1577</v>
      </c>
      <c r="AK80" s="81"/>
      <c r="AL80" s="81"/>
      <c r="AM80" s="81"/>
      <c r="AN80" s="81"/>
      <c r="AO80" s="81"/>
    </row>
    <row r="81">
      <c r="A81" s="84">
        <v>1.0</v>
      </c>
      <c r="B81" s="85" t="s">
        <v>1578</v>
      </c>
      <c r="C81" s="86" t="s">
        <v>1579</v>
      </c>
      <c r="D81" s="87" t="s">
        <v>1580</v>
      </c>
      <c r="E81" s="84">
        <v>1.0</v>
      </c>
      <c r="F81" s="85" t="s">
        <v>1581</v>
      </c>
      <c r="G81" s="86" t="s">
        <v>1582</v>
      </c>
      <c r="H81" s="87" t="s">
        <v>1583</v>
      </c>
      <c r="I81" s="84">
        <v>1.0</v>
      </c>
      <c r="J81" s="85" t="s">
        <v>1584</v>
      </c>
      <c r="K81" s="86" t="s">
        <v>1585</v>
      </c>
      <c r="L81" s="87" t="s">
        <v>1586</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1587</v>
      </c>
      <c r="S81" s="95" t="s">
        <v>1588</v>
      </c>
      <c r="T81" s="52" t="s">
        <v>1589</v>
      </c>
      <c r="U81" s="116">
        <v>1.0</v>
      </c>
      <c r="V81" s="88" t="s">
        <v>1590</v>
      </c>
      <c r="W81" s="89" t="s">
        <v>1591</v>
      </c>
      <c r="X81" s="55" t="s">
        <v>1592</v>
      </c>
      <c r="Y81" s="117">
        <v>1.0</v>
      </c>
      <c r="Z81" s="103" t="s">
        <v>1593</v>
      </c>
      <c r="AA81" s="104" t="s">
        <v>1594</v>
      </c>
      <c r="AB81" s="44" t="s">
        <v>1595</v>
      </c>
      <c r="AC81" s="117">
        <v>1.0</v>
      </c>
      <c r="AD81" s="85" t="s">
        <v>1596</v>
      </c>
      <c r="AE81" s="86" t="s">
        <v>1597</v>
      </c>
      <c r="AF81" s="87" t="s">
        <v>1598</v>
      </c>
      <c r="AG81" s="118">
        <v>1.0</v>
      </c>
      <c r="AH81" s="92" t="s">
        <v>1599</v>
      </c>
      <c r="AI81" s="93" t="s">
        <v>1600</v>
      </c>
      <c r="AJ81" s="94" t="s">
        <v>1601</v>
      </c>
      <c r="AK81" s="87"/>
      <c r="AL81" s="87"/>
      <c r="AM81" s="87"/>
      <c r="AN81" s="87"/>
      <c r="AO81" s="87"/>
    </row>
    <row r="82">
      <c r="A82" s="84">
        <v>2.0</v>
      </c>
      <c r="B82" s="85" t="s">
        <v>1602</v>
      </c>
      <c r="C82" s="86" t="s">
        <v>1603</v>
      </c>
      <c r="D82" s="87" t="s">
        <v>1604</v>
      </c>
      <c r="E82" s="84">
        <v>2.0</v>
      </c>
      <c r="F82" s="85" t="s">
        <v>1605</v>
      </c>
      <c r="G82" s="86" t="s">
        <v>1606</v>
      </c>
      <c r="H82" s="87" t="s">
        <v>1607</v>
      </c>
      <c r="I82" s="84">
        <v>2.0</v>
      </c>
      <c r="J82" s="85" t="s">
        <v>1608</v>
      </c>
      <c r="K82" s="86" t="s">
        <v>1609</v>
      </c>
      <c r="L82" s="87" t="s">
        <v>1610</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1611</v>
      </c>
      <c r="Q82" s="116">
        <v>2.0</v>
      </c>
      <c r="R82" s="98" t="s">
        <v>1612</v>
      </c>
      <c r="S82" s="95" t="s">
        <v>1613</v>
      </c>
      <c r="T82" s="52" t="s">
        <v>1614</v>
      </c>
      <c r="U82" s="116">
        <v>2.0</v>
      </c>
      <c r="V82" s="88" t="s">
        <v>1615</v>
      </c>
      <c r="W82" s="89" t="s">
        <v>1616</v>
      </c>
      <c r="X82" s="55" t="s">
        <v>1617</v>
      </c>
      <c r="Y82" s="117">
        <v>2.0</v>
      </c>
      <c r="Z82" s="103" t="s">
        <v>1618</v>
      </c>
      <c r="AA82" s="104" t="s">
        <v>1619</v>
      </c>
      <c r="AB82" s="44" t="s">
        <v>1620</v>
      </c>
      <c r="AC82" s="117">
        <v>2.0</v>
      </c>
      <c r="AD82" s="85" t="s">
        <v>1621</v>
      </c>
      <c r="AE82" s="86" t="s">
        <v>1622</v>
      </c>
      <c r="AF82" s="87" t="s">
        <v>1623</v>
      </c>
      <c r="AG82" s="118">
        <v>2.0</v>
      </c>
      <c r="AH82" s="92" t="s">
        <v>1624</v>
      </c>
      <c r="AI82" s="93" t="s">
        <v>1625</v>
      </c>
      <c r="AJ82" s="94" t="s">
        <v>1626</v>
      </c>
      <c r="AK82" s="87"/>
      <c r="AL82" s="87"/>
      <c r="AM82" s="87"/>
      <c r="AN82" s="87"/>
      <c r="AO82" s="87"/>
    </row>
    <row r="83">
      <c r="A83" s="115">
        <v>3.0</v>
      </c>
      <c r="B83" s="88" t="s">
        <v>1627</v>
      </c>
      <c r="C83" s="89" t="s">
        <v>1628</v>
      </c>
      <c r="D83" s="55" t="s">
        <v>1629</v>
      </c>
      <c r="E83" s="115">
        <v>3.0</v>
      </c>
      <c r="F83" s="88" t="s">
        <v>1630</v>
      </c>
      <c r="G83" s="89" t="s">
        <v>1631</v>
      </c>
      <c r="H83" s="55" t="s">
        <v>1632</v>
      </c>
      <c r="I83" s="115">
        <v>3.0</v>
      </c>
      <c r="J83" s="88" t="s">
        <v>1633</v>
      </c>
      <c r="K83" s="89" t="s">
        <v>1634</v>
      </c>
      <c r="L83" s="55" t="s">
        <v>1635</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1636</v>
      </c>
      <c r="S83" s="95" t="s">
        <v>1637</v>
      </c>
      <c r="T83" s="52" t="s">
        <v>1638</v>
      </c>
      <c r="U83" s="116">
        <v>3.0</v>
      </c>
      <c r="V83" s="88" t="s">
        <v>1639</v>
      </c>
      <c r="W83" s="89" t="s">
        <v>1640</v>
      </c>
      <c r="X83" s="55" t="s">
        <v>1641</v>
      </c>
      <c r="Y83" s="116">
        <v>3.0</v>
      </c>
      <c r="Z83" s="103" t="s">
        <v>1642</v>
      </c>
      <c r="AA83" s="104" t="s">
        <v>1643</v>
      </c>
      <c r="AB83" s="44" t="s">
        <v>1644</v>
      </c>
      <c r="AC83" s="116">
        <v>3.0</v>
      </c>
      <c r="AD83" s="88" t="s">
        <v>1645</v>
      </c>
      <c r="AE83" s="89" t="s">
        <v>1646</v>
      </c>
      <c r="AF83" s="55" t="s">
        <v>1647</v>
      </c>
      <c r="AG83" s="119">
        <v>3.0</v>
      </c>
      <c r="AH83" s="120" t="s">
        <v>1648</v>
      </c>
      <c r="AI83" s="121" t="s">
        <v>1649</v>
      </c>
      <c r="AJ83" s="122" t="s">
        <v>1650</v>
      </c>
      <c r="AK83" s="55"/>
      <c r="AL83" s="55"/>
      <c r="AM83" s="55"/>
      <c r="AN83" s="55"/>
      <c r="AO83" s="55"/>
    </row>
    <row r="84">
      <c r="A84" s="115">
        <v>4.0</v>
      </c>
      <c r="B84" s="88" t="s">
        <v>1651</v>
      </c>
      <c r="C84" s="89" t="s">
        <v>1652</v>
      </c>
      <c r="D84" s="55" t="s">
        <v>1653</v>
      </c>
      <c r="E84" s="115">
        <v>4.0</v>
      </c>
      <c r="F84" s="88" t="s">
        <v>1654</v>
      </c>
      <c r="G84" s="89" t="s">
        <v>1655</v>
      </c>
      <c r="H84" s="55" t="s">
        <v>1656</v>
      </c>
      <c r="I84" s="115">
        <v>4.0</v>
      </c>
      <c r="J84" s="88" t="s">
        <v>1657</v>
      </c>
      <c r="K84" s="89" t="s">
        <v>1658</v>
      </c>
      <c r="L84" s="55" t="s">
        <v>1659</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1660</v>
      </c>
      <c r="S84" s="95" t="s">
        <v>1661</v>
      </c>
      <c r="T84" s="55" t="str">
        <f>IFERROR(__xludf.DUMMYFUNCTION("GOOGLETRANSLATE(D84,""zh-tw"",""es-MX"")"),"Añadir otras opciones")</f>
        <v>Añadir otras opciones</v>
      </c>
      <c r="U84" s="116">
        <v>4.0</v>
      </c>
      <c r="V84" s="88" t="s">
        <v>1662</v>
      </c>
      <c r="W84" s="89" t="s">
        <v>1663</v>
      </c>
      <c r="X84" s="55" t="str">
        <f>IFERROR(__xludf.DUMMYFUNCTION("GOOGLETRANSLATE(D84,""zh-tw"",""KO"")"),"다른 옵션 추가")</f>
        <v>다른 옵션 추가</v>
      </c>
      <c r="Y84" s="116">
        <v>4.0</v>
      </c>
      <c r="Z84" s="103" t="s">
        <v>1664</v>
      </c>
      <c r="AA84" s="104" t="s">
        <v>1665</v>
      </c>
      <c r="AB84" s="44" t="s">
        <v>1666</v>
      </c>
      <c r="AC84" s="116">
        <v>4.0</v>
      </c>
      <c r="AD84" s="88" t="s">
        <v>1667</v>
      </c>
      <c r="AE84" s="89" t="s">
        <v>1668</v>
      </c>
      <c r="AF84" s="55" t="s">
        <v>1669</v>
      </c>
      <c r="AG84" s="119">
        <v>4.0</v>
      </c>
      <c r="AH84" s="120" t="s">
        <v>1670</v>
      </c>
      <c r="AI84" s="121" t="s">
        <v>1671</v>
      </c>
      <c r="AJ84" s="122" t="s">
        <v>1672</v>
      </c>
      <c r="AK84" s="55"/>
      <c r="AL84" s="55"/>
      <c r="AM84" s="55"/>
      <c r="AN84" s="55"/>
      <c r="AO84" s="55"/>
    </row>
    <row r="85">
      <c r="A85" s="115">
        <v>5.0</v>
      </c>
      <c r="B85" s="88" t="s">
        <v>1673</v>
      </c>
      <c r="C85" s="89" t="s">
        <v>1674</v>
      </c>
      <c r="D85" s="55" t="s">
        <v>1675</v>
      </c>
      <c r="E85" s="115">
        <v>5.0</v>
      </c>
      <c r="F85" s="88" t="s">
        <v>1676</v>
      </c>
      <c r="G85" s="89" t="s">
        <v>1677</v>
      </c>
      <c r="H85" s="55" t="s">
        <v>1678</v>
      </c>
      <c r="I85" s="115">
        <v>5.0</v>
      </c>
      <c r="J85" s="88" t="s">
        <v>1679</v>
      </c>
      <c r="K85" s="89" t="s">
        <v>1680</v>
      </c>
      <c r="L85" s="55" t="s">
        <v>1681</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1682</v>
      </c>
      <c r="S85" s="95" t="s">
        <v>1683</v>
      </c>
      <c r="T85" s="52" t="s">
        <v>1684</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1685</v>
      </c>
      <c r="AA85" s="104" t="s">
        <v>1686</v>
      </c>
      <c r="AB85" s="44" t="s">
        <v>1687</v>
      </c>
      <c r="AC85" s="116">
        <v>5.0</v>
      </c>
      <c r="AD85" s="88" t="s">
        <v>1688</v>
      </c>
      <c r="AE85" s="89" t="s">
        <v>1689</v>
      </c>
      <c r="AF85" s="55" t="s">
        <v>1690</v>
      </c>
      <c r="AG85" s="119">
        <v>5.0</v>
      </c>
      <c r="AH85" s="120" t="s">
        <v>1691</v>
      </c>
      <c r="AI85" s="121" t="s">
        <v>1692</v>
      </c>
      <c r="AJ85" s="122" t="s">
        <v>1693</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1694</v>
      </c>
      <c r="B87" s="124" t="s">
        <v>1695</v>
      </c>
      <c r="E87" s="80" t="s">
        <v>1694</v>
      </c>
      <c r="F87" s="80" t="s">
        <v>1696</v>
      </c>
      <c r="I87" s="80" t="s">
        <v>1694</v>
      </c>
      <c r="J87" s="80" t="s">
        <v>1697</v>
      </c>
      <c r="M87" s="80" t="s">
        <v>1694</v>
      </c>
      <c r="N87" s="81" t="str">
        <f>IFERROR(__xludf.DUMMYFUNCTION("GOOGLETRANSLATE(B87,""zh-tw"",""zh"")"),"特殊天气相关")</f>
        <v>特殊天气相关</v>
      </c>
      <c r="Q87" s="80" t="s">
        <v>1694</v>
      </c>
      <c r="R87" s="80" t="s">
        <v>1698</v>
      </c>
      <c r="U87" s="80" t="s">
        <v>1694</v>
      </c>
      <c r="V87" s="80" t="s">
        <v>1699</v>
      </c>
      <c r="Y87" s="80" t="s">
        <v>1694</v>
      </c>
      <c r="Z87" s="80" t="s">
        <v>1700</v>
      </c>
      <c r="AC87" s="80" t="s">
        <v>1694</v>
      </c>
      <c r="AD87" s="80" t="s">
        <v>1701</v>
      </c>
      <c r="AG87" s="82" t="s">
        <v>1694</v>
      </c>
      <c r="AH87" s="125" t="s">
        <v>1702</v>
      </c>
      <c r="AK87" s="124"/>
      <c r="AL87" s="124"/>
      <c r="AM87" s="124"/>
      <c r="AN87" s="124"/>
      <c r="AO87" s="124"/>
    </row>
    <row r="88">
      <c r="A88" s="115">
        <v>1.0</v>
      </c>
      <c r="B88" s="88" t="s">
        <v>1703</v>
      </c>
      <c r="C88" s="89" t="s">
        <v>1704</v>
      </c>
      <c r="D88" s="55" t="s">
        <v>1705</v>
      </c>
      <c r="E88" s="115">
        <v>1.0</v>
      </c>
      <c r="F88" s="88" t="s">
        <v>1706</v>
      </c>
      <c r="G88" s="89" t="s">
        <v>1707</v>
      </c>
      <c r="H88" s="55" t="s">
        <v>1708</v>
      </c>
      <c r="I88" s="115">
        <v>1.0</v>
      </c>
      <c r="J88" s="88" t="s">
        <v>1709</v>
      </c>
      <c r="K88" s="89" t="s">
        <v>1710</v>
      </c>
      <c r="L88" s="55" t="s">
        <v>1711</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1712</v>
      </c>
      <c r="S88" s="95" t="s">
        <v>1713</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날, 나는 여동생에게 역류하는 콜라를 건넸다.")</f>
        <v>더운 날, 나는 여동생에게 역류하는 콜라를 건넸다.</v>
      </c>
      <c r="X88" s="55" t="str">
        <f>IFERROR(__xludf.DUMMYFUNCTION("GOOGLETRANSLATE(D88,""zh-tw"",""KO"")"),"특수 애니메이션, 자매 기분 +10, 애정도 +20")</f>
        <v>특수 애니메이션, 자매 기분 +10, 애정도 +20</v>
      </c>
      <c r="Y88" s="116">
        <v>1.0</v>
      </c>
      <c r="Z88" s="103" t="s">
        <v>1714</v>
      </c>
      <c r="AA88" s="104" t="s">
        <v>1715</v>
      </c>
      <c r="AB88" s="44" t="s">
        <v>1716</v>
      </c>
      <c r="AC88" s="116">
        <v>1.0</v>
      </c>
      <c r="AD88" s="88" t="s">
        <v>1717</v>
      </c>
      <c r="AE88" s="89" t="s">
        <v>1718</v>
      </c>
      <c r="AF88" s="55" t="s">
        <v>1719</v>
      </c>
      <c r="AG88" s="119">
        <v>1.0</v>
      </c>
      <c r="AH88" s="120" t="s">
        <v>1720</v>
      </c>
      <c r="AI88" s="121" t="s">
        <v>1721</v>
      </c>
      <c r="AJ88" s="122" t="s">
        <v>1722</v>
      </c>
      <c r="AK88" s="55"/>
      <c r="AL88" s="55"/>
      <c r="AM88" s="55"/>
      <c r="AN88" s="55"/>
      <c r="AO88" s="55"/>
    </row>
    <row r="89">
      <c r="A89" s="115">
        <v>2.0</v>
      </c>
      <c r="B89" s="88" t="s">
        <v>1723</v>
      </c>
      <c r="C89" s="89" t="s">
        <v>1724</v>
      </c>
      <c r="D89" s="55" t="s">
        <v>1725</v>
      </c>
      <c r="E89" s="115">
        <v>2.0</v>
      </c>
      <c r="F89" s="88" t="s">
        <v>1726</v>
      </c>
      <c r="G89" s="89" t="s">
        <v>1727</v>
      </c>
      <c r="H89" s="55" t="s">
        <v>1728</v>
      </c>
      <c r="I89" s="115">
        <v>2.0</v>
      </c>
      <c r="J89" s="88" t="s">
        <v>1729</v>
      </c>
      <c r="K89" s="89" t="s">
        <v>1730</v>
      </c>
      <c r="L89" s="55" t="s">
        <v>1731</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1732</v>
      </c>
      <c r="S89" s="95" t="s">
        <v>1733</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1734</v>
      </c>
      <c r="AA89" s="104" t="s">
        <v>1735</v>
      </c>
      <c r="AB89" s="44" t="s">
        <v>1736</v>
      </c>
      <c r="AC89" s="116">
        <v>2.0</v>
      </c>
      <c r="AD89" s="88" t="s">
        <v>1737</v>
      </c>
      <c r="AE89" s="89" t="s">
        <v>1738</v>
      </c>
      <c r="AF89" s="55" t="s">
        <v>1739</v>
      </c>
      <c r="AG89" s="119">
        <v>2.0</v>
      </c>
      <c r="AH89" s="120" t="s">
        <v>1740</v>
      </c>
      <c r="AI89" s="121" t="s">
        <v>1741</v>
      </c>
      <c r="AJ89" s="122" t="s">
        <v>1742</v>
      </c>
      <c r="AK89" s="55"/>
      <c r="AL89" s="55"/>
      <c r="AM89" s="55"/>
      <c r="AN89" s="55"/>
      <c r="AO89" s="55"/>
    </row>
    <row r="90">
      <c r="A90" s="115">
        <v>3.0</v>
      </c>
      <c r="B90" s="88" t="s">
        <v>1743</v>
      </c>
      <c r="C90" s="89" t="s">
        <v>1744</v>
      </c>
      <c r="D90" s="55" t="s">
        <v>1725</v>
      </c>
      <c r="E90" s="115">
        <v>3.0</v>
      </c>
      <c r="F90" s="88" t="s">
        <v>1745</v>
      </c>
      <c r="G90" s="89" t="s">
        <v>1746</v>
      </c>
      <c r="H90" s="55" t="s">
        <v>1728</v>
      </c>
      <c r="I90" s="115">
        <v>3.0</v>
      </c>
      <c r="J90" s="88" t="s">
        <v>1747</v>
      </c>
      <c r="K90" s="89" t="s">
        <v>1748</v>
      </c>
      <c r="L90" s="55" t="s">
        <v>1731</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1749</v>
      </c>
      <c r="S90" s="95" t="s">
        <v>1750</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1751</v>
      </c>
      <c r="AA90" s="104" t="s">
        <v>1752</v>
      </c>
      <c r="AB90" s="44" t="s">
        <v>1736</v>
      </c>
      <c r="AC90" s="116">
        <v>3.0</v>
      </c>
      <c r="AD90" s="88" t="s">
        <v>1753</v>
      </c>
      <c r="AE90" s="89" t="s">
        <v>1754</v>
      </c>
      <c r="AF90" s="55" t="s">
        <v>1739</v>
      </c>
      <c r="AG90" s="119">
        <v>3.0</v>
      </c>
      <c r="AH90" s="120" t="s">
        <v>1755</v>
      </c>
      <c r="AI90" s="121" t="s">
        <v>1756</v>
      </c>
      <c r="AJ90" s="122" t="s">
        <v>1742</v>
      </c>
      <c r="AK90" s="55"/>
      <c r="AL90" s="55"/>
      <c r="AM90" s="55"/>
      <c r="AN90" s="55"/>
      <c r="AO90" s="55"/>
    </row>
    <row r="91">
      <c r="A91" s="115">
        <v>4.0</v>
      </c>
      <c r="B91" s="88" t="s">
        <v>1757</v>
      </c>
      <c r="C91" s="89" t="s">
        <v>1758</v>
      </c>
      <c r="D91" s="55" t="s">
        <v>1759</v>
      </c>
      <c r="E91" s="115">
        <v>4.0</v>
      </c>
      <c r="F91" s="88" t="s">
        <v>1760</v>
      </c>
      <c r="G91" s="89" t="s">
        <v>1761</v>
      </c>
      <c r="H91" s="55" t="s">
        <v>1762</v>
      </c>
      <c r="I91" s="115">
        <v>4.0</v>
      </c>
      <c r="J91" s="88" t="s">
        <v>1763</v>
      </c>
      <c r="K91" s="89" t="s">
        <v>1764</v>
      </c>
      <c r="L91" s="55" t="s">
        <v>1765</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1766</v>
      </c>
      <c r="S91" s="95" t="s">
        <v>1767</v>
      </c>
      <c r="T91" s="52" t="s">
        <v>1768</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1769</v>
      </c>
      <c r="AE91" s="89" t="s">
        <v>1770</v>
      </c>
      <c r="AF91" s="55" t="s">
        <v>1771</v>
      </c>
      <c r="AG91" s="119">
        <v>4.0</v>
      </c>
      <c r="AH91" s="120" t="s">
        <v>1772</v>
      </c>
      <c r="AI91" s="121" t="s">
        <v>1773</v>
      </c>
      <c r="AJ91" s="122" t="s">
        <v>1774</v>
      </c>
      <c r="AK91" s="55"/>
      <c r="AL91" s="55"/>
      <c r="AM91" s="55"/>
      <c r="AN91" s="55"/>
      <c r="AO91" s="55"/>
    </row>
    <row r="92">
      <c r="A92" s="115">
        <v>5.0</v>
      </c>
      <c r="B92" s="98" t="s">
        <v>1775</v>
      </c>
      <c r="C92" s="95" t="s">
        <v>1776</v>
      </c>
      <c r="D92" s="52" t="s">
        <v>1777</v>
      </c>
      <c r="E92" s="115">
        <v>5.0</v>
      </c>
      <c r="F92" s="98" t="s">
        <v>1778</v>
      </c>
      <c r="G92" s="95" t="s">
        <v>1779</v>
      </c>
      <c r="H92" s="52" t="s">
        <v>1780</v>
      </c>
      <c r="I92" s="115">
        <v>5.0</v>
      </c>
      <c r="J92" s="98" t="s">
        <v>1781</v>
      </c>
      <c r="K92" s="95" t="s">
        <v>1782</v>
      </c>
      <c r="L92" s="52" t="s">
        <v>1783</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IFERROR(__xludf.DUMMYFUNCTION("GOOGLETRANSLATE(B92,""zh-tw"",""es-mx"")"),"Volver a casa temprano también es bueno -1")</f>
        <v>Volver a casa temprano también es bueno -1</v>
      </c>
      <c r="S92" s="89" t="str">
        <f>IFERROR(__xludf.DUMMYFUNCTION("GOOGLETRANSLATE(C92,""zh-tw"",""es-mx"")"),"Cuando hace calor y hay un ventilador eléctrico, vuelvo a casa temprano y echo un vistazo a mi hermana menor.")</f>
        <v>Cuando hace calor y hay un ventilador eléctrico, vuelvo a casa temprano y echo un vistazo a mi hermana menor.</v>
      </c>
      <c r="T92" s="55" t="str">
        <f>IFERROR(__xludf.DUMMYFUNCTION("GOOGLETRANSLATE(D92,""zh-tw"",""es-mx"")"),"Mi hermana menor llevaba ropa y soplaba un ventilador eléctrico.")</f>
        <v>Mi hermana menor llevaba ropa y soplaba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1784</v>
      </c>
      <c r="AE92" s="95" t="s">
        <v>1785</v>
      </c>
      <c r="AF92" s="52" t="s">
        <v>1786</v>
      </c>
      <c r="AG92" s="115">
        <v>5.0</v>
      </c>
      <c r="AH92" s="105" t="s">
        <v>1787</v>
      </c>
      <c r="AI92" s="100" t="s">
        <v>1788</v>
      </c>
      <c r="AJ92" s="101" t="s">
        <v>1789</v>
      </c>
      <c r="AK92" s="55"/>
      <c r="AL92" s="55"/>
      <c r="AM92" s="55"/>
      <c r="AN92" s="55"/>
      <c r="AO92" s="55"/>
    </row>
    <row r="93">
      <c r="A93" s="115">
        <v>6.0</v>
      </c>
      <c r="B93" s="98" t="s">
        <v>1790</v>
      </c>
      <c r="C93" s="95" t="s">
        <v>1791</v>
      </c>
      <c r="D93" s="52" t="s">
        <v>1792</v>
      </c>
      <c r="E93" s="115">
        <v>6.0</v>
      </c>
      <c r="F93" s="98" t="s">
        <v>1793</v>
      </c>
      <c r="G93" s="95" t="s">
        <v>1794</v>
      </c>
      <c r="H93" s="52" t="s">
        <v>1795</v>
      </c>
      <c r="I93" s="115">
        <v>6.0</v>
      </c>
      <c r="J93" s="98" t="s">
        <v>1796</v>
      </c>
      <c r="K93" s="95" t="s">
        <v>1797</v>
      </c>
      <c r="L93" s="52" t="s">
        <v>1798</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IFERROR(__xludf.DUMMYFUNCTION("GOOGLETRANSLATE(B93,""zh-tw"",""es-mx"")"),"Volver a casa temprano también es bueno - 2")</f>
        <v>Volver a casa temprano también es bueno - 2</v>
      </c>
      <c r="S93" s="89" t="str">
        <f>IFERROR(__xludf.DUMMYFUNCTION("GOOGLETRANSLATE(C93,""zh-tw"",""es-mx"")"),"De la misma manera, cuando mira fijamente a su hermana menor, existe la posibilidad de que...")</f>
        <v>De la misma manera, cuando mira fijamente a su hermana menor, existe la posibilidad de que...</v>
      </c>
      <c r="T93" s="55" t="str">
        <f>IFERROR(__xludf.DUMMYFUNCTION("GOOGLETRANSLATE(D93,""zh-tw"",""es-mx"")"),"Mi hermana menor no llevaba ropa interior mientras la abanicaban con un ventilador eléctrico.")</f>
        <v>Mi hermana menor no llevaba ropa interior mientras la abanicaban con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1799</v>
      </c>
      <c r="AE93" s="95" t="s">
        <v>1800</v>
      </c>
      <c r="AF93" s="52" t="s">
        <v>1801</v>
      </c>
      <c r="AG93" s="115">
        <v>6.0</v>
      </c>
      <c r="AH93" s="105" t="s">
        <v>1802</v>
      </c>
      <c r="AI93" s="100" t="s">
        <v>1803</v>
      </c>
      <c r="AJ93" s="101" t="s">
        <v>1804</v>
      </c>
      <c r="AK93" s="55"/>
      <c r="AL93" s="55"/>
      <c r="AM93" s="55"/>
      <c r="AN93" s="55"/>
      <c r="AO93" s="55"/>
    </row>
    <row r="94">
      <c r="A94" s="115">
        <v>7.0</v>
      </c>
      <c r="B94" s="98" t="s">
        <v>1805</v>
      </c>
      <c r="C94" s="95" t="s">
        <v>1806</v>
      </c>
      <c r="D94" s="52" t="s">
        <v>1807</v>
      </c>
      <c r="E94" s="115">
        <v>7.0</v>
      </c>
      <c r="F94" s="98" t="s">
        <v>1808</v>
      </c>
      <c r="G94" s="95" t="s">
        <v>1809</v>
      </c>
      <c r="H94" s="52" t="s">
        <v>1810</v>
      </c>
      <c r="I94" s="115">
        <v>7.0</v>
      </c>
      <c r="J94" s="98" t="s">
        <v>1811</v>
      </c>
      <c r="K94" s="95" t="s">
        <v>1812</v>
      </c>
      <c r="L94" s="52" t="s">
        <v>1813</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a casa temprano también es bueno -3")</f>
        <v>Volver a casa temprano también es bueno -3</v>
      </c>
      <c r="S94" s="89" t="str">
        <f>IFERROR(__xludf.DUMMYFUNCTION("GOOGLETRANSLATE(C94,""zh-tw"",""es-mx"")"),"De la misma manera, cuando la hermana menor tiene un corazón púrpura y un alto deseo sexual, existe la posibilidad de que...")</f>
        <v>De la misma manera, cuando la hermana menor tiene un corazón púrpura y un alto deseo sexual, existe la posibilidad de que...</v>
      </c>
      <c r="T94" s="55" t="str">
        <f>IFERROR(__xludf.DUMMYFUNCTION("GOOGLETRANSLATE(D94,""zh-tw"",""es-mx"")"),"La hermana menor usa una paleta de hielo (aún no se implementó).")</f>
        <v>La hermana menor usa una paleta de hielo (aún no se implementó).</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1814</v>
      </c>
      <c r="AE94" s="95" t="s">
        <v>1815</v>
      </c>
      <c r="AF94" s="52" t="s">
        <v>1816</v>
      </c>
      <c r="AG94" s="115">
        <v>7.0</v>
      </c>
      <c r="AH94" s="105" t="s">
        <v>1817</v>
      </c>
      <c r="AI94" s="100" t="s">
        <v>1818</v>
      </c>
      <c r="AJ94" s="101" t="s">
        <v>1819</v>
      </c>
      <c r="AK94" s="55"/>
      <c r="AL94" s="55"/>
      <c r="AM94" s="55"/>
      <c r="AN94" s="55"/>
      <c r="AO94" s="55"/>
    </row>
    <row r="95">
      <c r="A95" s="115">
        <v>8.0</v>
      </c>
      <c r="B95" s="98" t="s">
        <v>1820</v>
      </c>
      <c r="C95" s="95" t="s">
        <v>1821</v>
      </c>
      <c r="D95" s="52" t="s">
        <v>1822</v>
      </c>
      <c r="E95" s="115">
        <v>8.0</v>
      </c>
      <c r="F95" s="98" t="s">
        <v>1823</v>
      </c>
      <c r="G95" s="95" t="s">
        <v>1824</v>
      </c>
      <c r="H95" s="52" t="s">
        <v>1825</v>
      </c>
      <c r="I95" s="115">
        <v>8.0</v>
      </c>
      <c r="J95" s="98" t="s">
        <v>1826</v>
      </c>
      <c r="K95" s="95" t="s">
        <v>1827</v>
      </c>
      <c r="L95" s="52" t="s">
        <v>1828</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IFERROR(__xludf.DUMMYFUNCTION("GOOGLETRANSLATE(B95,""zh-tw"",""es-mx"")"),"Volver a casa temprano también es bueno -4")</f>
        <v>Volver a casa temprano también es bueno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-4")</f>
        <v>일찍 집에 가는 것도 좋은 일이에요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1829</v>
      </c>
      <c r="AE95" s="95" t="s">
        <v>1830</v>
      </c>
      <c r="AF95" s="52" t="s">
        <v>1831</v>
      </c>
      <c r="AG95" s="115">
        <v>8.0</v>
      </c>
      <c r="AH95" s="105" t="s">
        <v>1832</v>
      </c>
      <c r="AI95" s="100" t="s">
        <v>1833</v>
      </c>
      <c r="AJ95" s="101" t="s">
        <v>1834</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1835</v>
      </c>
      <c r="B97" s="126" t="s">
        <v>1836</v>
      </c>
      <c r="E97" s="80" t="s">
        <v>1835</v>
      </c>
      <c r="F97" s="127" t="s">
        <v>1837</v>
      </c>
      <c r="I97" s="80" t="s">
        <v>1835</v>
      </c>
      <c r="J97" s="127" t="s">
        <v>1838</v>
      </c>
      <c r="M97" s="80" t="s">
        <v>1835</v>
      </c>
      <c r="N97" s="127" t="str">
        <f>IFERROR(__xludf.DUMMYFUNCTION("GOOGLETRANSLATE(B97,""zh-tw"",""zh"")"),"夜袭相关")</f>
        <v>夜袭相关</v>
      </c>
      <c r="Q97" s="127" t="s">
        <v>1835</v>
      </c>
      <c r="R97" s="127" t="s">
        <v>1839</v>
      </c>
      <c r="U97" s="127" t="s">
        <v>1835</v>
      </c>
      <c r="V97" s="127" t="s">
        <v>1840</v>
      </c>
      <c r="Y97" s="127" t="s">
        <v>1835</v>
      </c>
      <c r="Z97" s="127" t="s">
        <v>1841</v>
      </c>
      <c r="AC97" s="127" t="s">
        <v>1835</v>
      </c>
      <c r="AD97" s="127" t="s">
        <v>1842</v>
      </c>
      <c r="AG97" s="128" t="s">
        <v>1835</v>
      </c>
      <c r="AH97" s="129" t="s">
        <v>1843</v>
      </c>
      <c r="AK97" s="126"/>
      <c r="AL97" s="126"/>
      <c r="AM97" s="126"/>
      <c r="AN97" s="126"/>
      <c r="AO97" s="126"/>
    </row>
    <row r="98">
      <c r="A98" s="115">
        <v>1.0</v>
      </c>
      <c r="B98" s="88" t="s">
        <v>1844</v>
      </c>
      <c r="C98" s="89" t="s">
        <v>1845</v>
      </c>
      <c r="D98" s="55" t="s">
        <v>1846</v>
      </c>
      <c r="E98" s="115">
        <v>1.0</v>
      </c>
      <c r="F98" s="88" t="s">
        <v>1847</v>
      </c>
      <c r="G98" s="89" t="s">
        <v>1848</v>
      </c>
      <c r="H98" s="55" t="s">
        <v>1849</v>
      </c>
      <c r="I98" s="115">
        <v>1.0</v>
      </c>
      <c r="J98" s="88" t="s">
        <v>1850</v>
      </c>
      <c r="K98" s="89" t="s">
        <v>1851</v>
      </c>
      <c r="L98" s="55" t="s">
        <v>1852</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1853</v>
      </c>
      <c r="S98" s="95" t="s">
        <v>1854</v>
      </c>
      <c r="T98" s="52" t="s">
        <v>1855</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1856</v>
      </c>
      <c r="AE98" s="89" t="s">
        <v>1857</v>
      </c>
      <c r="AF98" s="55" t="s">
        <v>934</v>
      </c>
      <c r="AG98" s="119">
        <v>1.0</v>
      </c>
      <c r="AH98" s="120" t="s">
        <v>1858</v>
      </c>
      <c r="AI98" s="121" t="s">
        <v>1859</v>
      </c>
      <c r="AJ98" s="101" t="s">
        <v>1860</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211</v>
      </c>
      <c r="E1" s="57"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I1" s="57" t="s">
        <v>212</v>
      </c>
      <c r="M1" s="58"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Q1" s="5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U1" s="5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AG1" s="61" t="s">
        <v>1861</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hagas preguntas con esta información falsa.")</f>
        <v>Muchos de los textos brillantes en el suelo son mensajes engañosos de los jugadores.
Por favor, no hagas preguntas con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215</v>
      </c>
      <c r="B4" s="70" t="s">
        <v>1866</v>
      </c>
      <c r="C4" s="71" t="s">
        <v>217</v>
      </c>
      <c r="D4" s="72" t="s">
        <v>218</v>
      </c>
      <c r="E4" s="140" t="s">
        <v>215</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215</v>
      </c>
      <c r="J4" s="70" t="s">
        <v>1867</v>
      </c>
      <c r="K4" s="71" t="s">
        <v>220</v>
      </c>
      <c r="L4" s="72" t="s">
        <v>221</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215</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215</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215</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215</v>
      </c>
      <c r="AD4" s="70" t="s">
        <v>1868</v>
      </c>
      <c r="AE4" s="143" t="s">
        <v>1869</v>
      </c>
      <c r="AF4" s="72" t="s">
        <v>1870</v>
      </c>
      <c r="AG4" s="144" t="s">
        <v>1871</v>
      </c>
      <c r="AH4" s="145" t="s">
        <v>1872</v>
      </c>
      <c r="AI4" s="146" t="s">
        <v>1873</v>
      </c>
      <c r="AJ4" s="147" t="s">
        <v>234</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IFERROR(__xludf.DUMMYFUNCTION("GOOGLETRANSLATE(B5,""zh-tw"",""es-MX"")"),"Vete a casa temprano")</f>
        <v>Vete a casa temprano</v>
      </c>
      <c r="S5" s="89" t="str">
        <f>IFERROR(__xludf.DUMMYFUNCTION("GOOGLETRANSLATE(C5,""zh-tw"",""es-MX"")"),"En la calle de los aventureros, bajar desde el punto de partida es la forma de volver a casa temprano.")</f>
        <v>En la calle de los aventureros, bajar desde el punto de partida es la forma de volver a casa temprano.</v>
      </c>
      <c r="T5" s="55" t="str">
        <f>IFERROR(__xludf.DUMMYFUNCTION("GOOGLETRANSLATE(D5,""zh-tw"",""es-MX"")"),"La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rápido")</f>
        <v>Espada de paso rápido</v>
      </c>
      <c r="S6" s="89"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55" t="str">
        <f>IFERROR(__xludf.DUMMYFUNCTION("GOOGLETRANSLATE(D6,""zh-tw"",""es-MX"")"),"Habilidad aprendida: Katana Flash Step")</f>
        <v>Habilidad aprendida: Katana Flash Step</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de esgrima")</f>
        <v>Entrenamiento de esgrima</v>
      </c>
      <c r="S7" s="95" t="s">
        <v>1917</v>
      </c>
      <c r="T7" s="55" t="str">
        <f>IFERROR(__xludf.DUMMYFUNCTION("GOOGLETRANSLATE(D7,""zh-tw"",""es-MX"")"),"Durante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el tutorial?")</f>
        <v>¿Dónde puedo encontrar el tutorial?</v>
      </c>
      <c r="S8" s="95" t="s">
        <v>1934</v>
      </c>
      <c r="T8" s="55" t="str">
        <f>IFERROR(__xludf.DUMMYFUNCTION("GOOGLETRANSLATE(D8,""zh-tw"",""es-MX"")"),"Objeto obtenido: Perspectivas del Aventurero
*Se actualizará la historia próximamente.")</f>
        <v>Objeto obtenido: Perspectivas del Aventurero
*Se actualizará la historia próximamente.</v>
      </c>
      <c r="U8" s="150" t="str">
        <f>IFERROR(__xludf.DUMMYFUNCTION("GOOGLETRANSLATE(A8,""zh-tw"",""en"")"),"R4")</f>
        <v>R4</v>
      </c>
      <c r="V8" s="149" t="str">
        <f>IFERROR(__xludf.DUMMYFUNCTION("GOOGLETRANSLATE(B8,""zh-tw"",""KO"")"),"연습문제는 어디서 볼 수 있나요?")</f>
        <v>연습문제는 어디서 볼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пошаговое руководство?")</f>
        <v>Где я могу найти пошаговое руководство?</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722</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IFERROR(__xludf.DUMMYFUNCTION("GOOGLETRANSLATE(B9,""zh-tw"",""es-MX"")"),"La máquina expendedora de bebidas renace")</f>
        <v>La máquina expendedora de bebidas renace</v>
      </c>
      <c r="S9" s="89" t="str">
        <f>IFERROR(__xludf.DUMMYFUNCTION("GOOGLETRANSLATE(C9,""zh-tw"",""es-MX"")"),"Sendero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722</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55" t="str">
        <f>IFERROR(__xludf.DUMMYFUNCTION("GOOGLETRANSLATE(D10,""zh-tw"",""es-MX"")"),"Obtener objeto: Gel Mágico
Se usa para ampliar las ranuras de la mochila.")</f>
        <v>Obtener objeto: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tras la chimenea de la cabaña.
(El hacha se encuentra a la izquierda de la cabaña).")</f>
        <v>Sendero del Aventurero: Bosque
Recoge el hacha tras la chimenea de la cabaña.
(El hacha se encuentra a la izquierda de la cabaña).</v>
      </c>
      <c r="T11" s="55" t="str">
        <f>IFERROR(__xludf.DUMMYFUNCTION("GOOGLETRANSLATE(D11,""zh-tw"",""es-MX"")"),"Los $5000 se refrescarán después de que llueva, pero el monto será menor.")</f>
        <v>Los $5000 se refrescarán después de que llueva, pero el monto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55" t="str">
        <f>IFERROR(__xludf.DUMMYFUNCTION("GOOGLETRANSLATE(D12,""zh-tw"",""es-MX"")"),"Después de obtener ""JoyStation V"", podrás activar el juego con tu hermana al regresar a casa.")</f>
        <v>Después de obtener "JoyStation V", podrás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IFERROR(__xludf.DUMMYFUNCTION("GOOGLETRANSLATE(D13,""zh-tw"",""es-MX"")"),"Consigue el objeto ""Pato de goma""; se puede colocar dentro de la bañera.")</f>
        <v>Consigue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ruinas
Observaciones")</f>
        <v>Enlace al mapa de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5" s="55"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IFERROR(__xludf.DUMMYFUNCTION("GOOGLETRANSLATE(D17,""zh-tw"",""es-MX"")"),"Obtener arma - Chidori, historia de nota especial")</f>
        <v>Obtener arma - Chidori, historia de nota especial</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de abajo, hay un objeto oculto.")</f>
        <v>Sendero del Aventurero: Detrás del monumento de abajo,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los hongos brillantes para llegar al cofre del tesoro en la esquina inferior derecha del mapa.")</f>
        <v>En el bosque abandonado, sigue los hongos brillantes para llegar al cofre del tesoro en la esquina inferior derecha del mapa.</v>
      </c>
      <c r="T20" s="55" t="str">
        <f>IFERROR(__xludf.DUMMYFUNCTION("GOOGLETRANSLATE(D20,""zh-tw"",""es-MX"")"),"Consigue el arma ""Bastón de lava""")</f>
        <v>Consigue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IFERROR(__xludf.DUMMYFUNCTION("GOOGLETRANSLATE(D21,""zh-tw"",""es-MX"")"),"Obtener equipo - Anillo de hueso del ahorcado")</f>
        <v>Obtener equipo -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al destruir la tumba de la izquierda se revelará un pasaje oculto.")</f>
        <v>En la Tumba Olvidada, al destruir la tumba de la izquierda se revelará un pasaje oculto.</v>
      </c>
      <c r="T22" s="55" t="str">
        <f>IFERROR(__xludf.DUMMYFUNCTION("GOOGLETRANSLATE(D22,""zh-tw"",""es-MX"")"),"Los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al romper la losa de piedra de la derecha se revelará un pasaje oculto.")</f>
        <v>En la tumba olvidada, al romper la losa de piedra de la derecha se revelará un pasaje oculto.</v>
      </c>
      <c r="T23" s="55" t="str">
        <f>IFERROR(__xludf.DUMMYFUNCTION("GOOGLETRANSLATE(D23,""zh-tw"",""es-MX"")"),"Se pueden encontrar cofres del tesoro y puntos brillantes ocultos dentro del mapa oculto.")</f>
        <v>Se pueden encontrar cofres del tesoro y puntos brillantes ocultos dentro del mapa oculto.</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IFERROR(__xludf.DUMMYFUNCTION("GOOGLETRANSLATE(D24,""zh-tw"",""es-MX"")"),"Consigue el equipo ""Anillo de hueso del ahorcado"".")</f>
        <v>Consigue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5" s="55"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del lado izquierdo del ""Gran Cinturón de Lava de Coca-Cola"", hay un objeto oculto y un punto de recolección.")</f>
        <v>Detrás del pilar del lado izquierdo del "Gran Cinturón de Lava de Coca-Cola", hay un objeto oculto y un punto de recolección.</v>
      </c>
      <c r="T26" s="55" t="str">
        <f>IFERROR(__xludf.DUMMYFUNCTION("GOOGLETRANSLATE(D26,""zh-tw"",""es-MX"")"),"Equipo: Anillo de lava
*Este objeto se puede obtener repetidamente tras actualizar el mapa.")</f>
        <v>Equipo: Anillo de lava
*Este objeto se puede obtener repetidamente tras actualizar 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(Refresca en días lluviosos)")</f>
        <v>Objeto obtenido: Gel mágico x10 (Refresca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IFERROR(__xludf.DUMMYFUNCTION("GOOGLETRANSLATE(D30,""zh-tw"",""es-MX"")"),"Obtener arma - Espina de pescado apestosa")</f>
        <v>Obtener arma -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IFERROR(__xludf.DUMMYFUNCTION("GOOGLETRANSLATE(B32,""zh-tw"",""es-MX"")"),"Contenido descargable")</f>
        <v>Contenido descargable</v>
      </c>
      <c r="S32" s="95" t="s">
        <v>2326</v>
      </c>
      <c r="T32" s="55" t="str">
        <f>IFERROR(__xludf.DUMMYFUNCTION("GOOGLETRANSLATE(D32,""zh-tw"",""es-MX"")"),"Almas de las Sombras - DLC")</f>
        <v>Almas de las Sombras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5" s="55"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del calor.")</f>
        <v>Consigue un ventilador eléctrico. Historia paralela del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comerciante de la Tienda Misteriosa y dale un ""Salmón"".")</f>
        <v>Habla con el comerciante de la Tienda Misteriosa y dale un "Salmón".</v>
      </c>
      <c r="T41" s="55" t="str">
        <f>IFERROR(__xludf.DUMMYFUNCTION("GOOGLETRANSLATE(D41,""zh-tw"",""es-MX"")"),"Precio de la máquina de dulces reducido en $50
*El precio mínimo de la máquina de dulces es de $500")</f>
        <v>Precio de la máquina de dulces reducido en $50
*El precio mínimo de la máquina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comerciante de la Tienda Misteriosa y dale ""Rey Salmón"".")</f>
        <v>Habla con el comerciante de la Tienda Misteriosa y dale "Rey Salmón".</v>
      </c>
      <c r="T42" s="55"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tendero de la Tienda Misteriosa y ""no le des"" el salmón.")</f>
        <v>Habla con el tendero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IFERROR(__xludf.DUMMYFUNCTION("GOOGLETRANSLATE(C44,""zh-tw"",""es-MX"")"),"Siguiendo con el punto anterior, dárselo a un salmón real puede eliminar la maldición.")</f>
        <v>Siguiendo con el punto anterior, dárselo a un salmón real puede eliminar la maldición.</v>
      </c>
      <c r="T44" s="55" t="str">
        <f>IFERROR(__xludf.DUMMYFUNCTION("GOOGLETRANSLATE(D44,""zh-tw"",""es-MX"")"),"Quitar la maldición")</f>
        <v>Quitar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IFERROR(__xludf.DUMMYFUNCTION("GOOGLETRANSLATE(B45,""zh-tw"",""es-MX"")"),"Tienda Misteriosa - 6")</f>
        <v>Tienda Misteriosa - 6</v>
      </c>
      <c r="S45" s="89"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55" t="str">
        <f>IFERROR(__xludf.DUMMYFUNCTION("GOOGLETRANSLATE(D45,""zh-tw"",""es-MX"")"),"Compra para recibir el artículo ""Bollo al vapor suave y masticable súper sensible"".")</f>
        <v>Compra para recibir el artículo "Bollo al vapor suave y masticable súper sensible".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민감한 부드럽고 쫄깃한 찐빵"" 상품을 받으려면 구매하세요.")</f>
        <v>"매우 민감한 부드럽고 쫄깃한 찐빵" 상품을 받으려면 구매하세요.</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7" s="55" t="str">
        <f>IFERROR(__xludf.DUMMYFUNCTION("GOOGLETRANSLATE(D47,""zh-tw"",""es-MX"")"),"Consigue el artículo ""Líquido de Médula Roja""")</f>
        <v>Consigue el artículo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de piedra celestial 2")</f>
        <v>Fragmento de piedra celestial 2</v>
      </c>
      <c r="S48" s="89" t="str">
        <f>IFERROR(__xludf.DUMMYFUNCTION("GOOGLETRANSLATE(C48,""zh-tw"",""es-MX"")"),"El hermano mayor puede beber este artículo y obtener el efecto de estado.")</f>
        <v>El hermano mayor puede beber este artículo y obtener el efecto de estado.</v>
      </c>
      <c r="T48" s="55" t="str">
        <f>IFERROR(__xludf.DUMMYFUNCTION("GOOGLETRANSLATE(D48,""zh-tw"",""es-MX"")"),"Ganancia de estado
*Se desarrollan diferentes historias según si la bebida se administra antes o después de curar a la hermana.")</f>
        <v>Ganancia de estado
*Se desarrollan diferentes historias según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이 아이템을 마시면 상태 효과를 얻을 수 있습니다.")</f>
        <v>형은 이 아이템을 마시면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IFERROR(__xludf.DUMMYFUNCTION("GOOGLETRANSLATE(D50,""zh-tw"",""es-MX"")"),"Equipo: Misericordia de la Santa Doncella")</f>
        <v>Equipo: Misericordia de la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IFERROR(__xludf.DUMMYFUNCTION("GOOGLETRANSLATE(B51,""zh-tw"",""es-MX"")"),"Coche de tienda-1")</f>
        <v>Coche de tienda-1</v>
      </c>
      <c r="S51" s="95" t="s">
        <v>2628</v>
      </c>
      <c r="T51" s="55"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tienda-2")</f>
        <v>Camión de tienda-2</v>
      </c>
      <c r="S52" s="89" t="str">
        <f>IFERROR(__xludf.DUMMYFUNCTION("GOOGLETRANSLATE(C52,""zh-tw"",""es-MX"")"),"Robo de productos de un carrito de compras")</f>
        <v>Robo de productos de un carrito de compras</v>
      </c>
      <c r="T52" s="55"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tienda-3")</f>
        <v>Camión de tienda-3</v>
      </c>
      <c r="S53" s="95" t="s">
        <v>2661</v>
      </c>
      <c r="T53" s="55"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IFERROR(__xludf.DUMMYFUNCTION("GOOGLETRANSLATE(B54,""zh-tw"",""es-MX"")"),"Coche de taller-4")</f>
        <v>Coche de taller-4</v>
      </c>
      <c r="S54" s="95" t="s">
        <v>2661</v>
      </c>
      <c r="T54" s="55"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592</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tienda-5")</f>
        <v>Camión de tienda-5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6" s="176" t="str">
        <f>IFERROR(__xludf.DUMMYFUNCTION("GOOGLETRANSLATE(D56,""zh-tw"",""es-MX"")"),"Objeto obtenido: Corazón de espantapájaros")</f>
        <v>Objeto obtenido: Corazón de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55"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0" t="str">
        <f>IFERROR(__xludf.DUMMYFUNCTION("GOOGLETRANSLATE(A59,""zh-tw"",""en"")"),"R55")</f>
        <v>R55</v>
      </c>
      <c r="V59" s="149" t="str">
        <f>IFERROR(__xludf.DUMMYFUNCTION("GOOGLETRANSLATE(B59,""zh-tw"",""KO"")"),"다자오 뜨거운 용암대")</f>
        <v>다자오 뜨거운 용암대</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IFERROR(__xludf.DUMMYFUNCTION("GOOGLETRANSLATE(B59,""zh-tw"",""ru"")"),"Пояс горячей лавы Дацзяо")</f>
        <v>Пояс горячей лавы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R16, apareció una criatura desconocida.")</f>
        <v>Al igual que R16, apareció una criatura desconocida.</v>
      </c>
      <c r="T60" s="55" t="str">
        <f>IFERROR(__xludf.DUMMYFUNCTION("GOOGLETRANSLATE(D60,""zh-tw"",""es-MX"")"),"La configuración inicial del BOSS Beetle actualmente no es efectiva.")</f>
        <v>La configuración inicial del BOSS Beetle actualmente no es efectiva.</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tienda-6")</f>
        <v>Camión de tienda-6</v>
      </c>
      <c r="S61" s="89" t="str">
        <f>IFERROR(__xludf.DUMMYFUNCTION("GOOGLETRANSLATE(C61,""zh-tw"",""es-MX"")"),"Uno de los artículos fijos en el carrito de la tienda.")</f>
        <v>Uno de los artículos fijos en el carrito de la tienda.</v>
      </c>
      <c r="T61" s="55"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IFERROR(__xludf.DUMMYFUNCTION("GOOGLETRANSLATE(B62,""zh-tw"",""es-MX"")"),"Vehículo de tienda-7")</f>
        <v>Vehículo de tienda-7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de desarrollo (pozo minero) -2")</f>
        <v>Área de desarrollo (pozo minero) -2</v>
      </c>
      <c r="S63" s="89" t="str">
        <f>IFERROR(__xludf.DUMMYFUNCTION("GOOGLETRANSLATE(C63,""zh-tw"",""es-MX"")"),"Desde la parte trasera del área en desarrollo (mina)-1, puedes acceder al siguiente mapa.")</f>
        <v>Desde la parte trasera del área en desarrollo (mina)-1, puedes acceder al siguiente mapa.</v>
      </c>
      <c r="T63" s="55" t="str">
        <f>IFERROR(__xludf.DUMMYFUNCTION("GOOGLETRANSLATE(D63,""zh-tw"",""es-MX"")"),"Llegada al ""Área de Desarrollo (Mina)-2""")</f>
        <v>Llegada al "Área de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IFERROR(__xludf.DUMMYFUNCTION("GOOGLETRANSLATE(D64,""zh-tw"",""es-MX"")"),"Después de limpiar las rocas, puede conectarse a las cuevas de la montaña.")</f>
        <v>Después de limpiar las rocas, puede conectarse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연결될 수 있습니다.")</f>
        <v>바위를 치운 후, 산 속 동굴로 연결될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камни, можно соединиться с пещерами в горе.")</f>
        <v>Расчистив камни,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de desarrollo (pozo minero) -3")</f>
        <v>Área de desarrollo (pozo minero) -3</v>
      </c>
      <c r="S65" s="89" t="str">
        <f>IFERROR(__xludf.DUMMYFUNCTION("GOOGLETRANSLATE(C65,""zh-tw"",""es-MX"")"),"En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5" s="55" t="str">
        <f>IFERROR(__xludf.DUMMYFUNCTION("GOOGLETRANSLATE(D65,""zh-tw"",""es-MX"")"),"Llegada al ""Área de Desarrollo (Mina)-3""")</f>
        <v>Llegada al "Área de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de desarrollo (pozo minero) -4")</f>
        <v>Área de desarrollo (pozo minero) -4</v>
      </c>
      <c r="S66" s="89"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55" t="str">
        <f>IFERROR(__xludf.DUMMYFUNCTION("GOOGLETRANSLATE(D66,""zh-tw"",""es-MX"")"),"Llegada al ""Área de Desarrollo (Mina)-4""")</f>
        <v>Llegada al "Área de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7" s="55" t="str">
        <f>IFERROR(__xludf.DUMMYFUNCTION("GOOGLETRANSLATE(D67,""zh-tw"",""es-MX"")"),"Llegada a ""La Tumba Olvidada-1""")</f>
        <v>Llegada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8" s="55" t="str">
        <f>IFERROR(__xludf.DUMMYFUNCTION("GOOGLETRANSLATE(D68,""zh-tw"",""es-MX"")"),"Llegando al ""Bosque de las Ruinas""")</f>
        <v>Llegando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BOSS de Maid Bunny -1")</f>
        <v>Área BOSS de Maid Bunny -1</v>
      </c>
      <c r="S69" s="89" t="str">
        <f>IFERROR(__xludf.DUMMYFUNCTION("GOOGLETRANSLATE(C69,""zh-tw"",""es-MX"")"),"Puedes llegar al área del jefe de Maid Bunny usando un método de movimiento especial en el ""Bosque en Ruinas"".")</f>
        <v>Puedes llegar al área del jefe de Maid Bunny usando un método de movimiento especial en el "Bosque en Ruinas".</v>
      </c>
      <c r="T69" s="55" t="str">
        <f>IFERROR(__xludf.DUMMYFUNCTION("GOOGLETRANSLATE(D69,""zh-tw"",""es-MX"")"),"Llega a la zona del JEFE.
P.D.: Por ejemplo: las plumas del pájaro monstruo se pueden usar para levitar.")</f>
        <v>Llega a la zona del JEFE.
P.D.: Por ejemplo: las plumas del pájaro monstruo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IFERROR(__xludf.DUMMYFUNCTION("GOOGLETRANSLATE(B70,""zh-tw"",""es-MX"")"),"Área BOSS de Maid Bunny - 2")</f>
        <v>Área BOSS de Maid Bunny - 2</v>
      </c>
      <c r="S70" s="89" t="str">
        <f>IFERROR(__xludf.DUMMYFUNCTION("GOOGLETRANSLATE(C70,""zh-tw"",""es-MX"")"),"El cofre del tesoro frente al área BOSS explotará cuando se abra, lo que causará daño a los jugadores o enemigos.")</f>
        <v>El cofre del tesoro frente al área BOSS explotará cuando se abra, lo que causará daño a los jugadores o enemigos.</v>
      </c>
      <c r="T70" s="55" t="str">
        <f>IFERROR(__xludf.DUMMYFUNCTION("GOOGLETRANSLATE(D70,""zh-tw"",""es-MX"")"),"Por favor abrir con precaución. *No se reiniciará.")</f>
        <v>Por favor abrir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*Сброс невозможен.")</f>
        <v>Открывайте осторожно. *Сброс невозможен.</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IFERROR(__xludf.DUMMYFUNCTION("GOOGLETRANSLATE(B71,""zh-tw"",""es-MX"")"),"Área del JEFE de Maid Rabbit - 3")</f>
        <v>Área del JEFE de Maid Rabbit - 3</v>
      </c>
      <c r="S71" s="89"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55" t="str">
        <f>IFERROR(__xludf.DUMMYFUNCTION("GOOGLETRANSLATE(D71,""zh-tw"",""es-MX"")"),"Invocar Jefe - El Conejo Blanco del Pequeño Jardín")</f>
        <v>Invocar Jefe - El Conejo Blanco del Pequeño Jardín</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«Горничная Кролик» - 3")</f>
        <v>Зона Босса «Горничная Кролик»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IFERROR(__xludf.DUMMYFUNCTION("GOOGLETRANSLATE(B72,""zh-tw"",""es-MX"")"),"Área del jefe de Maid Rabbit -4")</f>
        <v>Área del jefe de Maid Rabbit -4</v>
      </c>
      <c r="S72" s="89" t="str">
        <f>IFERROR(__xludf.DUMMYFUNCTION("GOOGLETRANSLATE(C72,""zh-tw"",""es-MX"")"),"Derrota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2" s="55" t="str">
        <f>IFERROR(__xludf.DUMMYFUNCTION("GOOGLETRANSLATE(D72,""zh-tw"",""es-MX"")"),"Posibilidad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IFERROR(__xludf.DUMMYFUNCTION("GOOGLETRANSLATE(B73,""zh-tw"",""es-MX"")"),"Logia del cazador")</f>
        <v>Logia del cazador</v>
      </c>
      <c r="S73" s="89" t="str">
        <f>IFERROR(__xludf.DUMMYFUNCTION("GOOGLETRANSLATE(C73,""zh-tw"",""es-MX"")"),"La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3" s="55" t="str">
        <f>IFERROR(__xludf.DUMMYFUNCTION("GOOGLETRANSLATE(D73,""zh-tw"",""es-MX"")"),"Equipo adquirido: Traje de cazador, Cinturón de cazador
*Se espera la incorporación de un PNJ próximamente.")</f>
        <v>Equipo adquirido: Traje de cazador, Cinturón de cazador
*Se espera la incorporación de un PNJ próximamente.</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IFERROR(__xludf.DUMMYFUNCTION("GOOGLETRANSLATE(B74,""zh-tw"",""es-MX"")"),"Hunter's Lodge - Sótano")</f>
        <v>Hunter's Lodge - Sótano</v>
      </c>
      <c r="S74" s="89" t="str">
        <f>IFERROR(__xludf.DUMMYFUNCTION("GOOGLETRANSLATE(C74,""zh-tw"",""es-MX"")"),"Hay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4" s="55" t="str">
        <f>IFERROR(__xludf.DUMMYFUNCTION("GOOGLETRANSLATE(D74,""zh-tw"",""es-MX"")"),"Equipo adquirido: Daga del cazador, Insignia del maestro de la espada guardián")</f>
        <v>Equipo adquirido: Daga del cazador, Insignia del maestro de la espada guardián</v>
      </c>
      <c r="U74" s="84" t="s">
        <v>2977</v>
      </c>
      <c r="V74" s="149"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사냥꾼의 단검, 수호자의 검술사 배지")</f>
        <v>획득 장비: 사냥꾼의 단검, 수호자의 검술사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IFERROR(__xludf.DUMMYFUNCTION("GOOGLETRANSLATE(B75,""zh-tw"",""es-MX"")"),"Objetos ocultos")</f>
        <v>Objetos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Hoja Guardiana")</f>
        <v>Equipo obtenido: Medalla de la Hoja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IFERROR(__xludf.DUMMYFUNCTION("GOOGLETRANSLATE(B76,""zh-tw"",""es-MX"")"),"Objetos ocultos")</f>
        <v>Objetos ocultos</v>
      </c>
      <c r="S76" s="89" t="str">
        <f>IFERROR(__xludf.DUMMYFUNCTION("GOOGLETRANSLATE(C76,""zh-tw"",""es-MX"")"),"La caja de madera brillante se encuentra en el lado izquierdo después de ingresar al ""Área de Desarrollo (Mina)-3"".")</f>
        <v>La caja de madera brillante se encuentra en el lado izquierdo después de ingresar al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IFERROR(__xludf.DUMMYFUNCTION("GOOGLETRANSLATE(B77,""zh-tw"",""es-MX"")"),"Objetos ocultos")</f>
        <v>Objetos ocultos</v>
      </c>
      <c r="S77" s="89" t="str">
        <f>IFERROR(__xludf.DUMMYFUNCTION("GOOGLETRANSLATE(C77,""zh-tw"",""es-MX"")"),"Los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7" s="55" t="str">
        <f>IFERROR(__xludf.DUMMYFUNCTION("GOOGLETRANSLATE(D77,""zh-tw"",""es-MX"")"),"Equipo obtenido: Espada de gemas")</f>
        <v>Equipo obtenido: Espada de gemas</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самоцветов")</f>
        <v>Полученное снаряжение: Меч из самоцветов</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IFERROR(__xludf.DUMMYFUNCTION("GOOGLETRANSLATE(B78,""zh-tw"",""es-MX"")"),"Objetos ocultos")</f>
        <v>Objetos ocultos</v>
      </c>
      <c r="S78" s="89" t="str">
        <f>IFERROR(__xludf.DUMMYFUNCTION("GOOGLETRANSLATE(C78,""zh-tw"",""es-MX"")"),"En la zona de desarrollo (mina)-4, encima de la escalera central, hay un punto brillante.")</f>
        <v>En la zona de desarrollo (mina)-4, encima de la escalera central, hay un punto brillante.</v>
      </c>
      <c r="T78" s="55" t="str">
        <f>IFERROR(__xludf.DUMMYFUNCTION("GOOGLETRANSLATE(D78,""zh-tw"",""es-MX"")"),"Obtener equipo: Espada de hierro oxidado")</f>
        <v>Obtener equipo: Espada de hierro oxidado</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IFERROR(__xludf.DUMMYFUNCTION("GOOGLETRANSLATE(B79,""zh-tw"",""es-MX"")"),"Objetos ocultos")</f>
        <v>Objetos ocultos</v>
      </c>
      <c r="S79" s="89" t="str">
        <f>IFERROR(__xludf.DUMMYFUNCTION("GOOGLETRANSLATE(C79,""zh-tw"",""es-MX"")"),"En la zona de desarrollo (mina) -4, a la izquierda después de bajar la escalera central.")</f>
        <v>En la zona de desarrollo (mina) -4, a la izquierda después de bajar la escalera central.</v>
      </c>
      <c r="T79" s="55" t="str">
        <f>IFERROR(__xludf.DUMMYFUNCTION("GOOGLETRANSLATE(D79,""zh-tw"",""es-MX"")"),"Adquirir equipo: Gólem de hierro Las reglas para el Gólem de hierro se explican en los Consejos.")</f>
        <v>Adquirir equipo: Gólem de hierro Las reglas para 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IFERROR(__xludf.DUMMYFUNCTION("GOOGLETRANSLATE(B80,""zh-tw"",""es-MX"")"),"Objetos ocultos")</f>
        <v>Objetos ocultos</v>
      </c>
      <c r="S80" s="89"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IFERROR(__xludf.DUMMYFUNCTION("GOOGLETRANSLATE(C81,""zh-tw"",""es-MX"")"),"Alimentar a ASABA - ""comida normal""")</f>
        <v>Alimentar a ASABA - "comida normal"</v>
      </c>
      <c r="T81" s="55" t="str">
        <f>IFERROR(__xludf.DUMMYFUNCTION("GOOGLETRANSLATE(D81,""zh-tw"",""es-MX"")"),"No hubo reacción alguna y la repetición del mismo pudo incluso generar aversión.")</f>
        <v>No hubo reacción alguna y la repetición del mismo pudo incluso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""Ahoge de la hermana""")</f>
        <v>Alimentando a ASABA -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""Fresa"" te otorgará un beneficio.")</f>
        <v>Alimentar a ASABA "Fresa" te otorgará un beneficio.</v>
      </c>
      <c r="T83" s="55" t="str">
        <f>IFERROR(__xludf.DUMMYFUNCTION("GOOGLETRANSLATE(D83,""zh-tw"",""es-MX"")"),"Obtener BUFF")</f>
        <v>Obtener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""Fresa de ASABA"" iniciará una batalla contra un JEFE.")</f>
        <v>Alimentar a ASABA con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6" s="55" t="str">
        <f>IFERROR(__xludf.DUMMYFUNCTION("GOOGLETRANSLATE(D86,""zh-tw"",""es-MX"")"),"Consigue el equipo ""¡Recupera las fresas!""
(Consulta la barra de habilidades para ver los comandos)")</f>
        <v>Consigue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mientras estás friendo pescado.")</f>
        <v>Este pequeño monstruo podría aparecer mientras estás friendo pescado.</v>
      </c>
      <c r="T87" s="55" t="str">
        <f>IFERROR(__xludf.DUMMYFUNCTION("GOOGLETRANSLATE(D87,""zh-tw"",""es-MX"")"),"Tortuga Sakaban (Pequeña) - Obtienes al derrotarla: ◉▽◉ (Azul)")</f>
        <v>Tortuga Sakaban (Pequeña) - Obtienes al derrotarla: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poca probabilidad al freír pescado.")</f>
        <v>Este monstruo puede aparecer con poca probabilidad al freír pescado.</v>
      </c>
      <c r="T88" s="55" t="str">
        <f>IFERROR(__xludf.DUMMYFUNCTION("GOOGLETRANSLATE(D88,""zh-tw"",""es-MX"")"),"Tortuga Sakaban (Grande) - Obtienes al derrotarla: ◉▽◉ (Morado)")</f>
        <v>Tortuga Sakaban (Grande) - Obtienes al derrotarla: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89" s="55" t="str">
        <f>IFERROR(__xludf.DUMMYFUNCTION("GOOGLETRANSLATE(D89,""zh-tw"",""es-MX"")"),"Jefe de invocación: ¡El Señor del Río, que debería estar extinto! (Rey Tortuga)
Botín al derrotar: Decreto Real, ◉▽◉ (Rosa)")</f>
        <v>Jefe de invocación: ¡El Señor del Río, que debería estar extinto! (Rey Tortuga)
Botín al derrotar: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8" t="str">
        <f>IFERROR(__xludf.DUMMYFUNCTION("GOOGLETRANSLATE(B89,""zh-tw"",""ru"")"),"♔
◉▽◉")</f>
        <v>♔
◉▽◉</v>
      </c>
      <c r="AA89" s="151" t="str">
        <f>IFERROR(__xludf.DUMMYFUNCTION("GOOGLETRANSLATE(C89,""zh-tw"",""RU"")"),"При достаточной редкой возможности и соблюдении условий местности может быть вызван БОСС.
(Подробное объяснение в СОВЕТАХ)")</f>
        <v>При достаточной редкой возможности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1" s="55" t="str">
        <f>IFERROR(__xludf.DUMMYFUNCTION("GOOGLETRANSLATE(D91,""zh-tw"",""es-MX"")"),"Obtenido: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589</v>
      </c>
      <c r="E92" s="84" t="s">
        <v>3191</v>
      </c>
      <c r="F92" s="148" t="s">
        <v>3194</v>
      </c>
      <c r="G92" s="178" t="s">
        <v>3195</v>
      </c>
      <c r="H92" s="179" t="s">
        <v>592</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IFERROR(__xludf.DUMMYFUNCTION("GOOGLETRANSLATE(C92,""zh-tw"",""es-MX"")"),"Después de descongelar la Espada Magna de Zanahoria Congelada en una fogata, podrás obtener la Espada Magna de Zanahoria Mohosa.")</f>
        <v>Después de descongelar la Espada Magna de Zanahoria Congelada en una fogata, podrás obtener la Espada Magna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607</v>
      </c>
      <c r="AG92" s="118" t="s">
        <v>3191</v>
      </c>
      <c r="AH92" s="154" t="s">
        <v>3199</v>
      </c>
      <c r="AI92" s="155" t="s">
        <v>3200</v>
      </c>
      <c r="AJ92" s="164" t="s">
        <v>3201</v>
      </c>
      <c r="AK92" s="122"/>
      <c r="AL92" s="122"/>
    </row>
    <row r="93">
      <c r="A93" s="84" t="s">
        <v>3202</v>
      </c>
      <c r="B93" s="148" t="s">
        <v>3203</v>
      </c>
      <c r="C93" s="95" t="s">
        <v>3204</v>
      </c>
      <c r="D93" s="52" t="s">
        <v>589</v>
      </c>
      <c r="E93" s="84" t="s">
        <v>3202</v>
      </c>
      <c r="F93" s="148" t="s">
        <v>3205</v>
      </c>
      <c r="G93" s="178" t="s">
        <v>3206</v>
      </c>
      <c r="H93" s="179" t="s">
        <v>592</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IFERROR(__xludf.DUMMYFUNCTION("GOOGLETRANSLATE(B93,""zh-tw"",""es-MX"")"),"Espada larga de zanahoria - 1")</f>
        <v>Espada larga de zanahoria - 1</v>
      </c>
      <c r="S93" s="89" t="str">
        <f>IFERROR(__xludf.DUMMYFUNCTION("GOOGLETRANSLATE(C93,""zh-tw"",""es-MX"")"),"Si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607</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211</v>
      </c>
      <c r="B1" s="207"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8" t="s">
        <v>212</v>
      </c>
      <c r="D1" s="207"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10"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86" t="s">
        <v>1861</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IFERROR(__xludf.DUMMYFUNCTION("GOOGLETRANSLATE(A3,""zh-tw"",""ja"")"),"異なるバージョン間でゲームを保存するには、ファイルを www-&gt;save から新しいバージョンの同じ場所に移動するだけです。")</f>
        <v>異なるバージョン間でゲームを保存するには、ファイルを www-&gt;save から新しいバージョンの同じ場所に移動するだけです。</v>
      </c>
      <c r="C3" s="52" t="s">
        <v>3213</v>
      </c>
      <c r="D3" s="212" t="s">
        <v>3214</v>
      </c>
      <c r="E3" s="55" t="str">
        <f>IFERROR(__xludf.DUMMYFUNCTION("GOOGLETRANSLATE(A3,""zh-tw"",""es-MX"")"),"Para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3" s="213" t="str">
        <f>IFERROR(__xludf.DUMMYFUNCTION("GOOGLETRANSLATE(A3,""zh-tw"",""KO"")"),"여러 버전으로 게임을 저장하려면 www-&gt;save에서 새 버전의 동일한 위치로 파일을 옮기기만 하면 됩니다.")</f>
        <v>여러 버전으로 게임을 저장하려면 www-&gt;save에서 새 버전의 동일한 위치로 파일을 옮기기만 하면 됩니다.</v>
      </c>
      <c r="G3" s="55" t="str">
        <f>IFERROR(__xludf.DUMMYFUNCTION("GOOGLETRANSLATE(A3,""zh-tw"",""ru"")"),"Чтобы сохранить игру в разных версиях, просто переместите файлы из www-&gt;save в то же место в новой версии.")</f>
        <v>Чтобы сохранить игру в разных версиях, просто переместите файлы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 animación y las variaciones musicales.")</f>
        <v>ALT puede acelerar el rendimiento de la animación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 conversación.")</f>
        <v>CTRL puede acelerar la conversación.</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avanza el diálogo.")</f>
        <v>La tecla Z avanza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IFERROR(__xludf.DUMMYFUNCTION("GOOGLETRANSLATE(A7,""zh-tw"",""es-MX"")"),"Después de obtener la cámara, la F7 puede tomar una captura de pantalla rápidamente.")</f>
        <v>Después de obtener la cámara, la F7 puede tomar una captura de pantalla rápidamente.</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IFERROR(__xludf.DUMMYFUNCTION("GOOGLETRANSLATE(A8,""zh-tw"",""es-MX"")"),"Presione F12 para mostrar la consola.")</f>
        <v>Presione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Consigue 2 corazones primero.")</f>
        <v>¿Quieres bañarte con tu hermana? Consigue 2 corazones primero.</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un cierto valor.")</f>
        <v>La incursión nocturna solo se activará cuando la libido del hermano mayor supere un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gashapon por detrás y aparecerá.")</f>
        <v>Acércate a la máquina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de Gacha se pueden usar para atacar con armas a distancia y se pueden abrir rápidamente.")</f>
        <v>Los premios de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en la máquina gashapon tiene solo un 2% de posibilidades de aparecer.")</f>
        <v>El huevo dorado en la máquina gashapon tiene solo un 2% de posibilidades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amor por las máquinas gashapon es similar al de mi hermana.")</f>
        <v>Mi amor por las máquinas gashapon es similar al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posicionado, puede destruirse y volver a invocarse.")</f>
        <v>Si el portal de invocación está mal posicionado, puede destruirse y volver a invocarse.</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 desaparezca.")</f>
        <v>El nombre del mapa cambiará después de que el mech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IFERROR(__xludf.DUMMYFUNCTION("GOOGLETRANSLATE(A24,""zh-tw"",""zh"")"),"矿车行进中，可使用远距离武器攻击方向舵")</f>
        <v>矿车行进中，可使用远距离武器攻击方向舵</v>
      </c>
      <c r="E24" s="55" t="str">
        <f>IFERROR(__xludf.DUMMYFUNCTION("GOOGLETRANSLATE(A24,""zh-tw"",""es-MX"")"),"Mientras el carro minero esté en movimiento, el timón puede ser atacado con armas de largo alcance.")</f>
        <v>Mientras el carro minero esté en movimiento, el timón puede ser atacado con armas de largo alcance.</v>
      </c>
      <c r="F24" s="213" t="str">
        <f>IFERROR(__xludf.DUMMYFUNCTION("GOOGLETRANSLATE(A24,""zh-tw"",""KO"")"),"미니카트가 움직이는 동안 방향타는 장거리 무기로 공격받을 수 있습니다.")</f>
        <v>미니카트가 움직이는 동안 방향타는 장거리 무기로 공격받을 수 있습니다.</v>
      </c>
      <c r="G24" s="5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12" t="s">
        <v>3310</v>
      </c>
      <c r="I24" s="183"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IFERROR(__xludf.DUMMYFUNCTION("GOOGLETRANSLATE(A25,""zh-tw"",""zh"")"),"电击类武器碰到水...你懂的~ 包含下雨天")</f>
        <v>电击类武器碰到水...你懂的~ 包含下雨天</v>
      </c>
      <c r="E25" s="55"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3" t="str">
        <f>IFERROR(__xludf.DUMMYFUNCTION("GOOGLETRANSLATE(A25,""zh-tw"",""KO"")"),"전기 충격 무기가 물에 닿으면... 무슨 뜻인지 아시죠~ 비오는 날도 포함해서요.")</f>
        <v>전기 충격 무기가 물에 닿으면... 무슨 뜻인지 아시죠~ 비오는 날도 포함해서요.</v>
      </c>
      <c r="G25" s="5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IFERROR(__xludf.DUMMYFUNCTION("GOOGLETRANSLATE(A26,""zh-tw"",""zh"")"),"炸弹除了无视防御炸岩石、炸水面，还可以炸自己")</f>
        <v>炸弹除了无视防御炸岩石、炸水面，还可以炸自己</v>
      </c>
      <c r="E26" s="55"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3"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5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12" t="s">
        <v>3320</v>
      </c>
      <c r="I26" s="183" t="s">
        <v>3321</v>
      </c>
      <c r="J26" s="46"/>
      <c r="K26" s="46"/>
      <c r="L26" s="46"/>
      <c r="M26" s="46"/>
      <c r="N26" s="46"/>
      <c r="O26" s="46"/>
      <c r="P26" s="46"/>
      <c r="Q26" s="46"/>
      <c r="R26" s="46"/>
      <c r="S26" s="46"/>
      <c r="T26" s="46"/>
      <c r="U26" s="46"/>
      <c r="V26" s="46"/>
      <c r="W26" s="46"/>
    </row>
    <row r="27">
      <c r="A27" s="52" t="s">
        <v>3322</v>
      </c>
      <c r="B27" s="212" t="str">
        <f>IFERROR(__xludf.DUMMYFUNCTION("GOOGLETRANSLATE(A27,""zh-tw"",""ja"")"),"ナイトはいい匂いがするらしいので、今後に期待してもいいかもしれません。")</f>
        <v>ナイトはいい匂いがするらしいので、今後に期待してもいいかもしれません。</v>
      </c>
      <c r="C27" s="52" t="s">
        <v>3323</v>
      </c>
      <c r="D27" s="212" t="s">
        <v>3324</v>
      </c>
      <c r="E27" s="55" t="str">
        <f>IFERROR(__xludf.DUMMYFUNCTION("GOOGLETRANSLATE(A27,""zh-tw"",""es-MX"")"),"Escuché... el Caballero huele muy bien, tal vez podamos mirar hacia el futuro.")</f>
        <v>Escuché... el Caballero huele muy bien, tal vez podamos mirar hacia el futuro.</v>
      </c>
      <c r="F27" s="213"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5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12" t="s">
        <v>3325</v>
      </c>
      <c r="I27" s="183" t="s">
        <v>3326</v>
      </c>
      <c r="J27" s="46"/>
      <c r="K27" s="46"/>
      <c r="L27" s="46"/>
      <c r="M27" s="46"/>
      <c r="N27" s="46"/>
      <c r="O27" s="46"/>
      <c r="P27" s="46"/>
      <c r="Q27" s="46"/>
      <c r="R27" s="46"/>
      <c r="S27" s="46"/>
      <c r="T27" s="46"/>
      <c r="U27" s="46"/>
      <c r="V27" s="46"/>
      <c r="W27" s="46"/>
    </row>
    <row r="28">
      <c r="A28" s="215" t="s">
        <v>3327</v>
      </c>
      <c r="B28" s="212" t="s">
        <v>3328</v>
      </c>
      <c r="C28" s="52" t="s">
        <v>3329</v>
      </c>
      <c r="D28" s="212" t="s">
        <v>3330</v>
      </c>
      <c r="E28" s="55" t="str">
        <f>IFERROR(__xludf.DUMMYFUNCTION("GOOGLETRANSLATE(A28,""zh-tw"",""es-MX"")"),"¿Cuál es la talla de sujetador de mi hermana? He oído que es G~H.")</f>
        <v>¿Cuál es la talla de sujetador de mi hermana? He oído que es G~H.</v>
      </c>
      <c r="F28" s="213" t="str">
        <f>IFERROR(__xludf.DUMMYFUNCTION("GOOGLETRANSLATE(A28,""zh-tw"",""KO"")"),"제 여동생 브라 사이즈가 몇이야? G~H라고 들었어요.")</f>
        <v>제 여동생 브라 사이즈가 몇이야? G~H라고 들었어요.</v>
      </c>
      <c r="G28" s="55" t="str">
        <f>IFERROR(__xludf.DUMMYFUNCTION("GOOGLETRANSLATE(A28,""zh-tw"",""ru"")"),"Какой размер бюстгальтера у моей сестры? Я слышал, что G~H.")</f>
        <v>Какой размер бюстгальтера у моей сестры? Я слышал, что G~H.</v>
      </c>
      <c r="H28" s="212" t="s">
        <v>3331</v>
      </c>
      <c r="I28" s="183" t="s">
        <v>3332</v>
      </c>
      <c r="J28" s="46"/>
      <c r="K28" s="46"/>
      <c r="L28" s="46"/>
      <c r="M28" s="46"/>
      <c r="N28" s="46"/>
      <c r="O28" s="46"/>
      <c r="P28" s="46"/>
      <c r="Q28" s="46"/>
      <c r="R28" s="46"/>
      <c r="S28" s="46"/>
      <c r="T28" s="46"/>
      <c r="U28" s="46"/>
      <c r="V28" s="46"/>
      <c r="W28" s="46"/>
    </row>
    <row r="29">
      <c r="A29" s="52" t="s">
        <v>3333</v>
      </c>
      <c r="B29" s="212" t="s">
        <v>3334</v>
      </c>
      <c r="C29" s="52" t="s">
        <v>3335</v>
      </c>
      <c r="D29" s="212" t="str">
        <f>IFERROR(__xludf.DUMMYFUNCTION("GOOGLETRANSLATE(A29,""zh-tw"",""zh"")"),"当成为贤者的哥哥在胡思乱想时...")</f>
        <v>当成为贤者的哥哥在胡思乱想时...</v>
      </c>
      <c r="E29" s="55" t="str">
        <f>IFERROR(__xludf.DUMMYFUNCTION("GOOGLETRANSLATE(A29,""zh-tw"",""es-MX"")"),"Mientras el hermano mayor, ahora un sabio, estaba perdido en sus pensamientos...")</f>
        <v>Mientras el hermano mayor, ahora un sabio, estaba perdido en sus pensamientos...</v>
      </c>
      <c r="F29" s="213" t="str">
        <f>IFERROR(__xludf.DUMMYFUNCTION("GOOGLETRANSLATE(A29,""zh-tw"",""KO"")"),"형은 현자가 되어 생각에 잠겨 있었는데...")</f>
        <v>형은 현자가 되어 생각에 잠겨 있었는데...</v>
      </c>
      <c r="G29" s="5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12" t="s">
        <v>3336</v>
      </c>
      <c r="I29" s="183" t="s">
        <v>3337</v>
      </c>
      <c r="J29" s="46"/>
      <c r="K29" s="46"/>
      <c r="L29" s="46"/>
      <c r="M29" s="46"/>
      <c r="N29" s="46"/>
      <c r="O29" s="46"/>
      <c r="P29" s="46"/>
      <c r="Q29" s="46"/>
      <c r="R29" s="46"/>
      <c r="S29" s="46"/>
      <c r="T29" s="46"/>
      <c r="U29" s="46"/>
      <c r="V29" s="46"/>
      <c r="W29" s="46"/>
    </row>
    <row r="30">
      <c r="A30" s="52" t="s">
        <v>3338</v>
      </c>
      <c r="B30" s="212" t="s">
        <v>3339</v>
      </c>
      <c r="C30" s="55" t="str">
        <f>IFERROR(__xludf.DUMMYFUNCTION("GOOGLETRANSLATE(A30,""zh-tw"",""en"")"),"When equipped with ""Girl's Smile"", the side effects of the Sage state will be ignored.")</f>
        <v>When equipped with "Girl's Smile", the side effects of the Sage state will be ignored.</v>
      </c>
      <c r="D30" s="212" t="str">
        <f>IFERROR(__xludf.DUMMYFUNCTION("GOOGLETRANSLATE(A30,""zh-tw"",""zh"")"),"当装备""少女的笑容""时，会无视贤者状态副作用")</f>
        <v>当装备"少女的笑容"时，会无视贤者状态副作用</v>
      </c>
      <c r="E30" s="55" t="str">
        <f>IFERROR(__xludf.DUMMYFUNCTION("GOOGLETRANSLATE(A30,""zh-tw"",""es-MX"")"),"Cuando esté equipado con ""Sonrisa de niña"", se ignorarán los efectos secundarios del estado Sabio.")</f>
        <v>Cuando esté equipado con "Sonrisa de niña", se ignorarán los efectos secundarios del estado Sabio.</v>
      </c>
      <c r="F30" s="213" t="str">
        <f>IFERROR(__xludf.DUMMYFUNCTION("GOOGLETRANSLATE(A30,""zh-tw"",""KO"")"),"""소녀의 미소""를 장착하면, 선인 상태의 부작용이 무시됩니다.")</f>
        <v>"소녀의 미소"를 장착하면, 선인 상태의 부작용이 무시됩니다.</v>
      </c>
      <c r="G30" s="5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12" t="s">
        <v>3340</v>
      </c>
      <c r="I30" s="183" t="s">
        <v>3341</v>
      </c>
      <c r="J30" s="46"/>
      <c r="K30" s="46"/>
      <c r="L30" s="46"/>
      <c r="M30" s="46"/>
      <c r="N30" s="46"/>
      <c r="O30" s="46"/>
      <c r="P30" s="46"/>
      <c r="Q30" s="46"/>
      <c r="R30" s="46"/>
      <c r="S30" s="46"/>
      <c r="T30" s="46"/>
      <c r="U30" s="46"/>
      <c r="V30" s="46"/>
      <c r="W30" s="46"/>
    </row>
    <row r="31">
      <c r="A31" s="52" t="s">
        <v>3342</v>
      </c>
      <c r="B31" s="212"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2" t="s">
        <v>3343</v>
      </c>
      <c r="D31" s="212" t="str">
        <f>IFERROR(__xludf.DUMMYFUNCTION("GOOGLETRANSLATE(A31,""zh-tw"",""zh"")"),"在厕所的不可名状生物，在各语系版本中有不同的称呼")</f>
        <v>在厕所的不可名状生物，在各语系版本中有不同的称呼</v>
      </c>
      <c r="E31" s="55" t="str">
        <f>IFERROR(__xludf.DUMMYFUNCTION("GOOGLETRANSLATE(A31,""zh-tw"",""es-MX"")"),"La criatura indescriptible en el inodoro tiene diferentes nombres en diferentes versiones de idioma.")</f>
        <v>La criatura indescriptible en el inodoro tiene diferentes nombres en diferentes versiones de idioma.</v>
      </c>
      <c r="F31" s="213" t="str">
        <f>IFERROR(__xludf.DUMMYFUNCTION("GOOGLETRANSLATE(A31,""zh-tw"",""KO"")"),"변기에 있는 형언할 수 없는 생물은 언어마다 이름이 다릅니다.")</f>
        <v>변기에 있는 형언할 수 없는 생물은 언어마다 이름이 다릅니다.</v>
      </c>
      <c r="G31" s="5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12" t="s">
        <v>3344</v>
      </c>
      <c r="I31" s="183" t="s">
        <v>3345</v>
      </c>
      <c r="J31" s="46"/>
      <c r="K31" s="46"/>
      <c r="L31" s="46"/>
      <c r="M31" s="46"/>
      <c r="N31" s="46"/>
      <c r="O31" s="46"/>
      <c r="P31" s="46"/>
      <c r="Q31" s="46"/>
      <c r="R31" s="46"/>
      <c r="S31" s="46"/>
      <c r="T31" s="46"/>
      <c r="U31" s="46"/>
      <c r="V31" s="46"/>
      <c r="W31" s="46"/>
    </row>
    <row r="32">
      <c r="A32" s="52" t="s">
        <v>3346</v>
      </c>
      <c r="B32" s="212"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2" t="s">
        <v>3347</v>
      </c>
      <c r="D32" s="212" t="str">
        <f>IFERROR(__xludf.DUMMYFUNCTION("GOOGLETRANSLATE(A32,""zh-tw"",""zh"")"),"在厕所的不可名状生物，其实是哥哥从深渊带回来的")</f>
        <v>在厕所的不可名状生物，其实是哥哥从深渊带回来的</v>
      </c>
      <c r="E32" s="55" t="str">
        <f>IFERROR(__xludf.DUMMYFUNCTION("GOOGLETRANSLATE(A32,""zh-tw"",""es-MX"")"),"La indescriptible criatura en el baño fue rescatada del abismo por mi hermano.")</f>
        <v>La indescriptible criatura en el baño fue rescatada del abismo por mi hermano.</v>
      </c>
      <c r="F32" s="213"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5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12" t="s">
        <v>3348</v>
      </c>
      <c r="I32" s="183" t="s">
        <v>3349</v>
      </c>
      <c r="J32" s="46"/>
      <c r="K32" s="46"/>
      <c r="L32" s="46"/>
      <c r="M32" s="46"/>
      <c r="N32" s="46"/>
      <c r="O32" s="46"/>
      <c r="P32" s="46"/>
      <c r="Q32" s="46"/>
      <c r="R32" s="46"/>
      <c r="S32" s="46"/>
      <c r="T32" s="46"/>
      <c r="U32" s="46"/>
      <c r="V32" s="46"/>
      <c r="W32" s="46"/>
    </row>
    <row r="33">
      <c r="A33" s="52" t="s">
        <v>3350</v>
      </c>
      <c r="B33" s="212" t="s">
        <v>3351</v>
      </c>
      <c r="C33" s="52" t="s">
        <v>3352</v>
      </c>
      <c r="D33" s="212" t="str">
        <f>IFERROR(__xludf.DUMMYFUNCTION("GOOGLETRANSLATE(A33,""zh-tw"",""zh"")"),"在雨天修理饮料贩卖机的人是谁呢?目前仍是个谜")</f>
        <v>在雨天修理饮料贩卖机的人是谁呢?目前仍是个谜</v>
      </c>
      <c r="E33" s="55" t="str">
        <f>IFERROR(__xludf.DUMMYFUNCTION("GOOGLETRANSLATE(A33,""zh-tw"",""es-MX"")"),"¿Quién reparó la máquina expendedora bajo la lluvia? Eso sigue siendo un misterio.")</f>
        <v>¿Quién reparó la máquina expendedora bajo la lluvia? Eso sigue siendo un misterio.</v>
      </c>
      <c r="F33" s="213" t="str">
        <f>IFERROR(__xludf.DUMMYFUNCTION("GOOGLETRANSLATE(A33,""zh-tw"",""KO"")"),"비 오는 날 자판기를 누가 수리했을까? 아직도 미스터리로 남아 있다.")</f>
        <v>비 오는 날 자판기를 누가 수리했을까? 아직도 미스터리로 남아 있다.</v>
      </c>
      <c r="G33" s="5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IFERROR(__xludf.DUMMYFUNCTION("GOOGLETRANSLATE(A34,""zh-tw"",""zh"")"),"早上可透过窗外状况，得知外出时的天气")</f>
        <v>早上可透过窗外状况，得知外出时的天气</v>
      </c>
      <c r="E34" s="55" t="str">
        <f>IFERROR(__xludf.DUMMYFUNCTION("GOOGLETRANSLATE(A34,""zh-tw"",""es-MX"")"),"Por la mañana, puedes mirar el tiempo fuera de la ventana para saber qué tiempo hará cuando salgas.")</f>
        <v>Por la mañana, puedes mirar el tiempo fuera de la ventana para saber qué tiempo hará cuando salgas.</v>
      </c>
      <c r="F34" s="213" t="str">
        <f>IFERROR(__xludf.DUMMYFUNCTION("GOOGLETRANSLATE(A34,""zh-tw"",""KO"")"),"아침에 창밖 날씨를 확인하면 외출할 때 날씨가 어떨지 알 수 있습니다.")</f>
        <v>아침에 창밖 날씨를 확인하면 외출할 때 날씨가 어떨지 알 수 있습니다.</v>
      </c>
      <c r="G34" s="5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12" t="s">
        <v>3358</v>
      </c>
      <c r="I34" s="183" t="s">
        <v>3359</v>
      </c>
      <c r="J34" s="46"/>
      <c r="K34" s="46"/>
      <c r="L34" s="46"/>
      <c r="M34" s="46"/>
      <c r="N34" s="46"/>
      <c r="O34" s="46"/>
      <c r="P34" s="46"/>
      <c r="Q34" s="46"/>
      <c r="R34" s="46"/>
      <c r="S34" s="46"/>
      <c r="T34" s="46"/>
      <c r="U34" s="46"/>
      <c r="V34" s="46"/>
      <c r="W34" s="46"/>
    </row>
    <row r="35">
      <c r="A35" s="52" t="s">
        <v>3360</v>
      </c>
      <c r="B35" s="212" t="str">
        <f>IFERROR(__xludf.DUMMYFUNCTION("GOOGLETRANSLATE(A35,""zh-tw"",""ja"")"),"生き物が可愛ければ可愛いほど、攻撃力も高くなります。")</f>
        <v>生き物が可愛ければ可愛いほど、攻撃力も高くなります。</v>
      </c>
      <c r="C35" s="52" t="s">
        <v>3361</v>
      </c>
      <c r="D35" s="212" t="s">
        <v>3362</v>
      </c>
      <c r="E35" s="55" t="str">
        <f>IFERROR(__xludf.DUMMYFUNCTION("GOOGLETRANSLATE(A35,""zh-tw"",""es-MX"")"),"Cuanto más linda sea la criatura, mayor suele ser su poder de ataque.")</f>
        <v>Cuanto más linda sea la criatura, mayor suele ser su poder de ataque.</v>
      </c>
      <c r="F35" s="213" t="str">
        <f>IFERROR(__xludf.DUMMYFUNCTION("GOOGLETRANSLATE(A35,""zh-tw"",""KO"")"),"생물이 귀여울수록 공격력이 일반적으로 더 높습니다.")</f>
        <v>생물이 귀여울수록 공격력이 일반적으로 더 높습니다.</v>
      </c>
      <c r="G35" s="55" t="str">
        <f>IFERROR(__xludf.DUMMYFUNCTION("GOOGLETRANSLATE(A35,""zh-tw"",""ru"")"),"Чем симпатичнее существо, тем обычно выше его сила атаки.")</f>
        <v>Чем симпатичнее существо, тем обычно выше его сила атаки.</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2" t="s">
        <v>3366</v>
      </c>
      <c r="D36" s="212"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55"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3"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55"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12" t="s">
        <v>3367</v>
      </c>
      <c r="I36" s="160" t="s">
        <v>3368</v>
      </c>
      <c r="J36" s="46"/>
      <c r="K36" s="46"/>
      <c r="L36" s="46"/>
      <c r="M36" s="46"/>
      <c r="N36" s="46"/>
      <c r="O36" s="46"/>
      <c r="P36" s="46"/>
      <c r="Q36" s="46"/>
      <c r="R36" s="46"/>
      <c r="S36" s="46"/>
      <c r="T36" s="46"/>
      <c r="U36" s="46"/>
      <c r="V36" s="46"/>
      <c r="W36" s="46"/>
    </row>
    <row r="37">
      <c r="A37" s="52" t="s">
        <v>3369</v>
      </c>
      <c r="B37" s="212" t="str">
        <f>IFERROR(__xludf.DUMMYFUNCTION("GOOGLETRANSLATE(A37,""zh-tw"",""ja"")"),"モンスタースライム 1 個は、スライムスライム 2 個とほぼ同等です。")</f>
        <v>モンスタースライム 1 個は、スライムスライム 2 個とほぼ同等です。</v>
      </c>
      <c r="C37" s="52" t="s">
        <v>3370</v>
      </c>
      <c r="D37" s="212" t="str">
        <f>IFERROR(__xludf.DUMMYFUNCTION("GOOGLETRANSLATE(A37,""zh-tw"",""zh"")"),"一个水怪黏液大约等于两个史莱姆黏液")</f>
        <v>一个水怪黏液大约等于两个史莱姆黏液</v>
      </c>
      <c r="E37" s="55" t="str">
        <f>IFERROR(__xludf.DUMMYFUNCTION("GOOGLETRANSLATE(A37,""zh-tw"",""es-MX"")"),"Un slime monstruoso equivale aproximadamente a dos slimes.")</f>
        <v>Un slime monstruoso equivale aproximadamente a dos slimes.</v>
      </c>
      <c r="F37" s="213" t="str">
        <f>IFERROR(__xludf.DUMMYFUNCTION("GOOGLETRANSLATE(A37,""zh-tw"",""KO"")"),"몬스터 슬라임 한 마리는 슬라임 슬라임 두 마리와 거의 같습니다.")</f>
        <v>몬스터 슬라임 한 마리는 슬라임 슬라임 두 마리와 거의 같습니다.</v>
      </c>
      <c r="G37" s="55"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12" t="s">
        <v>3371</v>
      </c>
      <c r="I37" s="183" t="s">
        <v>3372</v>
      </c>
      <c r="J37" s="46"/>
      <c r="K37" s="46"/>
      <c r="L37" s="46"/>
      <c r="M37" s="46"/>
      <c r="N37" s="46"/>
      <c r="O37" s="46"/>
      <c r="P37" s="46"/>
      <c r="Q37" s="46"/>
      <c r="R37" s="46"/>
      <c r="S37" s="46"/>
      <c r="T37" s="46"/>
      <c r="U37" s="46"/>
      <c r="V37" s="46"/>
      <c r="W37" s="46"/>
    </row>
    <row r="38">
      <c r="A38" s="52" t="s">
        <v>3373</v>
      </c>
      <c r="B38" s="212" t="s">
        <v>3374</v>
      </c>
      <c r="C38" s="52" t="s">
        <v>3375</v>
      </c>
      <c r="D38" s="212" t="str">
        <f>IFERROR(__xludf.DUMMYFUNCTION("GOOGLETRANSLATE(A38,""zh-tw"",""zh"")"),"遗迹BOSS每七天会重生，而且每次重生会更强，也可以使用""世界""塔罗牌")</f>
        <v>遗迹BOSS每七天会重生，而且每次重生会更强，也可以使用"世界"塔罗牌</v>
      </c>
      <c r="E38" s="55"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3"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5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
        <v>3381</v>
      </c>
      <c r="E39" s="55"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3"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5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12" t="s">
        <v>3382</v>
      </c>
      <c r="I39" s="183" t="s">
        <v>3383</v>
      </c>
      <c r="J39" s="46"/>
      <c r="K39" s="46"/>
      <c r="L39" s="46"/>
      <c r="M39" s="46"/>
      <c r="N39" s="46"/>
      <c r="O39" s="46"/>
      <c r="P39" s="46"/>
      <c r="Q39" s="46"/>
      <c r="R39" s="46"/>
      <c r="S39" s="46"/>
      <c r="T39" s="46"/>
      <c r="U39" s="46"/>
      <c r="V39" s="46"/>
      <c r="W39" s="46"/>
    </row>
    <row r="40">
      <c r="A40" s="52" t="s">
        <v>3384</v>
      </c>
      <c r="B40" s="212" t="s">
        <v>3385</v>
      </c>
      <c r="C40" s="52" t="s">
        <v>3386</v>
      </c>
      <c r="D40" s="212" t="str">
        <f>IFERROR(__xludf.DUMMYFUNCTION("GOOGLETRANSLATE(A40,""zh-tw"",""zh"")"),"增加攻速的效果(例如:猫爪手套)，也会使魔法效果增强")</f>
        <v>增加攻速的效果(例如:猫爪手套)，也会使魔法效果增强</v>
      </c>
      <c r="E40" s="55"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3" t="str">
        <f>IFERROR(__xludf.DUMMYFUNCTION("GOOGLETRANSLATE(A40,""zh-tw"",""KO"")"),"공격 속도를 증가시키는 효과(예: 고양이 발 장갑)는 마법 효과도 향상시킵니다.")</f>
        <v>공격 속도를 증가시키는 효과(예: 고양이 발 장갑)는 마법 효과도 향상시킵니다.</v>
      </c>
      <c r="G40" s="5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13"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83" t="s">
        <v>3387</v>
      </c>
      <c r="J40" s="46"/>
      <c r="K40" s="46"/>
      <c r="L40" s="46"/>
      <c r="M40" s="46"/>
      <c r="N40" s="46"/>
      <c r="O40" s="46"/>
      <c r="P40" s="46"/>
      <c r="Q40" s="46"/>
      <c r="R40" s="46"/>
      <c r="S40" s="46"/>
      <c r="T40" s="46"/>
      <c r="U40" s="46"/>
      <c r="V40" s="46"/>
      <c r="W40" s="46"/>
    </row>
    <row r="41">
      <c r="A41" s="52" t="s">
        <v>3388</v>
      </c>
      <c r="B41" s="212" t="str">
        <f>IFERROR(__xludf.DUMMYFUNCTION("GOOGLETRANSLATE(A41,""zh-tw"",""ja"")"),"命中率を高めるアイテム（例：Fallen Mage's Gloves）は、呪文に追加の効果も与えます。複数のアイテムを装備すると、この効果はさらに高まります。")</f>
        <v>命中率を高めるアイテム（例：Fallen Mage's Gloves）は、呪文に追加の効果も与えます。複数のアイテムを装備すると、この効果はさらに高まります。</v>
      </c>
      <c r="C41" s="52" t="s">
        <v>3389</v>
      </c>
      <c r="D41" s="212"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55"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3"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5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13"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83" t="s">
        <v>3390</v>
      </c>
      <c r="J41" s="46"/>
      <c r="K41" s="46"/>
      <c r="L41" s="46"/>
      <c r="M41" s="46"/>
      <c r="N41" s="46"/>
      <c r="O41" s="46"/>
      <c r="P41" s="46"/>
      <c r="Q41" s="46"/>
      <c r="R41" s="46"/>
      <c r="S41" s="46"/>
      <c r="T41" s="46"/>
      <c r="U41" s="46"/>
      <c r="V41" s="46"/>
      <c r="W41" s="46"/>
    </row>
    <row r="42">
      <c r="A42" s="52" t="s">
        <v>3391</v>
      </c>
      <c r="B42" s="212" t="s">
        <v>3392</v>
      </c>
      <c r="C42" s="52" t="s">
        <v>3393</v>
      </c>
      <c r="D42" s="212"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55"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3"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5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13"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83" t="s">
        <v>3394</v>
      </c>
      <c r="J42" s="46"/>
      <c r="K42" s="46"/>
      <c r="L42" s="46"/>
      <c r="M42" s="46"/>
      <c r="N42" s="46"/>
      <c r="O42" s="46"/>
      <c r="P42" s="46"/>
      <c r="Q42" s="46"/>
      <c r="R42" s="46"/>
      <c r="S42" s="46"/>
      <c r="T42" s="46"/>
      <c r="U42" s="46"/>
      <c r="V42" s="46"/>
      <c r="W42" s="46"/>
    </row>
    <row r="43">
      <c r="A43" s="52" t="s">
        <v>3395</v>
      </c>
      <c r="B43" s="212" t="s">
        <v>3396</v>
      </c>
      <c r="C43" s="52" t="s">
        <v>3397</v>
      </c>
      <c r="D43" s="212" t="str">
        <f>IFERROR(__xludf.DUMMYFUNCTION("GOOGLETRANSLATE(A43,""zh-tw"",""zh"")"),"利用道具，不只能和怪物，也能使NPC交换位置")</f>
        <v>利用道具，不只能和怪物，也能使NPC交换位置</v>
      </c>
      <c r="E43" s="55" t="str">
        <f>IFERROR(__xludf.DUMMYFUNCTION("GOOGLETRANSLATE(A43,""zh-tw"",""es-MX"")"),"Usando objetos, no sólo puedes intercambiar posiciones con monstruos, sino también con NPC.")</f>
        <v>Usando objetos, no sólo puedes intercambiar posiciones con monstruos, sino también con NPC.</v>
      </c>
      <c r="F43" s="213"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5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3" t="str">
        <f>IFERROR(__xludf.DUMMYFUNCTION("GOOGLETRANSLATE(A43,""zh-tw"",""de"")"),"Mithilfe von Gegenständen kann man nicht nur mit Monstern, sondern auch mit NPCs die Position tauschen.")</f>
        <v>Mithilfe von Gegenständen kann man nicht nur mit Monstern, sondern auch mit NPCs die Position tauschen.</v>
      </c>
      <c r="I43" s="183" t="s">
        <v>3398</v>
      </c>
      <c r="J43" s="46"/>
      <c r="K43" s="46"/>
      <c r="L43" s="46"/>
      <c r="M43" s="46"/>
      <c r="N43" s="46"/>
      <c r="O43" s="46"/>
      <c r="P43" s="46"/>
      <c r="Q43" s="46"/>
      <c r="R43" s="46"/>
      <c r="S43" s="46"/>
      <c r="T43" s="46"/>
      <c r="U43" s="46"/>
      <c r="V43" s="46"/>
      <c r="W43" s="46"/>
    </row>
    <row r="44">
      <c r="A44" s="52" t="s">
        <v>3399</v>
      </c>
      <c r="B44" s="212" t="s">
        <v>3400</v>
      </c>
      <c r="C44" s="52" t="s">
        <v>3401</v>
      </c>
      <c r="D44" s="212" t="str">
        <f>IFERROR(__xludf.DUMMYFUNCTION("GOOGLETRANSLATE(A44,""zh-tw"",""zh"")"),"怪物也有嗅觉，而有些怪物也会惧怕臭味而逃离")</f>
        <v>怪物也有嗅觉，而有些怪物也会惧怕臭味而逃离</v>
      </c>
      <c r="E44" s="55" t="str">
        <f>IFERROR(__xludf.DUMMYFUNCTION("GOOGLETRANSLATE(A44,""zh-tw"",""es-MX"")"),"Los monstruos también tienen sentido del olfato, y algunos huirán ante un mal olor.")</f>
        <v>Los monstruos también tienen sentido del olfato, y algunos huirán ante un mal olor.</v>
      </c>
      <c r="F44" s="213" t="str">
        <f>IFERROR(__xludf.DUMMYFUNCTION("GOOGLETRANSLATE(A44,""zh-tw"",""KO"")"),"괴물은 또한 후각을 가지고 있으며, 어떤 괴물은 악취를 맡으면 도망칩니다.")</f>
        <v>괴물은 또한 후각을 가지고 있으며, 어떤 괴물은 악취를 맡으면 도망칩니다.</v>
      </c>
      <c r="G44" s="5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13" t="str">
        <f>IFERROR(__xludf.DUMMYFUNCTION("GOOGLETRANSLATE(A44,""zh-tw"",""de"")"),"Auch Monster besitzen einen Geruchssinn, und manche Monster fliehen vor einem üblen Geruch.")</f>
        <v>Auch Monster besitzen einen Geruchssinn, und manche Monster fliehen vor einem üblen Geruch.</v>
      </c>
      <c r="I44" s="183" t="s">
        <v>3402</v>
      </c>
      <c r="J44" s="46"/>
      <c r="K44" s="46"/>
      <c r="L44" s="46"/>
      <c r="M44" s="46"/>
      <c r="N44" s="46"/>
      <c r="O44" s="46"/>
      <c r="P44" s="46"/>
      <c r="Q44" s="46"/>
      <c r="R44" s="46"/>
      <c r="S44" s="46"/>
      <c r="T44" s="46"/>
      <c r="U44" s="46"/>
      <c r="V44" s="46"/>
      <c r="W44" s="46"/>
    </row>
    <row r="45">
      <c r="A45" s="52" t="s">
        <v>3403</v>
      </c>
      <c r="B45" s="212" t="s">
        <v>3404</v>
      </c>
      <c r="C45" s="52" t="s">
        <v>3405</v>
      </c>
      <c r="D45" s="212"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55"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3"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55"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13"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83" t="s">
        <v>3406</v>
      </c>
      <c r="J45" s="46"/>
      <c r="K45" s="46"/>
      <c r="L45" s="46"/>
      <c r="M45" s="46"/>
      <c r="N45" s="46"/>
      <c r="O45" s="46"/>
      <c r="P45" s="46"/>
      <c r="Q45" s="46"/>
      <c r="R45" s="46"/>
      <c r="S45" s="46"/>
      <c r="T45" s="46"/>
      <c r="U45" s="46"/>
      <c r="V45" s="46"/>
      <c r="W45" s="46"/>
    </row>
    <row r="46">
      <c r="A46" s="52" t="s">
        <v>3407</v>
      </c>
      <c r="B46" s="212" t="s">
        <v>3408</v>
      </c>
      <c r="C46" s="52" t="s">
        <v>3409</v>
      </c>
      <c r="D46" s="212" t="str">
        <f>IFERROR(__xludf.DUMMYFUNCTION("GOOGLETRANSLATE(A46,""zh-tw"",""zh"")"),"妹妹治愈后，除了早上起得来，睡眠时间也会变晚")</f>
        <v>妹妹治愈后，除了早上起得来，睡眠时间也会变晚</v>
      </c>
      <c r="E46" s="55"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3"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5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13"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83" t="s">
        <v>3410</v>
      </c>
      <c r="J46" s="46"/>
      <c r="K46" s="46"/>
      <c r="L46" s="46"/>
      <c r="M46" s="46"/>
      <c r="N46" s="46"/>
      <c r="O46" s="46"/>
      <c r="P46" s="46"/>
      <c r="Q46" s="46"/>
      <c r="R46" s="46"/>
      <c r="S46" s="46"/>
      <c r="T46" s="46"/>
      <c r="U46" s="46"/>
      <c r="V46" s="46"/>
      <c r="W46" s="46"/>
    </row>
    <row r="47">
      <c r="A47" s="52" t="s">
        <v>3411</v>
      </c>
      <c r="B47" s="212" t="s">
        <v>3412</v>
      </c>
      <c r="C47" s="52" t="s">
        <v>3413</v>
      </c>
      <c r="D47" s="212"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55"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3"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5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13"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83" t="s">
        <v>3414</v>
      </c>
      <c r="J47" s="46"/>
      <c r="K47" s="46"/>
      <c r="L47" s="46"/>
      <c r="M47" s="46"/>
      <c r="N47" s="46"/>
      <c r="O47" s="46"/>
      <c r="P47" s="46"/>
      <c r="Q47" s="46"/>
      <c r="R47" s="46"/>
      <c r="S47" s="46"/>
      <c r="T47" s="46"/>
      <c r="U47" s="46"/>
      <c r="V47" s="46"/>
      <c r="W47" s="46"/>
    </row>
    <row r="48">
      <c r="A48" s="52" t="s">
        <v>3415</v>
      </c>
      <c r="B48" s="212" t="s">
        <v>3416</v>
      </c>
      <c r="C48" s="52" t="s">
        <v>3417</v>
      </c>
      <c r="D48" s="212" t="str">
        <f>IFERROR(__xludf.DUMMYFUNCTION("GOOGLETRANSLATE(A48,""zh-tw"",""zh"")"),"商店老板娘叫做aki，另外妹妹的声优也是aki")</f>
        <v>商店老板娘叫做aki，另外妹妹的声优也是aki</v>
      </c>
      <c r="E48" s="55" t="str">
        <f>IFERROR(__xludf.DUMMYFUNCTION("GOOGLETRANSLATE(A48,""zh-tw"",""es-MX"")"),"El nombre del dueño de la tienda es Aki, y la actriz de voz de la hermana menor también es Aki.")</f>
        <v>El nombre del dueño de la tienda es Aki, y la actriz de voz de la hermana menor también es Aki.</v>
      </c>
      <c r="F48" s="213" t="str">
        <f>IFERROR(__xludf.DUMMYFUNCTION("GOOGLETRANSLATE(A48,""zh-tw"",""KO"")"),"가게 주인의 이름은 아키이고, 여동생의 성우도 아키입니다.")</f>
        <v>가게 주인의 이름은 아키이고, 여동생의 성우도 아키입니다.</v>
      </c>
      <c r="G48" s="5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3"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83" t="s">
        <v>3418</v>
      </c>
      <c r="J48" s="46"/>
      <c r="K48" s="46"/>
      <c r="L48" s="46"/>
      <c r="M48" s="46"/>
      <c r="N48" s="46"/>
      <c r="O48" s="46"/>
      <c r="P48" s="46"/>
      <c r="Q48" s="46"/>
      <c r="R48" s="46"/>
      <c r="S48" s="46"/>
      <c r="T48" s="46"/>
      <c r="U48" s="46"/>
      <c r="V48" s="46"/>
      <c r="W48" s="46"/>
    </row>
    <row r="49">
      <c r="A49" s="52" t="s">
        <v>3419</v>
      </c>
      <c r="B49" s="212" t="s">
        <v>3420</v>
      </c>
      <c r="C49" s="55" t="s">
        <v>3421</v>
      </c>
      <c r="D49" s="212" t="str">
        <f>IFERROR(__xludf.DUMMYFUNCTION("GOOGLETRANSLATE(A49,""zh-tw"",""zh"")"),"Ehwaz符文会在扔出去后和触碰到的敌人交换位置")</f>
        <v>Ehwaz符文会在扔出去后和触碰到的敌人交换位置</v>
      </c>
      <c r="E49" s="55" t="str">
        <f>IFERROR(__xludf.DUMMYFUNCTION("GOOGLETRANSLATE(A49,""zh-tw"",""es-MX"")"),"La runa Ehwaz intercambiará posiciones con cualquier enemigo que toque después de ser lanzada.")</f>
        <v>La runa Ehwaz intercambiará posiciones con cualquier enemigo que toque después de ser lanzada.</v>
      </c>
      <c r="F49" s="213" t="str">
        <f>IFERROR(__xludf.DUMMYFUNCTION("GOOGLETRANSLATE(A49,""zh-tw"",""KO"")"),"에바즈 룬은 던져진 후 닿는 모든 적과 위치를 바꿉니다.")</f>
        <v>에바즈 룬은 던져진 후 닿는 모든 적과 위치를 바꿉니다.</v>
      </c>
      <c r="G49" s="5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13" t="str">
        <f>IFERROR(__xludf.DUMMYFUNCTION("GOOGLETRANSLATE(A49,""zh-tw"",""de"")"),"Die Ehwaz-Rune tauscht nach dem Werfen die Position mit jedem Gegner, den sie berührt.")</f>
        <v>Die Ehwaz-Rune tauscht nach dem Werfen die Position mit jedem Gegner, den sie berührt.</v>
      </c>
      <c r="I49" s="183" t="s">
        <v>3422</v>
      </c>
      <c r="J49" s="46"/>
      <c r="K49" s="46"/>
      <c r="L49" s="46"/>
      <c r="M49" s="46"/>
      <c r="N49" s="46"/>
      <c r="O49" s="46"/>
      <c r="P49" s="46"/>
      <c r="Q49" s="46"/>
      <c r="R49" s="46"/>
      <c r="S49" s="46"/>
      <c r="T49" s="46"/>
      <c r="U49" s="46"/>
      <c r="V49" s="46"/>
      <c r="W49" s="46"/>
    </row>
    <row r="50">
      <c r="A50" s="52" t="s">
        <v>3423</v>
      </c>
      <c r="B50" s="212" t="s">
        <v>3424</v>
      </c>
      <c r="C50" s="52" t="s">
        <v>3425</v>
      </c>
      <c r="D50" s="212" t="s">
        <v>3426</v>
      </c>
      <c r="E50" s="55"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3"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5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13"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83" t="s">
        <v>3427</v>
      </c>
      <c r="J50" s="46"/>
      <c r="K50" s="46"/>
      <c r="L50" s="46"/>
      <c r="M50" s="46"/>
      <c r="N50" s="46"/>
      <c r="O50" s="46"/>
      <c r="P50" s="46"/>
      <c r="Q50" s="46"/>
      <c r="R50" s="46"/>
      <c r="S50" s="46"/>
      <c r="T50" s="46"/>
      <c r="U50" s="46"/>
      <c r="V50" s="46"/>
      <c r="W50" s="46"/>
    </row>
    <row r="51">
      <c r="A51" s="52" t="s">
        <v>3428</v>
      </c>
      <c r="B51" s="212"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2" t="s">
        <v>3429</v>
      </c>
      <c r="D51" s="212" t="str">
        <f>IFERROR(__xludf.DUMMYFUNCTION("GOOGLETRANSLATE(A51,""zh-tw"",""zh"")"),"Jera符文，丢出去可以变换接触到的敌人或掉落物，也就是复制的作用(未实装)")</f>
        <v>Jera符文，丢出去可以变换接触到的敌人或掉落物，也就是复制的作用(未实装)</v>
      </c>
      <c r="E51" s="55"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3"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5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13"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83" t="s">
        <v>3430</v>
      </c>
      <c r="J51" s="46"/>
      <c r="K51" s="46"/>
      <c r="L51" s="46"/>
      <c r="M51" s="46"/>
      <c r="N51" s="46"/>
      <c r="O51" s="46"/>
      <c r="P51" s="46"/>
      <c r="Q51" s="46"/>
      <c r="R51" s="46"/>
      <c r="S51" s="46"/>
      <c r="T51" s="46"/>
      <c r="U51" s="46"/>
      <c r="V51" s="46"/>
      <c r="W51" s="46"/>
    </row>
    <row r="52">
      <c r="A52" s="52" t="s">
        <v>3431</v>
      </c>
      <c r="B52" s="212"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52" t="s">
        <v>3432</v>
      </c>
      <c r="D52" s="212" t="str">
        <f>IFERROR(__xludf.DUMMYFUNCTION("GOOGLETRANSLATE(A52,""zh-tw"",""zh"")"),"Perth符文，丢出去会造成范围影响，范围内的敌人或掉落物会被随机替换(未实装)")</f>
        <v>Perth符文，丢出去会造成范围影响，范围内的敌人或掉落物会被随机替换(未实装)</v>
      </c>
      <c r="E52" s="55"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3"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55"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13"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83" t="s">
        <v>3433</v>
      </c>
      <c r="J52" s="46"/>
      <c r="K52" s="46"/>
      <c r="L52" s="46"/>
      <c r="M52" s="46"/>
      <c r="N52" s="46"/>
      <c r="O52" s="46"/>
      <c r="P52" s="46"/>
      <c r="Q52" s="46"/>
      <c r="R52" s="46"/>
      <c r="S52" s="46"/>
      <c r="T52" s="46"/>
      <c r="U52" s="46"/>
      <c r="V52" s="46"/>
      <c r="W52" s="46"/>
    </row>
    <row r="53">
      <c r="A53" s="52" t="s">
        <v>3434</v>
      </c>
      <c r="B53" s="212" t="s">
        <v>3435</v>
      </c>
      <c r="C53" s="52" t="s">
        <v>3436</v>
      </c>
      <c r="D53" s="212"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55"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3"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55"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13"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83" t="s">
        <v>3437</v>
      </c>
      <c r="J53" s="46"/>
      <c r="K53" s="46"/>
      <c r="L53" s="46"/>
      <c r="M53" s="46"/>
      <c r="N53" s="46"/>
      <c r="O53" s="46"/>
      <c r="P53" s="46"/>
      <c r="Q53" s="46"/>
      <c r="R53" s="46"/>
      <c r="S53" s="46"/>
      <c r="T53" s="46"/>
      <c r="U53" s="46"/>
      <c r="V53" s="46"/>
      <c r="W53" s="46"/>
    </row>
    <row r="54">
      <c r="A54" s="52" t="s">
        <v>3438</v>
      </c>
      <c r="B54" s="212" t="str">
        <f>IFERROR(__xludf.DUMMYFUNCTION("GOOGLETRANSLATE(A54,""zh-tw"",""ja"")"),"ガシャポンが騎士の足元に落ちた場合は、騎士が拾ってくれます。")</f>
        <v>ガシャポンが騎士の足元に落ちた場合は、騎士が拾ってくれます。</v>
      </c>
      <c r="C54" s="52" t="s">
        <v>3439</v>
      </c>
      <c r="D54" s="212" t="str">
        <f>IFERROR(__xludf.DUMMYFUNCTION("GOOGLETRANSLATE(A54,""zh-tw"",""zh"")"),"如果扭蛋掉到骑士的脚边，他会帮你捡起")</f>
        <v>如果扭蛋掉到骑士的脚边，他会帮你捡起</v>
      </c>
      <c r="E54" s="55" t="str">
        <f>IFERROR(__xludf.DUMMYFUNCTION("GOOGLETRANSLATE(A54,""zh-tw"",""es-MX"")"),"Si el gashapon cae cerca de los pies del caballero, él lo recogerá para ti.")</f>
        <v>Si el gashapon cae cerca de los pies del caballero, él lo recogerá para ti.</v>
      </c>
      <c r="F54" s="213"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5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13" t="str">
        <f>IFERROR(__xludf.DUMMYFUNCTION("GOOGLETRANSLATE(A54,""zh-tw"",""de"")"),"Wenn der Gashapon in die Nähe der Füße des Ritters fällt, wird er ihn für dich aufheben.")</f>
        <v>Wenn der Gashapon in die Nähe der Füße des Ritters fällt, wird er ihn für dich aufheben.</v>
      </c>
      <c r="I54" s="183" t="s">
        <v>3440</v>
      </c>
      <c r="J54" s="46"/>
      <c r="K54" s="46"/>
      <c r="L54" s="46"/>
      <c r="M54" s="46"/>
      <c r="N54" s="46"/>
      <c r="O54" s="46"/>
      <c r="P54" s="46"/>
      <c r="Q54" s="46"/>
      <c r="R54" s="46"/>
      <c r="S54" s="46"/>
      <c r="T54" s="46"/>
      <c r="U54" s="46"/>
      <c r="V54" s="46"/>
      <c r="W54" s="46"/>
    </row>
    <row r="55">
      <c r="A55" s="52" t="s">
        <v>3441</v>
      </c>
      <c r="B55" s="212" t="s">
        <v>3442</v>
      </c>
      <c r="C55" s="52" t="s">
        <v>3443</v>
      </c>
      <c r="D55" s="212" t="s">
        <v>3444</v>
      </c>
      <c r="E55" s="5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3" t="str">
        <f>IFERROR(__xludf.DUMMYFUNCTION("GOOGLETRANSLATE(A55,""zh-tw"",""KO"")"),"모든 무기의 기본 최대 내구도는 &lt;한여름 밤의 꿈&gt;에서 따온 114514입니다.")</f>
        <v>모든 무기의 기본 최대 내구도는 &lt;한여름 밤의 꿈&gt;에서 따온 114514입니다.</v>
      </c>
      <c r="G55" s="5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13"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83" t="s">
        <v>3445</v>
      </c>
      <c r="J55" s="46"/>
      <c r="K55" s="46"/>
      <c r="L55" s="46"/>
      <c r="M55" s="46"/>
      <c r="N55" s="46"/>
      <c r="O55" s="46"/>
      <c r="P55" s="46"/>
      <c r="Q55" s="46"/>
      <c r="R55" s="46"/>
      <c r="S55" s="46"/>
      <c r="T55" s="46"/>
      <c r="U55" s="46"/>
      <c r="V55" s="46"/>
      <c r="W55" s="46"/>
    </row>
    <row r="56">
      <c r="A56" s="52" t="s">
        <v>3446</v>
      </c>
      <c r="B56" s="212" t="s">
        <v>3447</v>
      </c>
      <c r="C56" s="52" t="s">
        <v>3448</v>
      </c>
      <c r="D56" s="212"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5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3"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5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13"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3"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5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13"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IFERROR(__xludf.DUMMYFUNCTION("GOOGLETRANSLATE(A58,""zh-tw"",""zh"")"),"可以对猫娘商店车使用时间暂停器，是个优秀的攻击方式
(P.S.对AKI商店无效)")</f>
        <v>可以对猫娘商店车使用时间暂停器，是个优秀的攻击方式
(P.S.对AKI商店无效)</v>
      </c>
      <c r="E58" s="55"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3"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5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13"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3"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5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13"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55"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3"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5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13"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83" t="s">
        <v>3467</v>
      </c>
      <c r="J60" s="46"/>
      <c r="K60" s="46"/>
      <c r="L60" s="46"/>
      <c r="M60" s="46"/>
      <c r="N60" s="46"/>
      <c r="O60" s="46"/>
      <c r="P60" s="46"/>
      <c r="Q60" s="46"/>
      <c r="R60" s="46"/>
      <c r="S60" s="46"/>
      <c r="T60" s="46"/>
      <c r="U60" s="46"/>
      <c r="V60" s="46"/>
      <c r="W60" s="46"/>
    </row>
    <row r="61">
      <c r="A61" s="52" t="s">
        <v>3468</v>
      </c>
      <c r="B61" s="212" t="s">
        <v>3469</v>
      </c>
      <c r="C61" s="52" t="s">
        <v>3470</v>
      </c>
      <c r="D61" s="212" t="str">
        <f>IFERROR(__xludf.DUMMYFUNCTION("GOOGLETRANSLATE(A61,""zh-tw"",""zh"")"),"不同天气时，妹妹会涂不同颜色的指甲油。")</f>
        <v>不同天气时，妹妹会涂不同颜色的指甲油。</v>
      </c>
      <c r="E61" s="55" t="str">
        <f>IFERROR(__xludf.DUMMYFUNCTION("GOOGLETRANSLATE(A61,""zh-tw"",""es-MX"")"),"Mi hermana se pinta las uñas de diferentes colores dependiendo del clima.")</f>
        <v>Mi hermana se pinta las uñas de diferentes colores dependiendo del clima.</v>
      </c>
      <c r="F61" s="213" t="str">
        <f>IFERROR(__xludf.DUMMYFUNCTION("GOOGLETRANSLATE(A61,""zh-tw"",""KO"")"),"제 여동생은 날씨에 따라 손톱을 다른 색으로 칠해요.")</f>
        <v>제 여동생은 날씨에 따라 손톱을 다른 색으로 칠해요.</v>
      </c>
      <c r="G61" s="5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3" t="str">
        <f>IFERROR(__xludf.DUMMYFUNCTION("GOOGLETRANSLATE(A61,""zh-tw"",""de"")"),"Meine Schwester lackiert ihre Nägel je nach Wetterlage in verschiedenen Farben.")</f>
        <v>Meine Schwester lackiert ihre Nägel je nach Wetterlage in verschiedenen Farben.</v>
      </c>
      <c r="I61" s="183" t="s">
        <v>3471</v>
      </c>
      <c r="J61" s="46"/>
      <c r="K61" s="46"/>
      <c r="L61" s="46"/>
      <c r="M61" s="46"/>
      <c r="N61" s="46"/>
      <c r="O61" s="46"/>
      <c r="P61" s="46"/>
      <c r="Q61" s="46"/>
      <c r="R61" s="46"/>
      <c r="S61" s="46"/>
      <c r="T61" s="46"/>
      <c r="U61" s="46"/>
      <c r="V61" s="46"/>
      <c r="W61" s="46"/>
    </row>
    <row r="62">
      <c r="A62" s="52" t="s">
        <v>3472</v>
      </c>
      <c r="B62" s="212" t="s">
        <v>3473</v>
      </c>
      <c r="C62" s="52" t="s">
        <v>3474</v>
      </c>
      <c r="D62" s="212"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55"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3"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5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13"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83" t="s">
        <v>3475</v>
      </c>
      <c r="J62" s="46"/>
      <c r="K62" s="46"/>
      <c r="L62" s="46"/>
      <c r="M62" s="46"/>
      <c r="N62" s="46"/>
      <c r="O62" s="46"/>
      <c r="P62" s="46"/>
      <c r="Q62" s="46"/>
      <c r="R62" s="46"/>
      <c r="S62" s="46"/>
      <c r="T62" s="46"/>
      <c r="U62" s="46"/>
      <c r="V62" s="46"/>
      <c r="W62" s="46"/>
    </row>
    <row r="63">
      <c r="A63" s="52" t="s">
        <v>3476</v>
      </c>
      <c r="B63" s="212" t="s">
        <v>3477</v>
      </c>
      <c r="C63" s="52" t="s">
        <v>3478</v>
      </c>
      <c r="D63" s="212" t="str">
        <f>IFERROR(__xludf.DUMMYFUNCTION("GOOGLETRANSLATE(A63,""zh-tw"",""zh"")"),"心情数值(0~100)是隐藏的，可以从妹妹平时的态度感受出来")</f>
        <v>心情数值(0~100)是隐藏的，可以从妹妹平时的态度感受出来</v>
      </c>
      <c r="E63" s="55"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3" t="str">
        <f>IFERROR(__xludf.DUMMYFUNCTION("GOOGLETRANSLATE(A63,""zh-tw"",""KO"")"),"기분 점수(0~100)는 숨겨져 있지만, 여동생의 평소 태도에서 느낄 수 있다.")</f>
        <v>기분 점수(0~100)는 숨겨져 있지만, 여동생의 평소 태도에서 느낄 수 있다.</v>
      </c>
      <c r="G63" s="5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13"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83" t="s">
        <v>3479</v>
      </c>
      <c r="J63" s="46"/>
      <c r="K63" s="46"/>
      <c r="L63" s="46"/>
      <c r="M63" s="46"/>
      <c r="N63" s="46"/>
      <c r="O63" s="46"/>
      <c r="P63" s="46"/>
      <c r="Q63" s="46"/>
      <c r="R63" s="46"/>
      <c r="S63" s="46"/>
      <c r="T63" s="46"/>
      <c r="U63" s="46"/>
      <c r="V63" s="46"/>
      <c r="W63" s="46"/>
    </row>
    <row r="64">
      <c r="A64" s="52" t="s">
        <v>3480</v>
      </c>
      <c r="B64" s="212" t="s">
        <v>3481</v>
      </c>
      <c r="C64" s="52" t="s">
        <v>3482</v>
      </c>
      <c r="D64" s="212" t="str">
        <f>IFERROR(__xludf.DUMMYFUNCTION("GOOGLETRANSLATE(A64,""zh-tw"",""zh"")"),"0.75版本后，使用新存档的玩家，能从一块墓碑上听到很细微的，发出奇怪的咕噜声")</f>
        <v>0.75版本后，使用新存档的玩家，能从一块墓碑上听到很细微的，发出奇怪的咕噜声</v>
      </c>
      <c r="E64" s="55"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3"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5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13"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83" t="s">
        <v>3483</v>
      </c>
      <c r="J64" s="46"/>
      <c r="K64" s="46"/>
      <c r="L64" s="46"/>
      <c r="M64" s="46"/>
      <c r="N64" s="46"/>
      <c r="O64" s="46"/>
      <c r="P64" s="46"/>
      <c r="Q64" s="46"/>
      <c r="R64" s="46"/>
      <c r="S64" s="46"/>
      <c r="T64" s="46"/>
      <c r="U64" s="46"/>
      <c r="V64" s="46"/>
      <c r="W64" s="46"/>
    </row>
    <row r="65">
      <c r="A65" s="52" t="s">
        <v>3484</v>
      </c>
      <c r="B65" s="212" t="s">
        <v>3485</v>
      </c>
      <c r="C65" s="52" t="s">
        <v>3486</v>
      </c>
      <c r="D65" s="212" t="str">
        <f>IFERROR(__xludf.DUMMYFUNCTION("GOOGLETRANSLATE(A65,""zh-tw"",""zh"")"),"妹妹免疫毒素，因此有毒的食物不会使她中毒，但哥哥无法免疫。")</f>
        <v>妹妹免疫毒素，因此有毒的食物不会使她中毒，但哥哥无法免疫。</v>
      </c>
      <c r="E65" s="55"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3"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5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13"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160" t="s">
        <v>3487</v>
      </c>
      <c r="J65" s="46"/>
      <c r="K65" s="46"/>
      <c r="L65" s="46"/>
      <c r="M65" s="46"/>
      <c r="N65" s="46"/>
      <c r="O65" s="46"/>
      <c r="P65" s="46"/>
      <c r="Q65" s="46"/>
      <c r="R65" s="46"/>
      <c r="S65" s="46"/>
      <c r="T65" s="46"/>
      <c r="U65" s="46"/>
      <c r="V65" s="46"/>
      <c r="W65" s="46"/>
    </row>
    <row r="66">
      <c r="A66" s="52" t="s">
        <v>3488</v>
      </c>
      <c r="B66" s="212" t="str">
        <f>IFERROR(__xludf.DUMMYFUNCTION("GOOGLETRANSLATE(A66,""zh-tw"",""ja"")"),"Shift キーを押すと、歩行姿勢と走行姿勢を切り替えることができます。")</f>
        <v>Shift キーを押すと、歩行姿勢と走行姿勢を切り替えることができます。</v>
      </c>
      <c r="C66" s="52" t="s">
        <v>3489</v>
      </c>
      <c r="D66" s="212" t="str">
        <f>IFERROR(__xludf.DUMMYFUNCTION("GOOGLETRANSLATE(A66,""zh-tw"",""zh"")"),"shift键可以切换走路/奔跑姿态")</f>
        <v>shift键可以切换走路/奔跑姿态</v>
      </c>
      <c r="E66" s="55" t="str">
        <f>IFERROR(__xludf.DUMMYFUNCTION("GOOGLETRANSLATE(A66,""zh-tw"",""es-MX"")"),"La tecla Shift puede cambiar entre las posturas de caminar y correr.")</f>
        <v>La tecla Shift puede cambiar entre las posturas de caminar y correr.</v>
      </c>
      <c r="F66" s="213" t="str">
        <f>IFERROR(__xludf.DUMMYFUNCTION("GOOGLETRANSLATE(A66,""zh-tw"",""KO"")"),"Shift 키를 사용하면 걷기 자세와 달리기 자세를 전환할 수 있습니다.")</f>
        <v>Shift 키를 사용하면 걷기 자세와 달리기 자세를 전환할 수 있습니다.</v>
      </c>
      <c r="G66" s="5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3" t="str">
        <f>IFERROR(__xludf.DUMMYFUNCTION("GOOGLETRANSLATE(A66,""zh-tw"",""de"")"),"Mit der Shift-Taste kann zwischen Geh- und Laufhaltung umgeschaltet werden.")</f>
        <v>Mit der Shift-Taste kann zwischen Geh- und Laufhaltung umgeschaltet werden.</v>
      </c>
      <c r="I66" s="183" t="s">
        <v>3490</v>
      </c>
      <c r="J66" s="46"/>
      <c r="K66" s="46"/>
      <c r="L66" s="46"/>
      <c r="M66" s="46"/>
      <c r="N66" s="46"/>
      <c r="O66" s="46"/>
      <c r="P66" s="46"/>
      <c r="Q66" s="46"/>
      <c r="R66" s="46"/>
      <c r="S66" s="46"/>
      <c r="T66" s="46"/>
      <c r="U66" s="46"/>
      <c r="V66" s="46"/>
      <c r="W66" s="46"/>
    </row>
    <row r="67">
      <c r="A67" s="52" t="s">
        <v>3491</v>
      </c>
      <c r="B67" s="212" t="s">
        <v>3492</v>
      </c>
      <c r="C67" s="52" t="s">
        <v>3493</v>
      </c>
      <c r="D67" s="212"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55"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3"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5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13"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83" t="s">
        <v>3494</v>
      </c>
      <c r="J67" s="46"/>
      <c r="K67" s="46"/>
      <c r="L67" s="46"/>
      <c r="M67" s="46"/>
      <c r="N67" s="46"/>
      <c r="O67" s="46"/>
      <c r="P67" s="46"/>
      <c r="Q67" s="46"/>
      <c r="R67" s="46"/>
      <c r="S67" s="46"/>
      <c r="T67" s="46"/>
      <c r="U67" s="46"/>
      <c r="V67" s="46"/>
      <c r="W67" s="46"/>
    </row>
    <row r="68">
      <c r="A68" s="52" t="s">
        <v>3495</v>
      </c>
      <c r="B68" s="212" t="s">
        <v>3496</v>
      </c>
      <c r="C68" s="52" t="s">
        <v>3497</v>
      </c>
      <c r="D68" s="212"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55"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3"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5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13"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83" t="s">
        <v>3498</v>
      </c>
      <c r="J68" s="46"/>
      <c r="K68" s="46"/>
      <c r="L68" s="46"/>
      <c r="M68" s="46"/>
      <c r="N68" s="46"/>
      <c r="O68" s="46"/>
      <c r="P68" s="46"/>
      <c r="Q68" s="46"/>
      <c r="R68" s="46"/>
      <c r="S68" s="46"/>
      <c r="T68" s="46"/>
      <c r="U68" s="46"/>
      <c r="V68" s="46"/>
      <c r="W68" s="46"/>
    </row>
    <row r="69">
      <c r="A69" s="52" t="s">
        <v>3499</v>
      </c>
      <c r="B69" s="212" t="s">
        <v>3500</v>
      </c>
      <c r="C69" s="52" t="s">
        <v>3501</v>
      </c>
      <c r="D69" s="212" t="str">
        <f>IFERROR(__xludf.DUMMYFUNCTION("GOOGLETRANSLATE(A69,""zh-tw"",""zh"")"),"背后刺杀的各阶段熟练度需求:
5.27.60.120.256.530.960.1587.2452.3600")</f>
        <v>背后刺杀的各阶段熟练度需求:
5.27.60.120.256.530.960.1587.2452.3600</v>
      </c>
      <c r="E69" s="55" t="str">
        <f>IFERROR(__xludf.DUMMYFUNCTION("GOOGLETRANSLATE(A69,""zh-tw"",""es-MX"")"),"Requisitos de competencia para cada etapa del asesinato por la espalda: 5.27.60.120.256.530.960.1587.2452.3600")</f>
        <v>Requisitos de competencia para cada etapa del asesinato por la espalda: 5.27.60.120.256.530.960.1587.2452.3600</v>
      </c>
      <c r="F69" s="213" t="str">
        <f>IFERROR(__xludf.DUMMYFUNCTION("GOOGLETRANSLATE(A69,""zh-tw"",""KO"")"),"각 단계의 암살에 대한 숙련도 요구 사항: 5.27.60.120.256.530.960.1587.2452.3600")</f>
        <v>각 단계의 암살에 대한 숙련도 요구 사항: 5.27.60.120.256.530.960.1587.2452.3600</v>
      </c>
      <c r="G69" s="5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3" t="str">
        <f>IFERROR(__xludf.DUMMYFUNCTION("GOOGLETRANSLATE(A69,""zh-tw"",""de"")"),"Fertigkeitsanforderungen für jede Phase eines Attentats von hinten: 5.27.60.120.256.530.960.1587.2452.3600")</f>
        <v>Fertigkeitsanforderungen für jede Phase eines Attentats von hinten: 5.27.60.120.256.530.960.1587.2452.3600</v>
      </c>
      <c r="I69" s="183" t="s">
        <v>3502</v>
      </c>
      <c r="J69" s="46"/>
      <c r="K69" s="46"/>
      <c r="L69" s="46"/>
      <c r="M69" s="46"/>
      <c r="N69" s="46"/>
      <c r="O69" s="46"/>
      <c r="P69" s="46"/>
      <c r="Q69" s="46"/>
      <c r="R69" s="46"/>
      <c r="S69" s="46"/>
      <c r="T69" s="46"/>
      <c r="U69" s="46"/>
      <c r="V69" s="46"/>
      <c r="W69" s="46"/>
    </row>
    <row r="70">
      <c r="A70" s="52" t="s">
        <v>3503</v>
      </c>
      <c r="B70" s="212" t="s">
        <v>3504</v>
      </c>
      <c r="C70" s="52" t="s">
        <v>3505</v>
      </c>
      <c r="D70" s="212"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55"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3"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5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13"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83" t="s">
        <v>3506</v>
      </c>
      <c r="J70" s="46"/>
      <c r="K70" s="46"/>
      <c r="L70" s="46"/>
      <c r="M70" s="46"/>
      <c r="N70" s="46"/>
      <c r="O70" s="46"/>
      <c r="P70" s="46"/>
      <c r="Q70" s="46"/>
      <c r="R70" s="46"/>
      <c r="S70" s="46"/>
      <c r="T70" s="46"/>
      <c r="U70" s="46"/>
      <c r="V70" s="46"/>
      <c r="W70" s="46"/>
    </row>
    <row r="71">
      <c r="A71" s="52" t="s">
        <v>3507</v>
      </c>
      <c r="B71" s="212" t="s">
        <v>3508</v>
      </c>
      <c r="C71" s="52" t="s">
        <v>3509</v>
      </c>
      <c r="D71" s="212"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55"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3"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55"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12" t="s">
        <v>3510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55"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3"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5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12" t="s">
        <v>3515</v>
      </c>
      <c r="I72" s="183" t="s">
        <v>3516</v>
      </c>
      <c r="J72" s="46"/>
      <c r="K72" s="46"/>
      <c r="L72" s="46"/>
      <c r="M72" s="46"/>
      <c r="N72" s="46"/>
      <c r="O72" s="46"/>
      <c r="P72" s="46"/>
      <c r="Q72" s="46"/>
      <c r="R72" s="46"/>
      <c r="S72" s="46"/>
      <c r="T72" s="46"/>
      <c r="U72" s="46"/>
      <c r="V72" s="46"/>
      <c r="W72" s="46"/>
    </row>
    <row r="73">
      <c r="A73" s="52" t="s">
        <v>3517</v>
      </c>
      <c r="B73" s="212" t="s">
        <v>3518</v>
      </c>
      <c r="C73" s="52" t="s">
        <v>3519</v>
      </c>
      <c r="D73" s="212" t="str">
        <f>IFERROR(__xludf.DUMMYFUNCTION("GOOGLETRANSLATE(A73,""zh-tw"",""zh"")"),"同上，饮料贩卖机也有可能出现菁英饮料贩卖机")</f>
        <v>同上，饮料贩卖机也有可能出现菁英饮料贩卖机</v>
      </c>
      <c r="E73" s="55" t="str">
        <f>IFERROR(__xludf.DUMMYFUNCTION("GOOGLETRANSLATE(A73,""zh-tw"",""es-MX"")"),"Del mismo modo, también podrían aparecer máquinas expendedoras de bebidas de élite.")</f>
        <v>Del mismo modo, también podrían aparecer máquinas expendedoras de bebidas de élite.</v>
      </c>
      <c r="F73" s="213" t="str">
        <f>IFERROR(__xludf.DUMMYFUNCTION("GOOGLETRANSLATE(A73,""zh-tw"",""KO"")"),"마찬가지로, 엘리트 음료 자동판매기도 등장할 가능성이 있습니다.")</f>
        <v>마찬가지로, 엘리트 음료 자동판매기도 등장할 가능성이 있습니다.</v>
      </c>
      <c r="G73" s="5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12" t="s">
        <v>3520</v>
      </c>
      <c r="I73" s="183" t="s">
        <v>3521</v>
      </c>
      <c r="J73" s="46"/>
      <c r="K73" s="46"/>
      <c r="L73" s="46"/>
      <c r="M73" s="46"/>
      <c r="N73" s="46"/>
      <c r="O73" s="46"/>
      <c r="P73" s="46"/>
      <c r="Q73" s="46"/>
      <c r="R73" s="46"/>
      <c r="S73" s="46"/>
      <c r="T73" s="46"/>
      <c r="U73" s="46"/>
      <c r="V73" s="46"/>
      <c r="W73" s="46"/>
    </row>
    <row r="74">
      <c r="A74" s="52" t="s">
        <v>3522</v>
      </c>
      <c r="B74" s="212" t="s">
        <v>3523</v>
      </c>
      <c r="C74" s="52" t="s">
        <v>3524</v>
      </c>
      <c r="D74" s="212" t="str">
        <f>IFERROR(__xludf.DUMMYFUNCTION("GOOGLETRANSLATE(A74,""zh-tw"",""zh"")"),"史莱姆猫咪其实不是喜欢哥哥，而是喜欢他身上沾到的妹妹香味。")</f>
        <v>史莱姆猫咪其实不是喜欢哥哥，而是喜欢他身上沾到的妹妹香味。</v>
      </c>
      <c r="E74" s="55"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3"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5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12" t="s">
        <v>3525</v>
      </c>
      <c r="I74" s="183" t="s">
        <v>3526</v>
      </c>
      <c r="J74" s="46"/>
      <c r="K74" s="46"/>
      <c r="L74" s="46"/>
      <c r="M74" s="46"/>
      <c r="N74" s="46"/>
      <c r="O74" s="46"/>
      <c r="P74" s="46"/>
      <c r="Q74" s="46"/>
      <c r="R74" s="46"/>
      <c r="S74" s="46"/>
      <c r="T74" s="46"/>
      <c r="U74" s="46"/>
      <c r="V74" s="46"/>
      <c r="W74" s="46"/>
    </row>
    <row r="75">
      <c r="A75" s="52" t="s">
        <v>3527</v>
      </c>
      <c r="B75" s="212"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2" t="s">
        <v>3528</v>
      </c>
      <c r="D75" s="212" t="str">
        <f>IFERROR(__xludf.DUMMYFUNCTION("GOOGLETRANSLATE(A75,""zh-tw"",""zh"")"),"打开的""星之门""可以吸收物体和子弹，阻挡的伤害有上限(被浅羽攻击大约2秒就爆了)")</f>
        <v>打开的"星之门"可以吸收物体和子弹，阻挡的伤害有上限(被浅羽攻击大约2秒就爆了)</v>
      </c>
      <c r="E75" s="55"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3"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5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12" t="s">
        <v>3529</v>
      </c>
      <c r="I75" s="183" t="s">
        <v>3530</v>
      </c>
      <c r="J75" s="46"/>
      <c r="K75" s="46"/>
      <c r="L75" s="46"/>
      <c r="M75" s="46"/>
      <c r="N75" s="46"/>
      <c r="O75" s="46"/>
      <c r="P75" s="46"/>
      <c r="Q75" s="46"/>
      <c r="R75" s="46"/>
      <c r="S75" s="46"/>
      <c r="T75" s="46"/>
      <c r="U75" s="46"/>
      <c r="V75" s="46"/>
      <c r="W75" s="46"/>
    </row>
    <row r="76">
      <c r="A76" s="52" t="s">
        <v>3531</v>
      </c>
      <c r="B76" s="212"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2" t="s">
        <v>3532</v>
      </c>
      <c r="D76" s="212"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55"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3"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5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12" t="s">
        <v>3533</v>
      </c>
      <c r="I76" s="183" t="s">
        <v>3534</v>
      </c>
      <c r="J76" s="46"/>
      <c r="K76" s="46"/>
      <c r="L76" s="46"/>
      <c r="M76" s="46"/>
      <c r="N76" s="46"/>
      <c r="O76" s="46"/>
      <c r="P76" s="46"/>
      <c r="Q76" s="46"/>
      <c r="R76" s="46"/>
      <c r="S76" s="46"/>
      <c r="T76" s="46"/>
      <c r="U76" s="46"/>
      <c r="V76" s="46"/>
      <c r="W76" s="46"/>
    </row>
    <row r="77">
      <c r="A77" s="52" t="s">
        <v>3535</v>
      </c>
      <c r="B77" s="212"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2" t="s">
        <v>3536</v>
      </c>
      <c r="D77" s="212"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55"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3"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7" s="5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13"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83" t="s">
        <v>3537</v>
      </c>
      <c r="J77" s="46"/>
      <c r="K77" s="46"/>
      <c r="L77" s="46"/>
      <c r="M77" s="46"/>
      <c r="N77" s="46"/>
      <c r="O77" s="46"/>
      <c r="P77" s="46"/>
      <c r="Q77" s="46"/>
      <c r="R77" s="46"/>
      <c r="S77" s="46"/>
      <c r="T77" s="46"/>
      <c r="U77" s="46"/>
      <c r="V77" s="46"/>
      <c r="W77" s="46"/>
    </row>
    <row r="78">
      <c r="A78" s="55" t="s">
        <v>3538</v>
      </c>
      <c r="B78" s="213" t="s">
        <v>3539</v>
      </c>
      <c r="C78" s="55" t="s">
        <v>3540</v>
      </c>
      <c r="D78" s="212" t="str">
        <f>IFERROR(__xludf.DUMMYFUNCTION("GOOGLETRANSLATE(A78,""zh-tw"",""zh"")"),"牛奶是最好的解辣饮品，能大幅缩短解除辣哭了的持续时间")</f>
        <v>牛奶是最好的解辣饮品，能大幅缩短解除辣哭了的持续时间</v>
      </c>
      <c r="E78" s="101" t="s">
        <v>3541</v>
      </c>
      <c r="F78" s="213"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5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13" t="s">
        <v>3542</v>
      </c>
      <c r="I78" s="183" t="s">
        <v>3543</v>
      </c>
      <c r="J78" s="46"/>
      <c r="K78" s="46"/>
      <c r="L78" s="46"/>
      <c r="M78" s="46"/>
      <c r="N78" s="46"/>
      <c r="O78" s="46"/>
      <c r="P78" s="46"/>
      <c r="Q78" s="46"/>
      <c r="R78" s="46"/>
      <c r="S78" s="46"/>
      <c r="T78" s="46"/>
      <c r="U78" s="46"/>
      <c r="V78" s="46"/>
      <c r="W78" s="46"/>
    </row>
    <row r="79">
      <c r="A79" s="55" t="s">
        <v>3544</v>
      </c>
      <c r="B79" s="213" t="s">
        <v>3545</v>
      </c>
      <c r="C79" s="55" t="s">
        <v>3546</v>
      </c>
      <c r="D79" s="212"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101" t="s">
        <v>3547</v>
      </c>
      <c r="F79" s="213"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5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13" t="s">
        <v>3548</v>
      </c>
      <c r="I79" s="216" t="s">
        <v>3549</v>
      </c>
      <c r="J79" s="46"/>
      <c r="K79" s="46"/>
      <c r="L79" s="46"/>
      <c r="M79" s="46"/>
      <c r="N79" s="46"/>
      <c r="O79" s="46"/>
      <c r="P79" s="46"/>
      <c r="Q79" s="46"/>
      <c r="R79" s="46"/>
      <c r="S79" s="46"/>
      <c r="T79" s="46"/>
      <c r="U79" s="46"/>
      <c r="V79" s="46"/>
      <c r="W79" s="46"/>
    </row>
    <row r="80">
      <c r="A80" s="55" t="s">
        <v>3550</v>
      </c>
      <c r="B80" s="213" t="s">
        <v>3551</v>
      </c>
      <c r="C80" s="55" t="s">
        <v>3552</v>
      </c>
      <c r="D80" s="212" t="str">
        <f>IFERROR(__xludf.DUMMYFUNCTION("GOOGLETRANSLATE(A80,""zh-tw"",""zh"")"),"ASABA通常会出现在路边的草莓丛中")</f>
        <v>ASABA通常会出现在路边的草莓丛中</v>
      </c>
      <c r="E80" s="101" t="s">
        <v>3553</v>
      </c>
      <c r="F80" s="213" t="str">
        <f>IFERROR(__xludf.DUMMYFUNCTION("GOOGLETRANSLATE(A80,""zh-tw"",""KO"")"),"ASABA는 일반적으로 길가의 딸기 덤불에서 발견됩니다.")</f>
        <v>ASABA는 일반적으로 길가의 딸기 덤불에서 발견됩니다.</v>
      </c>
      <c r="G80" s="55" t="str">
        <f>IFERROR(__xludf.DUMMYFUNCTION("GOOGLETRANSLATE(A80,""zh-tw"",""ru"")"),"ASABA обычно можно найти в кустах клубники вдоль дорог.")</f>
        <v>ASABA обычно можно найти в кустах клубники вдоль дорог.</v>
      </c>
      <c r="H80" s="213" t="s">
        <v>3554</v>
      </c>
      <c r="I80" s="183" t="s">
        <v>3555</v>
      </c>
      <c r="J80" s="46"/>
      <c r="K80" s="46"/>
      <c r="L80" s="46"/>
      <c r="M80" s="46"/>
      <c r="N80" s="46"/>
      <c r="O80" s="46"/>
      <c r="P80" s="46"/>
      <c r="Q80" s="46"/>
      <c r="R80" s="46"/>
      <c r="S80" s="46"/>
      <c r="T80" s="46"/>
      <c r="U80" s="46"/>
      <c r="V80" s="46"/>
      <c r="W80" s="46"/>
    </row>
    <row r="81">
      <c r="A81" s="55" t="s">
        <v>3556</v>
      </c>
      <c r="B81" s="213" t="s">
        <v>3557</v>
      </c>
      <c r="C81" s="55" t="s">
        <v>3558</v>
      </c>
      <c r="D81" s="212" t="str">
        <f>IFERROR(__xludf.DUMMYFUNCTION("GOOGLETRANSLATE(A81,""zh-tw"",""zh"")"),"""草莓""食材，目前无实际用途，等待未来更新")</f>
        <v>"草莓"食材，目前无实际用途，等待未来更新</v>
      </c>
      <c r="E81" s="101" t="s">
        <v>3559</v>
      </c>
      <c r="F81" s="213"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55"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13" t="s">
        <v>3560</v>
      </c>
      <c r="I81" s="216" t="s">
        <v>3561</v>
      </c>
      <c r="J81" s="46"/>
      <c r="K81" s="46"/>
      <c r="L81" s="46"/>
      <c r="M81" s="46"/>
      <c r="N81" s="46"/>
      <c r="O81" s="46"/>
      <c r="P81" s="46"/>
      <c r="Q81" s="46"/>
      <c r="R81" s="46"/>
      <c r="S81" s="46"/>
      <c r="T81" s="46"/>
      <c r="U81" s="46"/>
      <c r="V81" s="46"/>
      <c r="W81" s="46"/>
    </row>
    <row r="82">
      <c r="A82" s="52" t="s">
        <v>3562</v>
      </c>
      <c r="B82" s="212" t="s">
        <v>3563</v>
      </c>
      <c r="C82" s="52" t="s">
        <v>3564</v>
      </c>
      <c r="D82" s="212"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101" t="s">
        <v>3565</v>
      </c>
      <c r="F82" s="213"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5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13" t="s">
        <v>3566</v>
      </c>
      <c r="I82" s="160" t="s">
        <v>3567</v>
      </c>
      <c r="J82" s="46"/>
      <c r="K82" s="46"/>
      <c r="L82" s="46"/>
      <c r="M82" s="46"/>
      <c r="N82" s="46"/>
      <c r="O82" s="46"/>
      <c r="P82" s="46"/>
      <c r="Q82" s="46"/>
      <c r="R82" s="46"/>
      <c r="S82" s="46"/>
      <c r="T82" s="46"/>
      <c r="U82" s="46"/>
      <c r="V82" s="46"/>
      <c r="W82" s="46"/>
    </row>
    <row r="83">
      <c r="A83" s="52" t="s">
        <v>3568</v>
      </c>
      <c r="B83" s="212" t="s">
        <v>3569</v>
      </c>
      <c r="C83" s="52" t="s">
        <v>3570</v>
      </c>
      <c r="D83" s="212"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101" t="s">
        <v>3571</v>
      </c>
      <c r="F83" s="213"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55"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вне игры поле ввода отсутствует; вводите данные вручную, "&amp;"не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вне игры поле ввода отсутствует; вводите данные вручную, не копируя и не вставляя.</v>
      </c>
      <c r="H83" s="212" t="s">
        <v>3572</v>
      </c>
      <c r="I83" s="160" t="s">
        <v>3573</v>
      </c>
      <c r="J83" s="46"/>
      <c r="K83" s="46"/>
      <c r="L83" s="46"/>
      <c r="M83" s="46"/>
      <c r="N83" s="46"/>
      <c r="O83" s="46"/>
      <c r="P83" s="46"/>
      <c r="Q83" s="46"/>
      <c r="R83" s="46"/>
      <c r="S83" s="46"/>
      <c r="T83" s="46"/>
      <c r="U83" s="46"/>
      <c r="V83" s="46"/>
      <c r="W83" s="46"/>
    </row>
    <row r="84" ht="53.25" customHeight="1">
      <c r="A84" s="55" t="s">
        <v>3574</v>
      </c>
      <c r="B84" s="212"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55" t="s">
        <v>3575</v>
      </c>
      <c r="D84" s="212" t="str">
        <f>IFERROR(__xludf.DUMMYFUNCTION("GOOGLETRANSLATE(A84,""zh-tw"",""zh"")"),"安卓版在RPG模式下，透过长按头像框，可以显示作弊码的输入框")</f>
        <v>安卓版在RPG模式下，透过长按头像框，可以显示作弊码的输入框</v>
      </c>
      <c r="E84" s="5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13"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55"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13" t="s">
        <v>3576</v>
      </c>
      <c r="I84" s="183" t="s">
        <v>3577</v>
      </c>
      <c r="J84" s="46"/>
      <c r="K84" s="46"/>
      <c r="L84" s="46"/>
      <c r="M84" s="46"/>
      <c r="N84" s="46"/>
      <c r="O84" s="46"/>
      <c r="P84" s="46"/>
      <c r="Q84" s="46"/>
      <c r="R84" s="46"/>
      <c r="S84" s="46"/>
      <c r="T84" s="46"/>
      <c r="U84" s="46"/>
      <c r="V84" s="46"/>
      <c r="W84" s="46"/>
    </row>
    <row r="85">
      <c r="A85" s="52" t="s">
        <v>3578</v>
      </c>
      <c r="B85" s="212"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2" t="s">
        <v>3579</v>
      </c>
      <c r="D85" s="212" t="str">
        <f>IFERROR(__xludf.DUMMYFUNCTION("GOOGLETRANSLATE(A85,""zh-tw"",""zh"")"),"取名补充：
取妹妹相关的名子时，游戏标题和游戏LOGO中的""彼女""将会变更为""妹""")</f>
        <v>取名补充：
取妹妹相关的名子时，游戏标题和游戏LOGO中的"彼女"将会变更为"妹"</v>
      </c>
      <c r="E85" s="55"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13"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55"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12" t="s">
        <v>3580</v>
      </c>
      <c r="I85" s="183" t="s">
        <v>3581</v>
      </c>
      <c r="J85" s="46"/>
      <c r="K85" s="46"/>
      <c r="L85" s="46"/>
      <c r="M85" s="46"/>
      <c r="N85" s="46"/>
      <c r="O85" s="46"/>
      <c r="P85" s="46"/>
      <c r="Q85" s="46"/>
      <c r="R85" s="46"/>
      <c r="S85" s="46"/>
      <c r="T85" s="46"/>
      <c r="U85" s="46"/>
      <c r="V85" s="46"/>
      <c r="W85" s="46"/>
    </row>
    <row r="86">
      <c r="A86" s="55" t="s">
        <v>3582</v>
      </c>
      <c r="B86" s="212"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55" t="s">
        <v>3583</v>
      </c>
      <c r="D86" s="212" t="str">
        <f>IFERROR(__xludf.DUMMYFUNCTION("GOOGLETRANSLATE(A86,""zh-tw"",""zh"")"),"安卓版在RPG模式下，透过点击头像框，可以显示FPS；PC版本是F2按键。")</f>
        <v>安卓版在RPG模式下，透过点击头像框，可以显示FPS；PC版本是F2按键。</v>
      </c>
      <c r="E86" s="55"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13"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55"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13" t="s">
        <v>3584</v>
      </c>
      <c r="I86" s="183" t="s">
        <v>3585</v>
      </c>
      <c r="J86" s="46"/>
      <c r="K86" s="46"/>
      <c r="L86" s="46"/>
      <c r="M86" s="46"/>
      <c r="N86" s="46"/>
      <c r="O86" s="46"/>
      <c r="P86" s="46"/>
      <c r="Q86" s="46"/>
      <c r="R86" s="46"/>
      <c r="S86" s="46"/>
      <c r="T86" s="46"/>
      <c r="U86" s="46"/>
      <c r="V86" s="46"/>
      <c r="W86" s="46"/>
    </row>
    <row r="87">
      <c r="A87" s="55" t="s">
        <v>3586</v>
      </c>
      <c r="B87" s="213" t="s">
        <v>3587</v>
      </c>
      <c r="C87" s="55" t="s">
        <v>3588</v>
      </c>
      <c r="D87" s="212"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101" t="s">
        <v>3589</v>
      </c>
      <c r="F87" s="213" t="str">
        <f>IFERROR(__xludf.DUMMYFUNCTION("GOOGLETRANSLATE(A87,""zh-tw"",""KO"")"),"뇌물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7" s="55" t="str">
        <f>IFERROR(__xludf.DUMMYFUNCTION("GOOGLETRANSLATE(A87,""zh-tw"",""ru"")"),"Что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13" t="s">
        <v>3590</v>
      </c>
      <c r="I87" s="183" t="s">
        <v>3591</v>
      </c>
      <c r="J87" s="46"/>
      <c r="K87" s="46"/>
      <c r="L87" s="46"/>
      <c r="M87" s="46"/>
      <c r="N87" s="46"/>
      <c r="O87" s="46"/>
      <c r="P87" s="46"/>
      <c r="Q87" s="46"/>
      <c r="R87" s="46"/>
      <c r="S87" s="46"/>
      <c r="T87" s="46"/>
      <c r="U87" s="46"/>
      <c r="V87" s="46"/>
      <c r="W87" s="46"/>
    </row>
    <row r="88">
      <c r="A88" s="52" t="s">
        <v>3592</v>
      </c>
      <c r="B88" s="212" t="str">
        <f>IFERROR(__xludf.DUMMYFUNCTION("GOOGLETRANSLATE(A88,""zh-tw"",""ja"")"),"「冒険の道：石碑」マップでは、石碑に今までに倒された回数が表示されます。")</f>
        <v>「冒険の道：石碑」マップでは、石碑に今までに倒された回数が表示されます。</v>
      </c>
      <c r="C88" s="52" t="s">
        <v>3593</v>
      </c>
      <c r="D88" s="212" t="str">
        <f>IFERROR(__xludf.DUMMYFUNCTION("GOOGLETRANSLATE(A88,""zh-tw"",""zh"")"),"在""冒险者小道:纪念碑""地图中，石碑可以查看到战败的次数了")</f>
        <v>在"冒险者小道:纪念碑"地图中，石碑可以查看到战败的次数了</v>
      </c>
      <c r="E88" s="55"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13" t="str">
        <f>IFERROR(__xludf.DUMMYFUNCTION("GOOGLETRANSLATE(A88,""zh-tw"",""KO"")"),"""모험가의 길: 기념물"" 지도에서 돌 기념물은 당신이 패배한 횟수를 표시합니다.")</f>
        <v>"모험가의 길: 기념물" 지도에서 돌 기념물은 당신이 패배한 횟수를 표시합니다.</v>
      </c>
      <c r="G88" s="55"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17" t="s">
        <v>3594</v>
      </c>
      <c r="I88" s="183" t="s">
        <v>3595</v>
      </c>
      <c r="J88" s="46"/>
      <c r="K88" s="46"/>
      <c r="L88" s="46"/>
      <c r="M88" s="46"/>
      <c r="N88" s="46"/>
      <c r="O88" s="46"/>
      <c r="P88" s="46"/>
      <c r="Q88" s="46"/>
      <c r="R88" s="46"/>
      <c r="S88" s="46"/>
      <c r="T88" s="46"/>
      <c r="U88" s="46"/>
      <c r="V88" s="46"/>
      <c r="W88" s="46"/>
    </row>
    <row r="89">
      <c r="A89" s="55" t="s">
        <v>3596</v>
      </c>
      <c r="B89" s="213" t="s">
        <v>3597</v>
      </c>
      <c r="C89" s="55" t="s">
        <v>3598</v>
      </c>
      <c r="D89" s="212"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55"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3"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5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13" t="s">
        <v>3599</v>
      </c>
      <c r="I89" s="183" t="s">
        <v>3600</v>
      </c>
      <c r="J89" s="46"/>
      <c r="K89" s="46"/>
      <c r="L89" s="46"/>
      <c r="M89" s="46"/>
      <c r="N89" s="46"/>
      <c r="O89" s="46"/>
      <c r="P89" s="46"/>
      <c r="Q89" s="46"/>
      <c r="R89" s="46"/>
      <c r="S89" s="46"/>
      <c r="T89" s="46"/>
      <c r="U89" s="46"/>
      <c r="V89" s="46"/>
      <c r="W89" s="46"/>
    </row>
    <row r="90">
      <c r="A90" s="55" t="s">
        <v>3601</v>
      </c>
      <c r="B90" s="213" t="s">
        <v>3602</v>
      </c>
      <c r="C90" s="55" t="s">
        <v>3603</v>
      </c>
      <c r="D90" s="212" t="str">
        <f>IFERROR(__xludf.DUMMYFUNCTION("GOOGLETRANSLATE(A90,""zh-tw"",""zh"")"),"卢恩符文Kenaz，只要是能攻击的对象，都可以发生效果(地图物件、怪物、BOSS、兔子洞...等)")</f>
        <v>卢恩符文Kenaz，只要是能攻击的对象，都可以发生效果(地图物件、怪物、BOSS、兔子洞...等)</v>
      </c>
      <c r="E90" s="55"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3"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5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13" t="s">
        <v>3604</v>
      </c>
      <c r="I90" s="183" t="s">
        <v>3605</v>
      </c>
      <c r="J90" s="46"/>
      <c r="K90" s="46"/>
      <c r="L90" s="46"/>
      <c r="M90" s="46"/>
      <c r="N90" s="46"/>
      <c r="O90" s="46"/>
      <c r="P90" s="46"/>
      <c r="Q90" s="46"/>
      <c r="R90" s="46"/>
      <c r="S90" s="46"/>
      <c r="T90" s="46"/>
      <c r="U90" s="46"/>
      <c r="V90" s="46"/>
      <c r="W90" s="46"/>
    </row>
    <row r="91">
      <c r="A91" s="52" t="s">
        <v>3606</v>
      </c>
      <c r="B91" s="212" t="s">
        <v>3607</v>
      </c>
      <c r="C91" s="52" t="s">
        <v>3608</v>
      </c>
      <c r="D91" s="212" t="str">
        <f>IFERROR(__xludf.DUMMYFUNCTION("GOOGLETRANSLATE(A91,""zh-tw"",""zh"")"),"不论是哥哥或妹妹，当食材全吃光后...将会触发在仓库中发现泡面的隐藏剧情")</f>
        <v>不论是哥哥或妹妹，当食材全吃光后...将会触发在仓库中发现泡面的隐藏剧情</v>
      </c>
      <c r="E91" s="55"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3"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5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13"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IFERROR(__xludf.DUMMYFUNCTION("GOOGLETRANSLATE(A92,""zh-tw"",""zh"")"),"矿车移动期间，可以提前跳车(部分效果演绎也会因此发生变化)")</f>
        <v>矿车移动期间，可以提前跳车(部分效果演绎也会因此发生变化)</v>
      </c>
      <c r="E92" s="55"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3"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5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55"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3"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5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12" t="s">
        <v>3618</v>
      </c>
      <c r="I93" s="183" t="s">
        <v>3619</v>
      </c>
      <c r="J93" s="46"/>
      <c r="K93" s="46"/>
      <c r="L93" s="46"/>
      <c r="M93" s="46"/>
      <c r="N93" s="46"/>
      <c r="O93" s="46"/>
      <c r="P93" s="46"/>
      <c r="Q93" s="46"/>
      <c r="R93" s="46"/>
      <c r="S93" s="46"/>
      <c r="T93" s="46"/>
      <c r="U93" s="46"/>
      <c r="V93" s="46"/>
      <c r="W93" s="46"/>
    </row>
    <row r="94">
      <c r="A94" s="55" t="s">
        <v>3620</v>
      </c>
      <c r="B94" s="212" t="s">
        <v>3621</v>
      </c>
      <c r="C94" s="55" t="s">
        <v>3622</v>
      </c>
      <c r="D94" s="212" t="str">
        <f>IFERROR(__xludf.DUMMYFUNCTION("GOOGLETRANSLATE(A94,""zh-tw"",""zh"")"),"箱庭的白兔-在兔子洞全部破坏后，会被迫弹到地面")</f>
        <v>箱庭的白兔-在兔子洞全部破坏后，会被迫弹到地面</v>
      </c>
      <c r="E94" s="55"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3" t="str">
        <f>IFERROR(__xludf.DUMMYFUNCTION("GOOGLETRANSLATE(A94,""zh-tw"",""KO"")"),"작은 정원의 흰 토끼 - 토끼 굴이 완전히 파괴되면 땅으로 튀어 오르게 됩니다.")</f>
        <v>작은 정원의 흰 토끼 - 토끼 굴이 완전히 파괴되면 땅으로 튀어 오르게 됩니다.</v>
      </c>
      <c r="G94" s="5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13" t="s">
        <v>3623</v>
      </c>
      <c r="I94" s="183" t="s">
        <v>3624</v>
      </c>
      <c r="J94" s="46"/>
      <c r="K94" s="46"/>
      <c r="L94" s="46"/>
      <c r="M94" s="46"/>
      <c r="N94" s="46"/>
      <c r="O94" s="46"/>
      <c r="P94" s="46"/>
      <c r="Q94" s="46"/>
      <c r="R94" s="46"/>
      <c r="S94" s="46"/>
      <c r="T94" s="46"/>
      <c r="U94" s="46"/>
      <c r="V94" s="46"/>
      <c r="W94" s="46"/>
    </row>
    <row r="95">
      <c r="A95" s="55" t="s">
        <v>3625</v>
      </c>
      <c r="B95" s="213" t="s">
        <v>3626</v>
      </c>
      <c r="C95" s="55" t="s">
        <v>3627</v>
      </c>
      <c r="D95" s="212" t="str">
        <f>IFERROR(__xludf.DUMMYFUNCTION("GOOGLETRANSLATE(A95,""zh-tw"",""zh"")"),"箱庭的白兔-会强制玩家无法逃离(星之门也会被吞噬)，但是塔罗牌不受影响。")</f>
        <v>箱庭的白兔-会强制玩家无法逃离(星之门也会被吞噬)，但是塔罗牌不受影响。</v>
      </c>
      <c r="E95" s="55" t="str">
        <f>IFERROR(__xludf.DUMMYFUNCTION("GOOGLETRANSLATE(A95,""zh-tw"",""es-MX"")"),"El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5" s="213"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5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13" t="s">
        <v>3628</v>
      </c>
      <c r="I95" s="183" t="s">
        <v>3629</v>
      </c>
      <c r="J95" s="46"/>
      <c r="K95" s="46"/>
      <c r="L95" s="46"/>
      <c r="M95" s="46"/>
      <c r="N95" s="46"/>
      <c r="O95" s="46"/>
      <c r="P95" s="46"/>
      <c r="Q95" s="46"/>
      <c r="R95" s="46"/>
      <c r="S95" s="46"/>
      <c r="T95" s="46"/>
      <c r="U95" s="46"/>
      <c r="V95" s="46"/>
      <c r="W95" s="46"/>
    </row>
    <row r="96">
      <c r="A96" s="55" t="s">
        <v>3630</v>
      </c>
      <c r="B96" s="213" t="s">
        <v>3631</v>
      </c>
      <c r="C96" s="55" t="s">
        <v>3632</v>
      </c>
      <c r="D96" s="212" t="str">
        <f>IFERROR(__xludf.DUMMYFUNCTION("GOOGLETRANSLATE(A96,""zh-tw"",""zh"")"),"箱庭的白兔-如果玩家战斗落败，身上的胡萝卜会被没收")</f>
        <v>箱庭的白兔-如果玩家战斗落败，身上的胡萝卜会被没收</v>
      </c>
      <c r="E96" s="55"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3"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55"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13" t="s">
        <v>3633</v>
      </c>
      <c r="I96" s="183" t="s">
        <v>3634</v>
      </c>
      <c r="J96" s="46"/>
      <c r="K96" s="46"/>
      <c r="L96" s="46"/>
      <c r="M96" s="46"/>
      <c r="N96" s="46"/>
      <c r="O96" s="46"/>
      <c r="P96" s="46"/>
      <c r="Q96" s="46"/>
      <c r="R96" s="46"/>
      <c r="S96" s="46"/>
      <c r="T96" s="46"/>
      <c r="U96" s="46"/>
      <c r="V96" s="46"/>
      <c r="W96" s="46"/>
    </row>
    <row r="97">
      <c r="A97" s="52" t="s">
        <v>3635</v>
      </c>
      <c r="B97" s="213" t="s">
        <v>3636</v>
      </c>
      <c r="C97" s="55" t="s">
        <v>3637</v>
      </c>
      <c r="D97" s="212"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55"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3"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55"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13" t="s">
        <v>3638</v>
      </c>
      <c r="I97" s="183" t="s">
        <v>3639</v>
      </c>
      <c r="J97" s="46"/>
      <c r="K97" s="46"/>
      <c r="L97" s="46"/>
      <c r="M97" s="46"/>
      <c r="N97" s="46"/>
      <c r="O97" s="46"/>
      <c r="P97" s="46"/>
      <c r="Q97" s="46"/>
      <c r="R97" s="46"/>
      <c r="S97" s="46"/>
      <c r="T97" s="46"/>
      <c r="U97" s="46"/>
      <c r="V97" s="46"/>
      <c r="W97" s="46"/>
    </row>
    <row r="98">
      <c r="A98" s="52" t="s">
        <v>3640</v>
      </c>
      <c r="B98" s="213" t="s">
        <v>3641</v>
      </c>
      <c r="C98" s="55" t="s">
        <v>3642</v>
      </c>
      <c r="D98" s="212" t="str">
        <f>IFERROR(__xludf.DUMMYFUNCTION("GOOGLETRANSLATE(A98,""zh-tw"",""zh"")"),"ASABA的草莓/胡萝卜，目前对于妹妹与哥哥的饮食方面无特殊影响效果")</f>
        <v>ASABA的草莓/胡萝卜，目前对于妹妹与哥哥的饮食方面无特殊影响效果</v>
      </c>
      <c r="E98" s="55"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3"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5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13" t="s">
        <v>3643</v>
      </c>
      <c r="I98" s="183" t="s">
        <v>3644</v>
      </c>
      <c r="J98" s="46"/>
      <c r="K98" s="46"/>
      <c r="L98" s="46"/>
      <c r="M98" s="46"/>
      <c r="N98" s="46"/>
      <c r="O98" s="46"/>
      <c r="P98" s="46"/>
      <c r="Q98" s="46"/>
      <c r="R98" s="46"/>
      <c r="S98" s="46"/>
      <c r="T98" s="46"/>
      <c r="U98" s="46"/>
      <c r="V98" s="46"/>
      <c r="W98" s="46"/>
    </row>
    <row r="99">
      <c r="A99" s="52" t="s">
        <v>3645</v>
      </c>
      <c r="B99" s="213" t="s">
        <v>3646</v>
      </c>
      <c r="C99" s="55" t="s">
        <v>3647</v>
      </c>
      <c r="D99" s="212" t="str">
        <f>IFERROR(__xludf.DUMMYFUNCTION("GOOGLETRANSLATE(A99,""zh-tw"",""zh"")"),"""ASABA的草莓""比普通草莓更好吃，如果拿这个食材喂ASABA，会激怒它，并触发BOSS战斗")</f>
        <v>"ASABA的草莓"比普通草莓更好吃，如果拿这个食材喂ASABA，会激怒它，并触发BOSS战斗</v>
      </c>
      <c r="E99" s="55"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3"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5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13" t="s">
        <v>3648</v>
      </c>
      <c r="I99" s="183" t="s">
        <v>3649</v>
      </c>
      <c r="J99" s="46"/>
      <c r="K99" s="46"/>
      <c r="L99" s="46"/>
      <c r="M99" s="46"/>
      <c r="N99" s="46"/>
      <c r="O99" s="46"/>
      <c r="P99" s="46"/>
      <c r="Q99" s="46"/>
      <c r="R99" s="46"/>
      <c r="S99" s="46"/>
      <c r="T99" s="46"/>
      <c r="U99" s="46"/>
      <c r="V99" s="46"/>
      <c r="W99" s="46"/>
    </row>
    <row r="100">
      <c r="A100" s="52" t="s">
        <v>3650</v>
      </c>
      <c r="B100" s="212" t="s">
        <v>3651</v>
      </c>
      <c r="C100" s="52" t="s">
        <v>3652</v>
      </c>
      <c r="D100" s="212"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55"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3"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55"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12" t="s">
        <v>3653</v>
      </c>
      <c r="I100" s="160" t="s">
        <v>3654</v>
      </c>
      <c r="J100" s="46"/>
      <c r="K100" s="46"/>
      <c r="L100" s="46"/>
      <c r="M100" s="46"/>
      <c r="N100" s="46"/>
      <c r="O100" s="46"/>
      <c r="P100" s="46"/>
      <c r="Q100" s="46"/>
      <c r="R100" s="46"/>
      <c r="S100" s="46"/>
      <c r="T100" s="46"/>
      <c r="U100" s="46"/>
      <c r="V100" s="46"/>
      <c r="W100" s="46"/>
    </row>
    <row r="101">
      <c r="A101" s="52" t="s">
        <v>3655</v>
      </c>
      <c r="B101" s="212" t="s">
        <v>3656</v>
      </c>
      <c r="C101" s="52" t="s">
        <v>3657</v>
      </c>
      <c r="D101" s="212"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55"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13"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55"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13"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160" t="s">
        <v>3658</v>
      </c>
      <c r="J101" s="46"/>
      <c r="K101" s="46"/>
      <c r="L101" s="46"/>
      <c r="M101" s="46"/>
      <c r="N101" s="46"/>
      <c r="O101" s="46"/>
      <c r="P101" s="46"/>
      <c r="Q101" s="46"/>
      <c r="R101" s="46"/>
      <c r="S101" s="46"/>
      <c r="T101" s="46"/>
      <c r="U101" s="46"/>
      <c r="V101" s="46"/>
      <c r="W101" s="46"/>
    </row>
    <row r="102">
      <c r="A102" s="52" t="s">
        <v>3659</v>
      </c>
      <c r="B102" s="212"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2" t="s">
        <v>3660</v>
      </c>
      <c r="D102" s="212"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55"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3"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5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13"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83" t="s">
        <v>3661</v>
      </c>
      <c r="J102" s="46"/>
      <c r="K102" s="46"/>
      <c r="L102" s="46"/>
      <c r="M102" s="46"/>
      <c r="N102" s="46"/>
      <c r="O102" s="46"/>
      <c r="P102" s="46"/>
      <c r="Q102" s="46"/>
      <c r="R102" s="46"/>
      <c r="S102" s="46"/>
      <c r="T102" s="46"/>
      <c r="U102" s="46"/>
      <c r="V102" s="46"/>
      <c r="W102" s="46"/>
    </row>
    <row r="103">
      <c r="A103" s="52" t="s">
        <v>3662</v>
      </c>
      <c r="B103" s="212" t="s">
        <v>3663</v>
      </c>
      <c r="C103" s="52" t="s">
        <v>3664</v>
      </c>
      <c r="D103" s="212" t="str">
        <f>IFERROR(__xludf.DUMMYFUNCTION("GOOGLETRANSLATE(A103,""zh-tw"",""zh"")"),"兔子洞只能使用爆炸属性的伤害进行攻击，其他攻击或者从者攻击，皆无效果。")</f>
        <v>兔子洞只能使用爆炸属性的伤害进行攻击，其他攻击或者从者攻击，皆无效果。</v>
      </c>
      <c r="E103" s="55"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3"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5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12" t="s">
        <v>3665</v>
      </c>
      <c r="I103" s="183" t="s">
        <v>3666</v>
      </c>
      <c r="J103" s="46"/>
      <c r="K103" s="46"/>
      <c r="L103" s="46"/>
      <c r="M103" s="46"/>
      <c r="N103" s="46"/>
      <c r="O103" s="46"/>
      <c r="P103" s="46"/>
      <c r="Q103" s="46"/>
      <c r="R103" s="46"/>
      <c r="S103" s="46"/>
      <c r="T103" s="46"/>
      <c r="U103" s="46"/>
      <c r="V103" s="46"/>
      <c r="W103" s="46"/>
    </row>
    <row r="104">
      <c r="A104" s="52" t="s">
        <v>3667</v>
      </c>
      <c r="B104" s="212" t="s">
        <v>3668</v>
      </c>
      <c r="C104" s="52" t="s">
        <v>3669</v>
      </c>
      <c r="D104" s="212"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55"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3"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55"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4" s="212" t="s">
        <v>3670</v>
      </c>
      <c r="I104" s="183" t="s">
        <v>3671</v>
      </c>
      <c r="J104" s="46"/>
      <c r="K104" s="46"/>
      <c r="L104" s="46"/>
      <c r="M104" s="46"/>
      <c r="N104" s="46"/>
      <c r="O104" s="46"/>
      <c r="P104" s="46"/>
      <c r="Q104" s="46"/>
      <c r="R104" s="46"/>
      <c r="S104" s="46"/>
      <c r="T104" s="46"/>
      <c r="U104" s="46"/>
      <c r="V104" s="46"/>
      <c r="W104" s="46"/>
    </row>
    <row r="105">
      <c r="A105" s="52" t="s">
        <v>3672</v>
      </c>
      <c r="B105" s="212" t="s">
        <v>3673</v>
      </c>
      <c r="C105" s="52" t="s">
        <v>3674</v>
      </c>
      <c r="D105" s="212"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55"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3"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5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12" t="s">
        <v>3675</v>
      </c>
      <c r="I105" s="183" t="s">
        <v>3676</v>
      </c>
      <c r="J105" s="46"/>
      <c r="K105" s="46"/>
      <c r="L105" s="46"/>
      <c r="M105" s="46"/>
      <c r="N105" s="46"/>
      <c r="O105" s="46"/>
      <c r="P105" s="46"/>
      <c r="Q105" s="46"/>
      <c r="R105" s="46"/>
      <c r="S105" s="46"/>
      <c r="T105" s="46"/>
      <c r="U105" s="46"/>
      <c r="V105" s="46"/>
      <c r="W105" s="46"/>
    </row>
    <row r="106">
      <c r="A106" s="52" t="s">
        <v>3677</v>
      </c>
      <c r="B106" s="212" t="s">
        <v>3678</v>
      </c>
      <c r="C106" s="52" t="s">
        <v>3679</v>
      </c>
      <c r="D106" s="212"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55"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3"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5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12" t="s">
        <v>3680</v>
      </c>
      <c r="I106" s="160" t="s">
        <v>3681</v>
      </c>
      <c r="J106" s="46"/>
      <c r="K106" s="46"/>
      <c r="L106" s="46"/>
      <c r="M106" s="46"/>
      <c r="N106" s="46"/>
      <c r="O106" s="46"/>
      <c r="P106" s="46"/>
      <c r="Q106" s="46"/>
      <c r="R106" s="46"/>
      <c r="S106" s="46"/>
      <c r="T106" s="46"/>
      <c r="U106" s="46"/>
      <c r="V106" s="46"/>
      <c r="W106" s="46"/>
    </row>
    <row r="107">
      <c r="A107" s="52" t="s">
        <v>3682</v>
      </c>
      <c r="B107" s="212" t="s">
        <v>3683</v>
      </c>
      <c r="C107" s="52" t="s">
        <v>3684</v>
      </c>
      <c r="D107" s="212"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55"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3"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5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212" t="s">
        <v>3685</v>
      </c>
      <c r="I107" s="183" t="s">
        <v>3686</v>
      </c>
      <c r="J107" s="46"/>
      <c r="K107" s="46"/>
      <c r="L107" s="46"/>
      <c r="M107" s="46"/>
      <c r="N107" s="46"/>
      <c r="O107" s="46"/>
      <c r="P107" s="46"/>
      <c r="Q107" s="46"/>
      <c r="R107" s="46"/>
      <c r="S107" s="46"/>
      <c r="T107" s="46"/>
      <c r="U107" s="46"/>
      <c r="V107" s="46"/>
      <c r="W107" s="46"/>
    </row>
    <row r="108">
      <c r="A108" s="52" t="s">
        <v>3687</v>
      </c>
      <c r="B108" s="212" t="s">
        <v>3688</v>
      </c>
      <c r="C108" s="52" t="s">
        <v>3689</v>
      </c>
      <c r="D108" s="212" t="str">
        <f>IFERROR(__xludf.DUMMYFUNCTION("GOOGLETRANSLATE(A108,""zh-tw"",""zh"")"),"毒雾遇上火属性攻击时，可以产生粉尘爆炸")</f>
        <v>毒雾遇上火属性攻击时，可以产生粉尘爆炸</v>
      </c>
      <c r="E108" s="5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3" t="str">
        <f>IFERROR(__xludf.DUMMYFUNCTION("GOOGLETRANSLATE(A108,""zh-tw"",""KO"")"),"독성 안개가 화염 속성의 공격을 받으면 먼지 폭발을 일으킬 수 있습니다.")</f>
        <v>독성 안개가 화염 속성의 공격을 받으면 먼지 폭발을 일으킬 수 있습니다.</v>
      </c>
      <c r="G108" s="5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12" t="s">
        <v>3690</v>
      </c>
      <c r="I108" s="183" t="s">
        <v>3691</v>
      </c>
      <c r="J108" s="46"/>
      <c r="K108" s="46"/>
      <c r="L108" s="46"/>
      <c r="M108" s="46"/>
      <c r="N108" s="46"/>
      <c r="O108" s="46"/>
      <c r="P108" s="46"/>
      <c r="Q108" s="46"/>
      <c r="R108" s="46"/>
      <c r="S108" s="46"/>
      <c r="T108" s="46"/>
      <c r="U108" s="46"/>
      <c r="V108" s="46"/>
      <c r="W108" s="46"/>
    </row>
    <row r="109">
      <c r="A109" s="52" t="s">
        <v>3692</v>
      </c>
      <c r="B109" s="212" t="s">
        <v>3693</v>
      </c>
      <c r="C109" s="52" t="s">
        <v>3694</v>
      </c>
      <c r="D109" s="212"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55"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3"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5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12" t="s">
        <v>3695</v>
      </c>
      <c r="I109" s="183" t="s">
        <v>3696</v>
      </c>
      <c r="J109" s="46"/>
      <c r="K109" s="46"/>
      <c r="L109" s="46"/>
      <c r="M109" s="46"/>
      <c r="N109" s="46"/>
      <c r="O109" s="46"/>
      <c r="P109" s="46"/>
      <c r="Q109" s="46"/>
      <c r="R109" s="46"/>
      <c r="S109" s="46"/>
      <c r="T109" s="46"/>
      <c r="U109" s="46"/>
      <c r="V109" s="46"/>
      <c r="W109" s="46"/>
    </row>
    <row r="110">
      <c r="A110" s="52" t="s">
        <v>3697</v>
      </c>
      <c r="B110" s="212" t="s">
        <v>3698</v>
      </c>
      <c r="C110" s="52" t="s">
        <v>3699</v>
      </c>
      <c r="D110" s="212"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55"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3" t="str">
        <f>IFERROR(__xludf.DUMMYFUNCTION("GOOGLETRANSLATE(A110,""zh-tw"",""KO"")"),"비가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0" s="5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12" t="s">
        <v>3700</v>
      </c>
      <c r="I110" s="183" t="s">
        <v>3701</v>
      </c>
      <c r="J110" s="46"/>
      <c r="K110" s="46"/>
      <c r="L110" s="46"/>
      <c r="M110" s="46"/>
      <c r="N110" s="46"/>
      <c r="O110" s="46"/>
      <c r="P110" s="46"/>
      <c r="Q110" s="46"/>
      <c r="R110" s="46"/>
      <c r="S110" s="46"/>
      <c r="T110" s="46"/>
      <c r="U110" s="46"/>
      <c r="V110" s="46"/>
      <c r="W110" s="46"/>
    </row>
    <row r="111">
      <c r="A111" s="52" t="s">
        <v>3702</v>
      </c>
      <c r="B111" s="212" t="s">
        <v>3703</v>
      </c>
      <c r="C111" s="52" t="s">
        <v>3704</v>
      </c>
      <c r="D111" s="212"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55"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3"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5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12"/>
      <c r="I111" s="101" t="s">
        <v>3705</v>
      </c>
      <c r="J111" s="46"/>
      <c r="K111" s="46"/>
      <c r="L111" s="46"/>
      <c r="M111" s="46"/>
      <c r="N111" s="46"/>
      <c r="O111" s="46"/>
      <c r="P111" s="46"/>
      <c r="Q111" s="46"/>
      <c r="R111" s="46"/>
      <c r="S111" s="46"/>
      <c r="T111" s="46"/>
      <c r="U111" s="46"/>
      <c r="V111" s="46"/>
      <c r="W111" s="46"/>
    </row>
    <row r="112">
      <c r="A112" s="55"/>
      <c r="B112" s="213"/>
      <c r="C112" s="55"/>
      <c r="D112" s="213"/>
      <c r="E112" s="122"/>
      <c r="F112" s="218"/>
      <c r="G112" s="122"/>
      <c r="H112" s="213"/>
      <c r="I112" s="219"/>
      <c r="J112" s="46"/>
      <c r="K112" s="46"/>
      <c r="L112" s="46"/>
      <c r="M112" s="46"/>
      <c r="N112" s="46"/>
      <c r="O112" s="46"/>
      <c r="P112" s="46"/>
      <c r="Q112" s="46"/>
      <c r="R112" s="46"/>
      <c r="S112" s="46"/>
      <c r="T112" s="46"/>
      <c r="U112" s="46"/>
      <c r="V112" s="46"/>
      <c r="W112" s="46"/>
    </row>
    <row r="113">
      <c r="A113" s="55"/>
      <c r="B113" s="213"/>
      <c r="C113" s="55"/>
      <c r="D113" s="213"/>
      <c r="E113" s="122"/>
      <c r="F113" s="218"/>
      <c r="G113" s="122"/>
      <c r="H113" s="213"/>
      <c r="I113" s="219"/>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122"/>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122"/>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46"/>
      <c r="F1031" s="46"/>
      <c r="G1031" s="46"/>
      <c r="H1031" s="46"/>
      <c r="I1031" s="46"/>
      <c r="J1031" s="46"/>
      <c r="K1031" s="46"/>
      <c r="L1031" s="46"/>
      <c r="M1031" s="46"/>
      <c r="N1031" s="46"/>
      <c r="O1031" s="46"/>
      <c r="P1031" s="46"/>
      <c r="Q1031" s="46"/>
      <c r="R1031" s="46"/>
      <c r="S1031" s="46"/>
      <c r="T1031" s="46"/>
      <c r="U1031" s="46"/>
      <c r="V1031" s="46"/>
      <c r="W1031" s="46"/>
    </row>
    <row r="1032">
      <c r="A1032" s="55"/>
      <c r="B1032" s="213"/>
      <c r="C1032" s="55"/>
      <c r="D1032" s="213"/>
      <c r="E1032" s="46"/>
      <c r="F1032" s="46"/>
      <c r="G1032" s="46"/>
      <c r="H1032" s="46"/>
      <c r="I1032" s="46"/>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3706</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3707</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3708</v>
      </c>
      <c r="I3" s="229"/>
      <c r="J3" s="228" t="s">
        <v>3709</v>
      </c>
      <c r="M3" s="229"/>
      <c r="N3" s="228" t="s">
        <v>3710</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3711</v>
      </c>
      <c r="B5" s="232"/>
      <c r="C5" s="232"/>
      <c r="D5" s="232"/>
      <c r="E5" s="233"/>
      <c r="F5" s="231" t="str">
        <f>IFERROR(__xludf.DUMMYFUNCTION("GOOGLETRANSLATE(A5,""zh-tw"",""ja"")"),"荒野地域")</f>
        <v>荒野地域</v>
      </c>
      <c r="G5" s="232"/>
      <c r="H5" s="232"/>
      <c r="I5" s="233"/>
      <c r="J5" s="231" t="s">
        <v>3712</v>
      </c>
      <c r="K5" s="232"/>
      <c r="L5" s="232"/>
      <c r="M5" s="233"/>
      <c r="N5" s="234" t="s">
        <v>3713</v>
      </c>
      <c r="O5" s="232"/>
      <c r="P5" s="232"/>
      <c r="Q5" s="232"/>
      <c r="R5" s="233"/>
      <c r="S5" s="235"/>
      <c r="T5" s="232"/>
      <c r="U5" s="232"/>
      <c r="V5" s="233"/>
      <c r="W5" s="236"/>
      <c r="X5" s="236"/>
      <c r="Y5" s="236"/>
      <c r="Z5" s="236"/>
      <c r="AA5" s="236"/>
      <c r="AB5" s="236"/>
    </row>
    <row r="6" ht="53.25" customHeight="1">
      <c r="A6" s="237" t="s">
        <v>722</v>
      </c>
      <c r="B6" s="237" t="s">
        <v>722</v>
      </c>
      <c r="C6" s="237" t="s">
        <v>722</v>
      </c>
      <c r="D6" s="237" t="s">
        <v>722</v>
      </c>
      <c r="E6" s="238" t="s">
        <v>3714</v>
      </c>
      <c r="F6" s="239" t="s">
        <v>722</v>
      </c>
      <c r="G6" s="240" t="s">
        <v>722</v>
      </c>
      <c r="H6" s="241" t="s">
        <v>3715</v>
      </c>
      <c r="I6" s="239" t="s">
        <v>722</v>
      </c>
      <c r="J6" s="242" t="s">
        <v>722</v>
      </c>
      <c r="K6" s="243" t="s">
        <v>722</v>
      </c>
      <c r="L6" s="242" t="s">
        <v>722</v>
      </c>
      <c r="M6" s="244" t="s">
        <v>3716</v>
      </c>
      <c r="N6" s="245" t="s">
        <v>722</v>
      </c>
      <c r="O6" s="245" t="s">
        <v>722</v>
      </c>
      <c r="P6" s="246" t="s">
        <v>722</v>
      </c>
      <c r="Q6" s="246" t="s">
        <v>722</v>
      </c>
      <c r="R6" s="247" t="s">
        <v>3717</v>
      </c>
      <c r="S6" s="248"/>
      <c r="T6" s="249"/>
      <c r="U6" s="249"/>
      <c r="V6" s="250"/>
      <c r="W6" s="251"/>
      <c r="X6" s="251"/>
      <c r="Y6" s="251"/>
      <c r="Z6" s="251"/>
      <c r="AA6" s="251"/>
    </row>
    <row r="7" ht="75.0" customHeight="1">
      <c r="A7" s="237" t="s">
        <v>722</v>
      </c>
      <c r="B7" s="237" t="s">
        <v>722</v>
      </c>
      <c r="C7" s="237" t="s">
        <v>3718</v>
      </c>
      <c r="D7" s="252" t="s">
        <v>3719</v>
      </c>
      <c r="E7" s="253" t="s">
        <v>3720</v>
      </c>
      <c r="F7" s="239" t="str">
        <f>IFERROR(__xludf.DUMMYFUNCTION("GOOGLETRANSLATE(B7,""zh-tw"",""ja"")"),"-")</f>
        <v>-</v>
      </c>
      <c r="G7" s="240" t="s">
        <v>3721</v>
      </c>
      <c r="H7" s="254" t="s">
        <v>3722</v>
      </c>
      <c r="I7" s="239" t="str">
        <f>IFERROR(__xludf.DUMMYFUNCTION("GOOGLETRANSLATE(#REF!,""zh-tw"",""ja"")"),"#REF!")</f>
        <v>#REF!</v>
      </c>
      <c r="J7" s="242" t="str">
        <f>IFERROR(__xludf.DUMMYFUNCTION("GOOGLETRANSLATE(B7,""zh-tw"",""en"")"),"-")</f>
        <v>-</v>
      </c>
      <c r="K7" s="243" t="s">
        <v>3723</v>
      </c>
      <c r="L7" s="242" t="str">
        <f>IFERROR(__xludf.DUMMYFUNCTION("GOOGLETRANSLATE(D7,""zh-tw"",""en"")"),"Development Zone (Mine Pit) -2")</f>
        <v>Development Zone (Mine Pit) -2</v>
      </c>
      <c r="M7" s="255" t="s">
        <v>3724</v>
      </c>
      <c r="N7" s="245" t="s">
        <v>722</v>
      </c>
      <c r="O7" s="245" t="str">
        <f>IFERROR(__xludf.DUMMYFUNCTION("GOOGLETRANSLATE(B7,""zh-tw"",""zh"")"),"-")</f>
        <v>-</v>
      </c>
      <c r="P7" s="246" t="s">
        <v>3725</v>
      </c>
      <c r="Q7" s="256" t="s">
        <v>722</v>
      </c>
      <c r="R7" s="257" t="s">
        <v>3726</v>
      </c>
      <c r="S7" s="248"/>
      <c r="T7" s="249"/>
      <c r="U7" s="249"/>
      <c r="V7" s="258"/>
      <c r="W7" s="251"/>
      <c r="X7" s="251"/>
      <c r="Y7" s="251"/>
      <c r="Z7" s="251"/>
      <c r="AA7" s="251"/>
    </row>
    <row r="8">
      <c r="A8" s="237" t="s">
        <v>722</v>
      </c>
      <c r="B8" s="238" t="s">
        <v>3727</v>
      </c>
      <c r="C8" s="238" t="s">
        <v>3728</v>
      </c>
      <c r="D8" s="238" t="s">
        <v>3729</v>
      </c>
      <c r="E8" s="237" t="s">
        <v>3730</v>
      </c>
      <c r="F8" s="241" t="s">
        <v>3731</v>
      </c>
      <c r="G8" s="241" t="s">
        <v>3732</v>
      </c>
      <c r="H8" s="239" t="s">
        <v>3733</v>
      </c>
      <c r="I8" s="239" t="str">
        <f>IFERROR(__xludf.DUMMYFUNCTION("GOOGLETRANSLATE(#REF!,""zh-tw"",""ja"")"),"#REF!")</f>
        <v>#REF!</v>
      </c>
      <c r="J8" s="244" t="s">
        <v>3734</v>
      </c>
      <c r="K8" s="244" t="s">
        <v>3735</v>
      </c>
      <c r="L8" s="242" t="s">
        <v>3736</v>
      </c>
      <c r="M8" s="242" t="s">
        <v>3736</v>
      </c>
      <c r="N8" s="245" t="s">
        <v>722</v>
      </c>
      <c r="O8" s="247" t="s">
        <v>3737</v>
      </c>
      <c r="P8" s="247" t="s">
        <v>3738</v>
      </c>
      <c r="Q8" s="247" t="s">
        <v>3739</v>
      </c>
      <c r="R8" s="245" t="s">
        <v>3740</v>
      </c>
      <c r="S8" s="259"/>
      <c r="T8" s="249"/>
      <c r="U8" s="249"/>
      <c r="V8" s="249"/>
      <c r="W8" s="251"/>
      <c r="X8" s="251"/>
      <c r="Y8" s="251"/>
      <c r="Z8" s="251"/>
      <c r="AA8" s="251"/>
    </row>
    <row r="9">
      <c r="A9" s="237" t="s">
        <v>722</v>
      </c>
      <c r="B9" s="238" t="s">
        <v>3741</v>
      </c>
      <c r="C9" s="238" t="s">
        <v>3742</v>
      </c>
      <c r="D9" s="252" t="s">
        <v>722</v>
      </c>
      <c r="E9" s="260" t="s">
        <v>3743</v>
      </c>
      <c r="F9" s="241" t="s">
        <v>3744</v>
      </c>
      <c r="G9" s="241" t="s">
        <v>3745</v>
      </c>
      <c r="H9" s="241" t="s">
        <v>3746</v>
      </c>
      <c r="I9" s="239" t="s">
        <v>722</v>
      </c>
      <c r="J9" s="244" t="s">
        <v>3747</v>
      </c>
      <c r="K9" s="244" t="s">
        <v>3748</v>
      </c>
      <c r="L9" s="243" t="s">
        <v>722</v>
      </c>
      <c r="M9" s="244" t="s">
        <v>3749</v>
      </c>
      <c r="N9" s="245" t="s">
        <v>722</v>
      </c>
      <c r="O9" s="247" t="s">
        <v>3750</v>
      </c>
      <c r="P9" s="247" t="s">
        <v>3751</v>
      </c>
      <c r="Q9" s="246" t="s">
        <v>722</v>
      </c>
      <c r="R9" s="247" t="s">
        <v>3752</v>
      </c>
      <c r="S9" s="248"/>
      <c r="T9" s="249"/>
      <c r="U9" s="249"/>
      <c r="V9" s="249"/>
      <c r="W9" s="251"/>
      <c r="X9" s="251"/>
      <c r="Y9" s="251"/>
      <c r="Z9" s="251"/>
      <c r="AA9" s="251"/>
    </row>
    <row r="10" ht="60.0" customHeight="1">
      <c r="A10" s="237" t="s">
        <v>722</v>
      </c>
      <c r="B10" s="238" t="s">
        <v>3753</v>
      </c>
      <c r="C10" s="261" t="s">
        <v>3754</v>
      </c>
      <c r="D10" s="238" t="s">
        <v>3755</v>
      </c>
      <c r="E10" s="238" t="s">
        <v>3756</v>
      </c>
      <c r="F10" s="241" t="s">
        <v>3757</v>
      </c>
      <c r="G10" s="262" t="s">
        <v>3758</v>
      </c>
      <c r="H10" s="241" t="s">
        <v>3759</v>
      </c>
      <c r="I10" s="240" t="s">
        <v>722</v>
      </c>
      <c r="J10" s="244" t="s">
        <v>3760</v>
      </c>
      <c r="K10" s="263" t="s">
        <v>3761</v>
      </c>
      <c r="L10" s="244" t="s">
        <v>3762</v>
      </c>
      <c r="M10" s="244" t="s">
        <v>3763</v>
      </c>
      <c r="N10" s="245" t="s">
        <v>722</v>
      </c>
      <c r="O10" s="264" t="s">
        <v>3764</v>
      </c>
      <c r="P10" s="265" t="s">
        <v>3765</v>
      </c>
      <c r="Q10" s="247" t="s">
        <v>3766</v>
      </c>
      <c r="R10" s="266" t="s">
        <v>3767</v>
      </c>
      <c r="S10" s="248"/>
      <c r="T10" s="249"/>
      <c r="U10" s="249"/>
      <c r="V10" s="249"/>
      <c r="W10" s="267"/>
      <c r="X10" s="267"/>
      <c r="Y10" s="267"/>
      <c r="Z10" s="267"/>
      <c r="AA10" s="267"/>
    </row>
    <row r="11" ht="65.25" customHeight="1">
      <c r="A11" s="237" t="s">
        <v>722</v>
      </c>
      <c r="B11" s="238" t="s">
        <v>3768</v>
      </c>
      <c r="C11" s="268"/>
      <c r="D11" s="253" t="s">
        <v>3769</v>
      </c>
      <c r="E11" s="253" t="s">
        <v>3770</v>
      </c>
      <c r="F11" s="241" t="s">
        <v>3771</v>
      </c>
      <c r="G11" s="268"/>
      <c r="H11" s="241" t="s">
        <v>3772</v>
      </c>
      <c r="I11" s="241" t="s">
        <v>3773</v>
      </c>
      <c r="J11" s="244" t="s">
        <v>3774</v>
      </c>
      <c r="K11" s="268"/>
      <c r="L11" s="244" t="s">
        <v>3775</v>
      </c>
      <c r="M11" s="244" t="s">
        <v>3776</v>
      </c>
      <c r="N11" s="245" t="s">
        <v>722</v>
      </c>
      <c r="O11" s="247" t="s">
        <v>3777</v>
      </c>
      <c r="P11" s="268"/>
      <c r="Q11" s="247" t="s">
        <v>3778</v>
      </c>
      <c r="R11" s="247" t="s">
        <v>3779</v>
      </c>
      <c r="S11" s="248"/>
      <c r="T11" s="249"/>
      <c r="U11" s="249"/>
      <c r="V11" s="249"/>
      <c r="W11" s="269"/>
      <c r="X11" s="269"/>
      <c r="Y11" s="269"/>
      <c r="Z11" s="269"/>
      <c r="AA11" s="269"/>
    </row>
    <row r="12">
      <c r="A12" s="237" t="s">
        <v>722</v>
      </c>
      <c r="B12" s="238" t="s">
        <v>3780</v>
      </c>
      <c r="C12" s="237" t="s">
        <v>3781</v>
      </c>
      <c r="D12" s="238" t="s">
        <v>3782</v>
      </c>
      <c r="E12" s="253" t="s">
        <v>3783</v>
      </c>
      <c r="F12" s="241" t="s">
        <v>3784</v>
      </c>
      <c r="G12" s="239" t="s">
        <v>3785</v>
      </c>
      <c r="H12" s="239" t="str">
        <f>IFERROR(__xludf.DUMMYFUNCTION("GOOGLETRANSLATE(D12,""zh-tw"",""ja"")"),"▲ ハンターズロッジ R69
▼")</f>
        <v>▲ ハンターズロッジ R69
▼</v>
      </c>
      <c r="I12" s="239" t="str">
        <f>IFERROR(__xludf.DUMMYFUNCTION("GOOGLETRANSLATE(#REF!,""zh-tw"",""ja"")"),"#REF!")</f>
        <v>#REF!</v>
      </c>
      <c r="J12" s="244" t="s">
        <v>3786</v>
      </c>
      <c r="K12" s="242" t="s">
        <v>3787</v>
      </c>
      <c r="L12" s="242" t="s">
        <v>3788</v>
      </c>
      <c r="M12" s="244" t="s">
        <v>3789</v>
      </c>
      <c r="N12" s="245" t="s">
        <v>722</v>
      </c>
      <c r="O12" s="247" t="s">
        <v>3790</v>
      </c>
      <c r="P12" s="245" t="str">
        <f>IFERROR(__xludf.DUMMYFUNCTION("GOOGLETRANSLATE(C12,""zh-tw"",""zh"")"),"提前回家
R1")</f>
        <v>提前回家
R1</v>
      </c>
      <c r="Q12" s="247" t="s">
        <v>3791</v>
      </c>
      <c r="R12" s="247" t="s">
        <v>3792</v>
      </c>
      <c r="S12" s="248"/>
      <c r="T12" s="249"/>
      <c r="U12" s="249"/>
      <c r="V12" s="249"/>
      <c r="W12" s="251"/>
      <c r="X12" s="251"/>
      <c r="Y12" s="251"/>
      <c r="Z12" s="251"/>
      <c r="AA12" s="251"/>
    </row>
    <row r="13">
      <c r="A13" s="237" t="s">
        <v>722</v>
      </c>
      <c r="B13" s="238" t="s">
        <v>3793</v>
      </c>
      <c r="C13" s="237" t="s">
        <v>3794</v>
      </c>
      <c r="D13" s="238" t="s">
        <v>3795</v>
      </c>
      <c r="E13" s="237" t="s">
        <v>722</v>
      </c>
      <c r="F13" s="240"/>
      <c r="G13" s="239"/>
      <c r="H13" s="239"/>
      <c r="I13" s="239"/>
      <c r="J13" s="244" t="s">
        <v>3796</v>
      </c>
      <c r="K13" s="242" t="s">
        <v>3797</v>
      </c>
      <c r="L13" s="242" t="s">
        <v>3798</v>
      </c>
      <c r="M13" s="242"/>
      <c r="N13" s="245" t="s">
        <v>722</v>
      </c>
      <c r="O13" s="247" t="s">
        <v>3799</v>
      </c>
      <c r="P13" s="245" t="s">
        <v>3800</v>
      </c>
      <c r="Q13" s="247" t="s">
        <v>3801</v>
      </c>
      <c r="R13" s="245" t="s">
        <v>722</v>
      </c>
      <c r="S13" s="248"/>
      <c r="T13" s="249"/>
      <c r="U13" s="249"/>
      <c r="V13" s="270"/>
      <c r="W13" s="251"/>
      <c r="X13" s="251"/>
      <c r="Y13" s="251"/>
      <c r="Z13" s="251"/>
      <c r="AA13" s="251"/>
    </row>
    <row r="14">
      <c r="A14" s="237" t="s">
        <v>722</v>
      </c>
      <c r="B14" s="238" t="s">
        <v>3802</v>
      </c>
      <c r="C14" s="237" t="s">
        <v>2744</v>
      </c>
      <c r="D14" s="237" t="s">
        <v>722</v>
      </c>
      <c r="E14" s="237" t="s">
        <v>722</v>
      </c>
      <c r="F14" s="240"/>
      <c r="G14" s="239"/>
      <c r="H14" s="239"/>
      <c r="I14" s="239"/>
      <c r="J14" s="244" t="s">
        <v>3803</v>
      </c>
      <c r="K14" s="242" t="s">
        <v>2750</v>
      </c>
      <c r="L14" s="242"/>
      <c r="M14" s="242"/>
      <c r="N14" s="245" t="s">
        <v>722</v>
      </c>
      <c r="O14" s="247" t="s">
        <v>3804</v>
      </c>
      <c r="P14" s="245" t="s">
        <v>3805</v>
      </c>
      <c r="Q14" s="245" t="s">
        <v>722</v>
      </c>
      <c r="R14" s="245" t="s">
        <v>722</v>
      </c>
      <c r="S14" s="271"/>
      <c r="T14" s="249"/>
      <c r="U14" s="270"/>
      <c r="V14" s="270"/>
      <c r="W14" s="251"/>
      <c r="X14" s="251"/>
      <c r="Y14" s="251"/>
      <c r="Z14" s="251"/>
      <c r="AA14" s="251"/>
    </row>
    <row r="15">
      <c r="A15" s="237" t="s">
        <v>3806</v>
      </c>
      <c r="B15" s="238" t="s">
        <v>3807</v>
      </c>
      <c r="C15" s="237" t="s">
        <v>3808</v>
      </c>
      <c r="D15" s="237" t="s">
        <v>722</v>
      </c>
      <c r="E15" s="237" t="s">
        <v>722</v>
      </c>
      <c r="F15" s="240"/>
      <c r="G15" s="239"/>
      <c r="H15" s="239"/>
      <c r="I15" s="239"/>
      <c r="J15" s="244" t="s">
        <v>3809</v>
      </c>
      <c r="K15" s="242" t="s">
        <v>3810</v>
      </c>
      <c r="L15" s="242"/>
      <c r="M15" s="242"/>
      <c r="N15" s="245" t="s">
        <v>3811</v>
      </c>
      <c r="O15" s="247" t="s">
        <v>3812</v>
      </c>
      <c r="P15" s="245" t="s">
        <v>3811</v>
      </c>
      <c r="Q15" s="245" t="s">
        <v>722</v>
      </c>
      <c r="R15" s="245" t="s">
        <v>722</v>
      </c>
      <c r="S15" s="248"/>
      <c r="T15" s="249"/>
      <c r="U15" s="270"/>
      <c r="V15" s="270"/>
      <c r="W15" s="251"/>
      <c r="X15" s="251"/>
      <c r="Y15" s="251"/>
      <c r="Z15" s="251"/>
      <c r="AA15" s="251"/>
    </row>
    <row r="16">
      <c r="A16" s="231" t="s">
        <v>3718</v>
      </c>
      <c r="B16" s="232"/>
      <c r="C16" s="232"/>
      <c r="D16" s="232"/>
      <c r="E16" s="233"/>
      <c r="F16" s="231" t="str">
        <f>IFERROR(__xludf.DUMMYFUNCTION("GOOGLETRANSLATE(A16,""zh-tw"",""ja"")"),"遺跡エリア")</f>
        <v>遺跡エリア</v>
      </c>
      <c r="G16" s="232"/>
      <c r="H16" s="232"/>
      <c r="I16" s="233"/>
      <c r="J16" s="231" t="s">
        <v>3813</v>
      </c>
      <c r="K16" s="232"/>
      <c r="L16" s="232"/>
      <c r="M16" s="233"/>
      <c r="N16" s="231" t="s">
        <v>3725</v>
      </c>
      <c r="O16" s="232"/>
      <c r="P16" s="232"/>
      <c r="Q16" s="232"/>
      <c r="R16" s="233"/>
      <c r="S16" s="272"/>
      <c r="T16" s="226"/>
      <c r="U16" s="226"/>
      <c r="V16" s="227"/>
      <c r="W16" s="273"/>
      <c r="X16" s="273"/>
      <c r="Y16" s="273"/>
      <c r="Z16" s="273"/>
      <c r="AA16" s="273"/>
      <c r="AB16" s="273"/>
    </row>
    <row r="17">
      <c r="A17" s="237" t="s">
        <v>722</v>
      </c>
      <c r="B17" s="237" t="s">
        <v>722</v>
      </c>
      <c r="C17" s="238" t="s">
        <v>3814</v>
      </c>
      <c r="D17" s="237" t="s">
        <v>722</v>
      </c>
      <c r="E17" s="237" t="s">
        <v>722</v>
      </c>
      <c r="F17" s="239"/>
      <c r="G17" s="274" t="s">
        <v>3815</v>
      </c>
      <c r="H17" s="275"/>
      <c r="I17" s="275"/>
      <c r="J17" s="276"/>
      <c r="K17" s="277" t="s">
        <v>3816</v>
      </c>
      <c r="L17" s="276"/>
      <c r="M17" s="276"/>
      <c r="N17" s="278" t="s">
        <v>722</v>
      </c>
      <c r="O17" s="278" t="s">
        <v>722</v>
      </c>
      <c r="P17" s="279" t="s">
        <v>3817</v>
      </c>
      <c r="Q17" s="278" t="s">
        <v>722</v>
      </c>
      <c r="R17" s="278" t="s">
        <v>722</v>
      </c>
      <c r="S17" s="280"/>
      <c r="T17" s="281"/>
      <c r="U17" s="270"/>
      <c r="V17" s="270"/>
      <c r="W17" s="282"/>
      <c r="X17" s="282"/>
      <c r="Y17" s="282"/>
      <c r="Z17" s="282"/>
      <c r="AA17" s="282"/>
      <c r="AB17" s="282"/>
    </row>
    <row r="18">
      <c r="A18" s="237" t="s">
        <v>722</v>
      </c>
      <c r="B18" s="238" t="s">
        <v>3818</v>
      </c>
      <c r="C18" s="238" t="s">
        <v>3819</v>
      </c>
      <c r="D18" s="237" t="s">
        <v>722</v>
      </c>
      <c r="E18" s="237" t="s">
        <v>722</v>
      </c>
      <c r="F18" s="241" t="s">
        <v>3820</v>
      </c>
      <c r="G18" s="241" t="s">
        <v>3821</v>
      </c>
      <c r="H18" s="275"/>
      <c r="I18" s="275"/>
      <c r="J18" s="283" t="s">
        <v>3822</v>
      </c>
      <c r="K18" s="284" t="s">
        <v>3823</v>
      </c>
      <c r="L18" s="276"/>
      <c r="M18" s="276"/>
      <c r="N18" s="278" t="s">
        <v>722</v>
      </c>
      <c r="O18" s="285" t="s">
        <v>3824</v>
      </c>
      <c r="P18" s="285" t="s">
        <v>3825</v>
      </c>
      <c r="Q18" s="278" t="s">
        <v>722</v>
      </c>
      <c r="R18" s="278" t="s">
        <v>722</v>
      </c>
      <c r="S18" s="259"/>
      <c r="T18" s="249"/>
      <c r="U18" s="270"/>
      <c r="V18" s="270"/>
      <c r="W18" s="282"/>
      <c r="X18" s="282"/>
      <c r="Y18" s="282"/>
      <c r="Z18" s="282"/>
      <c r="AA18" s="282"/>
      <c r="AB18" s="282"/>
    </row>
    <row r="19">
      <c r="A19" s="237" t="s">
        <v>722</v>
      </c>
      <c r="B19" s="237" t="s">
        <v>722</v>
      </c>
      <c r="C19" s="286" t="s">
        <v>3826</v>
      </c>
      <c r="D19" s="237" t="s">
        <v>3827</v>
      </c>
      <c r="E19" s="237" t="s">
        <v>722</v>
      </c>
      <c r="F19" s="239"/>
      <c r="G19" s="287" t="s">
        <v>3828</v>
      </c>
      <c r="H19" s="275"/>
      <c r="I19" s="275"/>
      <c r="J19" s="276"/>
      <c r="K19" s="288" t="s">
        <v>3829</v>
      </c>
      <c r="L19" s="276"/>
      <c r="M19" s="276"/>
      <c r="N19" s="278" t="s">
        <v>722</v>
      </c>
      <c r="O19" s="278" t="s">
        <v>722</v>
      </c>
      <c r="P19" s="289" t="s">
        <v>3830</v>
      </c>
      <c r="Q19" s="278" t="s">
        <v>3831</v>
      </c>
      <c r="R19" s="278" t="s">
        <v>722</v>
      </c>
      <c r="S19" s="280"/>
      <c r="T19" s="258"/>
      <c r="U19" s="270"/>
      <c r="V19" s="270"/>
      <c r="W19" s="282"/>
      <c r="X19" s="282"/>
      <c r="Y19" s="282"/>
      <c r="Z19" s="282"/>
      <c r="AA19" s="282"/>
      <c r="AB19" s="282"/>
    </row>
    <row r="20">
      <c r="A20" s="237" t="s">
        <v>722</v>
      </c>
      <c r="B20" s="237" t="s">
        <v>722</v>
      </c>
      <c r="C20" s="286" t="s">
        <v>3832</v>
      </c>
      <c r="D20" s="238" t="s">
        <v>3833</v>
      </c>
      <c r="E20" s="237" t="s">
        <v>722</v>
      </c>
      <c r="F20" s="239"/>
      <c r="G20" s="287" t="s">
        <v>3834</v>
      </c>
      <c r="H20" s="241" t="s">
        <v>3835</v>
      </c>
      <c r="I20" s="275"/>
      <c r="J20" s="276"/>
      <c r="K20" s="290" t="s">
        <v>3836</v>
      </c>
      <c r="L20" s="244" t="s">
        <v>3837</v>
      </c>
      <c r="M20" s="276"/>
      <c r="N20" s="278" t="s">
        <v>722</v>
      </c>
      <c r="O20" s="278" t="s">
        <v>722</v>
      </c>
      <c r="P20" s="291" t="s">
        <v>3838</v>
      </c>
      <c r="Q20" s="285" t="s">
        <v>3839</v>
      </c>
      <c r="R20" s="278" t="s">
        <v>722</v>
      </c>
      <c r="S20" s="280"/>
      <c r="T20" s="249"/>
      <c r="U20" s="250"/>
      <c r="V20" s="270"/>
      <c r="W20" s="282"/>
      <c r="X20" s="282"/>
      <c r="Y20" s="282"/>
      <c r="Z20" s="282"/>
      <c r="AA20" s="282"/>
      <c r="AB20" s="282"/>
    </row>
    <row r="21">
      <c r="A21" s="292" t="s">
        <v>722</v>
      </c>
      <c r="B21" s="292" t="s">
        <v>722</v>
      </c>
      <c r="C21" s="238" t="s">
        <v>3840</v>
      </c>
      <c r="D21" s="237" t="s">
        <v>722</v>
      </c>
      <c r="E21" s="237" t="s">
        <v>722</v>
      </c>
      <c r="F21" s="239"/>
      <c r="G21" s="241" t="s">
        <v>3841</v>
      </c>
      <c r="H21" s="275"/>
      <c r="I21" s="275"/>
      <c r="J21" s="276"/>
      <c r="K21" s="284" t="s">
        <v>3842</v>
      </c>
      <c r="L21" s="276"/>
      <c r="M21" s="276"/>
      <c r="N21" s="278" t="s">
        <v>722</v>
      </c>
      <c r="O21" s="278" t="s">
        <v>722</v>
      </c>
      <c r="P21" s="285" t="s">
        <v>3843</v>
      </c>
      <c r="Q21" s="278" t="s">
        <v>722</v>
      </c>
      <c r="R21" s="278" t="s">
        <v>722</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211</v>
      </c>
      <c r="D1" s="57"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G1" s="57" t="s">
        <v>212</v>
      </c>
      <c r="J1" s="57"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M1" s="29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P1" s="29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Y1" s="299" t="s">
        <v>3844</v>
      </c>
      <c r="AB1" s="300"/>
      <c r="AC1" s="300"/>
      <c r="AD1" s="300"/>
      <c r="AE1" s="300"/>
    </row>
    <row r="2" ht="41.25" customHeight="1">
      <c r="AB2" s="300"/>
      <c r="AC2" s="300"/>
      <c r="AD2" s="300"/>
      <c r="AE2" s="300"/>
    </row>
    <row r="3" ht="88.5" customHeight="1">
      <c r="A3" s="70" t="s">
        <v>3845</v>
      </c>
      <c r="B3" s="301" t="s">
        <v>3846</v>
      </c>
      <c r="C3" s="302" t="s">
        <v>3847</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3848</v>
      </c>
      <c r="H3" s="301" t="s">
        <v>3849</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IFERROR(__xludf.DUMMYFUNCTION("GOOGLETRANSLATE(B3,""zh-tw"",""es-MX"")"),"Artículos especiales
P. D.: Los artículos generales no están incluidos.
(Equipo y consumibles de uso general de calidad blanca y azul)")</f>
        <v>Artículos especiales
P. D.: Los artículos generales no están incluidos.
(Equipo y consumibles de uso general de calidad blanca y azul)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3850</v>
      </c>
      <c r="W3" s="14" t="s">
        <v>3851</v>
      </c>
      <c r="X3" s="309" t="s">
        <v>3852</v>
      </c>
      <c r="Y3" s="145" t="s">
        <v>3853</v>
      </c>
      <c r="Z3" s="310" t="s">
        <v>3854</v>
      </c>
      <c r="AA3" s="311" t="s">
        <v>3855</v>
      </c>
      <c r="AB3" s="312"/>
      <c r="AC3" s="312"/>
      <c r="AD3" s="312"/>
      <c r="AE3" s="312"/>
    </row>
    <row r="4">
      <c r="A4" s="148" t="s">
        <v>3856</v>
      </c>
      <c r="B4" s="161" t="s">
        <v>3857</v>
      </c>
      <c r="C4" s="313" t="s">
        <v>722</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3858</v>
      </c>
      <c r="H4" s="317" t="s">
        <v>3859</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3860</v>
      </c>
      <c r="W4" s="317" t="s">
        <v>3861</v>
      </c>
      <c r="X4" s="319" t="s">
        <v>3862</v>
      </c>
      <c r="Y4" s="154" t="s">
        <v>3863</v>
      </c>
      <c r="Z4" s="164" t="s">
        <v>3864</v>
      </c>
      <c r="AA4" s="320" t="s">
        <v>722</v>
      </c>
      <c r="AB4" s="17"/>
      <c r="AC4" s="17"/>
      <c r="AD4" s="17"/>
      <c r="AE4" s="17"/>
    </row>
    <row r="5">
      <c r="A5" s="148" t="s">
        <v>3865</v>
      </c>
      <c r="B5" s="161" t="s">
        <v>3866</v>
      </c>
      <c r="C5" s="313" t="s">
        <v>722</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3867</v>
      </c>
      <c r="H5" s="317" t="s">
        <v>3868</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3869</v>
      </c>
      <c r="Q5" s="161" t="s">
        <v>3870</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3871</v>
      </c>
      <c r="W5" s="317" t="s">
        <v>3872</v>
      </c>
      <c r="X5" s="319" t="s">
        <v>3862</v>
      </c>
      <c r="Y5" s="154" t="s">
        <v>3873</v>
      </c>
      <c r="Z5" s="164" t="s">
        <v>3874</v>
      </c>
      <c r="AA5" s="320" t="s">
        <v>722</v>
      </c>
      <c r="AB5" s="17"/>
      <c r="AC5" s="17"/>
      <c r="AD5" s="17"/>
      <c r="AE5" s="17"/>
    </row>
    <row r="6">
      <c r="A6" s="148" t="s">
        <v>3875</v>
      </c>
      <c r="B6" s="161" t="s">
        <v>3876</v>
      </c>
      <c r="C6" s="313" t="s">
        <v>722</v>
      </c>
      <c r="D6" s="314" t="str">
        <f>IFERROR(__xludf.DUMMYFUNCTION("GOOGLETRANSLATE(A6,""zh-tw"",""ja"")"),"猫スライム")</f>
        <v>猫スライム</v>
      </c>
      <c r="E6" s="317" t="s">
        <v>3877</v>
      </c>
      <c r="F6" s="316" t="str">
        <f>IFERROR(__xludf.DUMMYFUNCTION("GOOGLETRANSLATE(C6,""zh-tw"",""ja"")"),"-")</f>
        <v>-</v>
      </c>
      <c r="G6" s="174" t="s">
        <v>3878</v>
      </c>
      <c r="H6" s="317" t="s">
        <v>3879</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IFERROR(__xludf.DUMMYFUNCTION("GOOGLETRANSLATE(B6,""zh-tw"",""es-MX"")"),"Slime slime / Pata de gato prestada / Gato de la suerte")</f>
        <v>Slime slime / Pata de gato prestada / Gato de la suerte</v>
      </c>
      <c r="O6" s="318" t="str">
        <f>IFERROR(__xludf.DUMMYFUNCTION("GOOGLETRANSLATE(C6,""zh-tw"",""es-MX"")"),"-")</f>
        <v>-</v>
      </c>
      <c r="P6" s="149" t="str">
        <f>IFERROR(__xludf.DUMMYFUNCTION("GOOGLETRANSLATE(A6,""zh-tw"",""KO"")"),"고양이 슬라임")</f>
        <v>고양이 슬라임</v>
      </c>
      <c r="Q6" s="161" t="s">
        <v>3880</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3881</v>
      </c>
      <c r="W6" s="317" t="s">
        <v>3882</v>
      </c>
      <c r="X6" s="319" t="s">
        <v>3862</v>
      </c>
      <c r="Y6" s="154" t="s">
        <v>3883</v>
      </c>
      <c r="Z6" s="164" t="s">
        <v>3884</v>
      </c>
      <c r="AA6" s="320" t="s">
        <v>722</v>
      </c>
      <c r="AB6" s="17"/>
      <c r="AC6" s="17"/>
      <c r="AD6" s="17"/>
      <c r="AE6" s="17"/>
    </row>
    <row r="7">
      <c r="A7" s="148" t="s">
        <v>3885</v>
      </c>
      <c r="B7" s="161" t="s">
        <v>3886</v>
      </c>
      <c r="C7" s="313" t="s">
        <v>722</v>
      </c>
      <c r="D7" s="314" t="str">
        <f>IFERROR(__xludf.DUMMYFUNCTION("GOOGLETRANSLATE(A7,""zh-tw"",""ja"")"),"草食スライム")</f>
        <v>草食スライム</v>
      </c>
      <c r="E7" s="317" t="s">
        <v>3887</v>
      </c>
      <c r="F7" s="316" t="str">
        <f>IFERROR(__xludf.DUMMYFUNCTION("GOOGLETRANSLATE(C7,""zh-tw"",""ja"")"),"-")</f>
        <v>-</v>
      </c>
      <c r="G7" s="174" t="s">
        <v>3888</v>
      </c>
      <c r="H7" s="317" t="s">
        <v>3889</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Slime Slime / Club de Madera Dura / Espada de Madera Dura")</f>
        <v>Espada Cortante Filo de Tyr / Slime Slime / Club de Madera Dura / Espada de Madera Dura</v>
      </c>
      <c r="O7" s="318" t="str">
        <f>IFERROR(__xludf.DUMMYFUNCTION("GOOGLETRANSLATE(C7,""zh-tw"",""es-MX"")"),"-")</f>
        <v>-</v>
      </c>
      <c r="P7" s="148" t="s">
        <v>3890</v>
      </c>
      <c r="Q7" s="161" t="s">
        <v>3891</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3892</v>
      </c>
      <c r="W7" s="317" t="s">
        <v>3893</v>
      </c>
      <c r="X7" s="319" t="s">
        <v>3862</v>
      </c>
      <c r="Y7" s="154" t="s">
        <v>3894</v>
      </c>
      <c r="Z7" s="164" t="s">
        <v>3895</v>
      </c>
      <c r="AA7" s="320" t="s">
        <v>722</v>
      </c>
      <c r="AB7" s="17"/>
      <c r="AC7" s="17"/>
      <c r="AD7" s="17"/>
      <c r="AE7" s="17"/>
    </row>
    <row r="8">
      <c r="A8" s="148" t="s">
        <v>3896</v>
      </c>
      <c r="B8" s="161" t="s">
        <v>3897</v>
      </c>
      <c r="C8" s="313" t="s">
        <v>722</v>
      </c>
      <c r="D8" s="174" t="s">
        <v>3898</v>
      </c>
      <c r="E8" s="317" t="s">
        <v>3899</v>
      </c>
      <c r="F8" s="316" t="str">
        <f>IFERROR(__xludf.DUMMYFUNCTION("GOOGLETRANSLATE(C8,""zh-tw"",""ja"")"),"-")</f>
        <v>-</v>
      </c>
      <c r="G8" s="174" t="s">
        <v>3900</v>
      </c>
      <c r="H8" s="317" t="s">
        <v>3901</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IFERROR(__xludf.DUMMYFUNCTION("GOOGLETRANSLATE(A8,""zh-tw"",""es-MX"")"),"Slime congelado")</f>
        <v>Slime congelado</v>
      </c>
      <c r="N8" s="162" t="str">
        <f>IFERROR(__xludf.DUMMYFUNCTION("GOOGLETRANSLATE(B8,""zh-tw"",""es-MX"")"),"Visión de nieve / Bastón de hielo / Cúmulo de cristales mágicos / Slime Slime / Cartas del tarot")</f>
        <v>Visión de nieve / Bastón de hielo / Cúmulo de cristales mágicos / Slime Slime / Cartas del tarot</v>
      </c>
      <c r="O8" s="318" t="str">
        <f>IFERROR(__xludf.DUMMYFUNCTION("GOOGLETRANSLATE(C8,""zh-tw"",""es-MX"")"),"-")</f>
        <v>-</v>
      </c>
      <c r="P8" s="148" t="s">
        <v>3902</v>
      </c>
      <c r="Q8" s="161" t="s">
        <v>3903</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3904</v>
      </c>
      <c r="W8" s="317" t="s">
        <v>3905</v>
      </c>
      <c r="X8" s="319" t="s">
        <v>3862</v>
      </c>
      <c r="Y8" s="154" t="s">
        <v>3906</v>
      </c>
      <c r="Z8" s="164" t="s">
        <v>3907</v>
      </c>
      <c r="AA8" s="320" t="s">
        <v>722</v>
      </c>
      <c r="AB8" s="17"/>
      <c r="AC8" s="17"/>
      <c r="AD8" s="17"/>
      <c r="AE8" s="17"/>
    </row>
    <row r="9">
      <c r="A9" s="148" t="s">
        <v>3908</v>
      </c>
      <c r="B9" s="161" t="s">
        <v>3909</v>
      </c>
      <c r="C9" s="313" t="s">
        <v>722</v>
      </c>
      <c r="D9" s="314" t="str">
        <f>IFERROR(__xludf.DUMMYFUNCTION("GOOGLETRANSLATE(A9,""zh-tw"",""ja"")"),"ジャックスライム")</f>
        <v>ジャックスライム</v>
      </c>
      <c r="E9" s="317" t="s">
        <v>3910</v>
      </c>
      <c r="F9" s="316" t="str">
        <f>IFERROR(__xludf.DUMMYFUNCTION("GOOGLETRANSLATE(C9,""zh-tw"",""ja"")"),"-")</f>
        <v>-</v>
      </c>
      <c r="G9" s="174" t="s">
        <v>3911</v>
      </c>
      <c r="H9" s="317" t="s">
        <v>3912</v>
      </c>
      <c r="I9" s="319" t="s">
        <v>722</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El Slime de Slime / Alma del Bombardero")</f>
        <v>Jack la Bomba / El Slime de Slime / Alma del Bombardero</v>
      </c>
      <c r="O9" s="318" t="str">
        <f>IFERROR(__xludf.DUMMYFUNCTION("GOOGLETRANSLATE(C9,""zh-tw"",""es-MX"")"),"-")</f>
        <v>-</v>
      </c>
      <c r="P9" s="149" t="str">
        <f>IFERROR(__xludf.DUMMYFUNCTION("GOOGLETRANSLATE(A9,""zh-tw"",""KO"")"),"잭 슬라임")</f>
        <v>잭 슬라임</v>
      </c>
      <c r="Q9" s="161" t="s">
        <v>3913</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3914</v>
      </c>
      <c r="W9" s="317" t="s">
        <v>3915</v>
      </c>
      <c r="X9" s="319" t="s">
        <v>3862</v>
      </c>
      <c r="Y9" s="154" t="s">
        <v>3916</v>
      </c>
      <c r="Z9" s="164" t="s">
        <v>3917</v>
      </c>
      <c r="AA9" s="320" t="s">
        <v>722</v>
      </c>
      <c r="AB9" s="17"/>
      <c r="AC9" s="17"/>
      <c r="AD9" s="17"/>
      <c r="AE9" s="17"/>
    </row>
    <row r="10" ht="41.25" customHeight="1">
      <c r="A10" s="148" t="s">
        <v>3918</v>
      </c>
      <c r="B10" s="161" t="s">
        <v>3919</v>
      </c>
      <c r="C10" s="313" t="s">
        <v>722</v>
      </c>
      <c r="D10" s="174" t="s">
        <v>3920</v>
      </c>
      <c r="E10" s="317" t="s">
        <v>3921</v>
      </c>
      <c r="F10" s="316" t="str">
        <f>IFERROR(__xludf.DUMMYFUNCTION("GOOGLETRANSLATE(C10,""zh-tw"",""ja"")"),"-")</f>
        <v>-</v>
      </c>
      <c r="G10" s="174" t="s">
        <v>3922</v>
      </c>
      <c r="H10" s="317" t="s">
        <v>3923</v>
      </c>
      <c r="I10" s="319" t="s">
        <v>722</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IFERROR(__xludf.DUMMYFUNCTION("GOOGLETRANSLATE(A10,""zh-tw"",""es-MX"")"),"Slime malvado")</f>
        <v>Slime malvado</v>
      </c>
      <c r="N10" s="162" t="str">
        <f>IFERROR(__xludf.DUMMYFUNCTION("GOOGLETRANSLATE(B10,""zh-tw"",""es-MX"")"),"Del infierno / Slime Slime / Guantes de mago caído / Cúmulo de cristales mágicos / Slime Slime")</f>
        <v>Del infierno / Slime Slime / Guantes de mago caído / Cúmulo de cristales mágicos / Slime Slime</v>
      </c>
      <c r="O10" s="318" t="str">
        <f>IFERROR(__xludf.DUMMYFUNCTION("GOOGLETRANSLATE(C10,""zh-tw"",""es-MX"")"),"-")</f>
        <v>-</v>
      </c>
      <c r="P10" s="148" t="s">
        <v>3924</v>
      </c>
      <c r="Q10" s="161" t="s">
        <v>3925</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3926</v>
      </c>
      <c r="W10" s="317" t="s">
        <v>3927</v>
      </c>
      <c r="X10" s="319" t="s">
        <v>3862</v>
      </c>
      <c r="Y10" s="154" t="s">
        <v>3928</v>
      </c>
      <c r="Z10" s="164" t="s">
        <v>3929</v>
      </c>
      <c r="AA10" s="320" t="s">
        <v>722</v>
      </c>
      <c r="AB10" s="17"/>
      <c r="AC10" s="17"/>
      <c r="AD10" s="17"/>
      <c r="AE10" s="17"/>
    </row>
    <row r="11">
      <c r="A11" s="148" t="s">
        <v>3930</v>
      </c>
      <c r="B11" s="161" t="s">
        <v>3931</v>
      </c>
      <c r="C11" s="313" t="s">
        <v>722</v>
      </c>
      <c r="D11" s="314" t="str">
        <f>IFERROR(__xludf.DUMMYFUNCTION("GOOGLETRANSLATE(A11,""zh-tw"",""ja"")"),"ビリビリスライム")</f>
        <v>ビリビリスライム</v>
      </c>
      <c r="E11" s="317" t="s">
        <v>3932</v>
      </c>
      <c r="F11" s="316" t="str">
        <f>IFERROR(__xludf.DUMMYFUNCTION("GOOGLETRANSLATE(C11,""zh-tw"",""ja"")"),"-")</f>
        <v>-</v>
      </c>
      <c r="G11" s="174" t="s">
        <v>3933</v>
      </c>
      <c r="H11" s="317" t="s">
        <v>3934</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IFERROR(__xludf.DUMMYFUNCTION("GOOGLETRANSLATE(A11,""zh-tw"",""es-MX"")"),"Slime Bilibili")</f>
        <v>Slime Bilibili</v>
      </c>
      <c r="N11" s="162" t="str">
        <f>IFERROR(__xludf.DUMMYFUNCTION("GOOGLETRANSLATE(B11,""zh-tw"",""es-MX"")"),"Chidori/Slime Slime/Cartas del Tarot")</f>
        <v>Chidori/Slime Slime/Cartas del Tarot</v>
      </c>
      <c r="O11" s="318" t="str">
        <f>IFERROR(__xludf.DUMMYFUNCTION("GOOGLETRANSLATE(C11,""zh-tw"",""es-MX"")"),"-")</f>
        <v>-</v>
      </c>
      <c r="P11" s="148" t="s">
        <v>3935</v>
      </c>
      <c r="Q11" s="161" t="s">
        <v>3936</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3937</v>
      </c>
      <c r="W11" s="317" t="s">
        <v>3938</v>
      </c>
      <c r="X11" s="319" t="s">
        <v>3862</v>
      </c>
      <c r="Y11" s="154" t="s">
        <v>3939</v>
      </c>
      <c r="Z11" s="164" t="s">
        <v>3940</v>
      </c>
      <c r="AA11" s="320" t="s">
        <v>722</v>
      </c>
      <c r="AB11" s="17"/>
      <c r="AC11" s="17"/>
      <c r="AD11" s="17"/>
      <c r="AE11" s="17"/>
    </row>
    <row r="12">
      <c r="A12" s="148" t="s">
        <v>3941</v>
      </c>
      <c r="B12" s="161" t="s">
        <v>3942</v>
      </c>
      <c r="C12" s="313" t="s">
        <v>722</v>
      </c>
      <c r="D12" s="174" t="s">
        <v>3943</v>
      </c>
      <c r="E12" s="317" t="s">
        <v>3944</v>
      </c>
      <c r="F12" s="316" t="str">
        <f>IFERROR(__xludf.DUMMYFUNCTION("GOOGLETRANSLATE(C12,""zh-tw"",""ja"")"),"-")</f>
        <v>-</v>
      </c>
      <c r="G12" s="174" t="s">
        <v>3945</v>
      </c>
      <c r="H12" s="317" t="s">
        <v>3946</v>
      </c>
      <c r="I12" s="316" t="str">
        <f>IFERROR(__xludf.DUMMYFUNCTION("GOOGLETRANSLATE(C12,""zh-tw"",""en"")"),"-")</f>
        <v>-</v>
      </c>
      <c r="J12" s="314" t="str">
        <f>IFERROR(__xludf.DUMMYFUNCTION("GOOGLETRANSLATE(A12,""zh-tw"",""zh"")"),"初级兽人")</f>
        <v>初级兽人</v>
      </c>
      <c r="K12" s="317" t="s">
        <v>3947</v>
      </c>
      <c r="L12" s="316" t="str">
        <f>IFERROR(__xludf.DUMMYFUNCTION("GOOGLETRANSLATE(C12,""zh-tw"",""zh"")"),"-")</f>
        <v>-</v>
      </c>
      <c r="M12" s="149" t="str">
        <f>IFERROR(__xludf.DUMMYFUNCTION("GOOGLETRANSLATE(A12,""zh-tw"",""es-MX"")"),"Novatos")</f>
        <v>Novatos</v>
      </c>
      <c r="N12" s="162" t="str">
        <f>IFERROR(__xludf.DUMMYFUNCTION("GOOGLETRANSLATE(B12,""zh-tw"",""es-MX"")"),"Carne de animales pequeños / Carne de animales grandes / Olla de hueso de orco")</f>
        <v>Carne de animales pequeños / Carne de animales grandes / Olla de hueso de orco</v>
      </c>
      <c r="O12" s="318" t="str">
        <f>IFERROR(__xludf.DUMMYFUNCTION("GOOGLETRANSLATE(C12,""zh-tw"",""es-MX"")"),"-")</f>
        <v>-</v>
      </c>
      <c r="P12" s="174" t="s">
        <v>3948</v>
      </c>
      <c r="Q12" s="161" t="s">
        <v>3949</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3950</v>
      </c>
      <c r="W12" s="317" t="s">
        <v>3951</v>
      </c>
      <c r="X12" s="319" t="s">
        <v>3862</v>
      </c>
      <c r="Y12" s="154" t="s">
        <v>3952</v>
      </c>
      <c r="Z12" s="164" t="s">
        <v>3953</v>
      </c>
      <c r="AA12" s="320" t="s">
        <v>722</v>
      </c>
      <c r="AB12" s="17"/>
      <c r="AC12" s="17"/>
      <c r="AD12" s="17"/>
      <c r="AE12" s="17"/>
    </row>
    <row r="13">
      <c r="A13" s="148" t="s">
        <v>3954</v>
      </c>
      <c r="B13" s="161" t="s">
        <v>3955</v>
      </c>
      <c r="C13" s="313" t="s">
        <v>722</v>
      </c>
      <c r="D13" s="174" t="s">
        <v>3954</v>
      </c>
      <c r="E13" s="317" t="s">
        <v>3956</v>
      </c>
      <c r="F13" s="316" t="str">
        <f>IFERROR(__xludf.DUMMYFUNCTION("GOOGLETRANSLATE(C13,""zh-tw"",""ja"")"),"-")</f>
        <v>-</v>
      </c>
      <c r="G13" s="174" t="s">
        <v>3957</v>
      </c>
      <c r="H13" s="317" t="s">
        <v>3958</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pájaro extrañas")</f>
        <v>Muslo de pollo/Plumas de pájaro extrañas</v>
      </c>
      <c r="O13" s="318" t="str">
        <f>IFERROR(__xludf.DUMMYFUNCTION("GOOGLETRANSLATE(C13,""zh-tw"",""es-MX"")"),"-")</f>
        <v>-</v>
      </c>
      <c r="P13" s="148" t="s">
        <v>3959</v>
      </c>
      <c r="Q13" s="161" t="s">
        <v>3960</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3961</v>
      </c>
      <c r="W13" s="317" t="s">
        <v>3962</v>
      </c>
      <c r="X13" s="319" t="s">
        <v>3862</v>
      </c>
      <c r="Y13" s="154" t="s">
        <v>3963</v>
      </c>
      <c r="Z13" s="164" t="s">
        <v>3964</v>
      </c>
      <c r="AA13" s="320" t="s">
        <v>722</v>
      </c>
      <c r="AB13" s="17"/>
      <c r="AC13" s="17"/>
      <c r="AD13" s="17"/>
      <c r="AE13" s="17"/>
    </row>
    <row r="14">
      <c r="A14" s="148" t="s">
        <v>3965</v>
      </c>
      <c r="B14" s="161" t="s">
        <v>3966</v>
      </c>
      <c r="C14" s="313" t="s">
        <v>722</v>
      </c>
      <c r="D14" s="174" t="s">
        <v>3967</v>
      </c>
      <c r="E14" s="317" t="s">
        <v>3968</v>
      </c>
      <c r="F14" s="316" t="str">
        <f>IFERROR(__xludf.DUMMYFUNCTION("GOOGLETRANSLATE(C14,""zh-tw"",""ja"")"),"-")</f>
        <v>-</v>
      </c>
      <c r="G14" s="174" t="s">
        <v>3969</v>
      </c>
      <c r="H14" s="317" t="s">
        <v>3970</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andante")</f>
        <v>Hongo andante</v>
      </c>
      <c r="N14" s="162" t="str">
        <f>IFERROR(__xludf.DUMMYFUNCTION("GOOGLETRANSLATE(B14,""zh-tw"",""es-MX"")"),"Aguja de hongo andante/espora venenosa")</f>
        <v>Aguja de hongo andante/espora venenosa</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гриб/ядовитая споровая игла")</f>
        <v>Ходячий гриб/ядовитая споровая игла</v>
      </c>
      <c r="U14" s="316" t="str">
        <f>IFERROR(__xludf.DUMMYFUNCTION("GOOGLETRANSLATE(C14,""zh-tw"",""ru"")"),"-")</f>
        <v>-</v>
      </c>
      <c r="V14" s="174" t="s">
        <v>3971</v>
      </c>
      <c r="W14" s="317" t="s">
        <v>3972</v>
      </c>
      <c r="X14" s="319" t="s">
        <v>3862</v>
      </c>
      <c r="Y14" s="154" t="s">
        <v>3973</v>
      </c>
      <c r="Z14" s="164" t="s">
        <v>3974</v>
      </c>
      <c r="AA14" s="320" t="s">
        <v>722</v>
      </c>
      <c r="AB14" s="17"/>
      <c r="AC14" s="17"/>
      <c r="AD14" s="17"/>
      <c r="AE14" s="17"/>
    </row>
    <row r="15">
      <c r="A15" s="148" t="s">
        <v>3975</v>
      </c>
      <c r="B15" s="161" t="s">
        <v>3976</v>
      </c>
      <c r="C15" s="313" t="s">
        <v>722</v>
      </c>
      <c r="D15" s="174" t="s">
        <v>3975</v>
      </c>
      <c r="E15" s="317" t="s">
        <v>3977</v>
      </c>
      <c r="F15" s="316" t="str">
        <f>IFERROR(__xludf.DUMMYFUNCTION("GOOGLETRANSLATE(C15,""zh-tw"",""ja"")"),"-")</f>
        <v>-</v>
      </c>
      <c r="G15" s="174" t="s">
        <v>3978</v>
      </c>
      <c r="H15" s="317" t="s">
        <v>3979</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18" t="str">
        <f>IFERROR(__xludf.DUMMYFUNCTION("GOOGLETRANSLATE(C15,""zh-tw"",""es-MX"")"),"-")</f>
        <v>-</v>
      </c>
      <c r="P15" s="148" t="s">
        <v>3980</v>
      </c>
      <c r="Q15" s="161" t="s">
        <v>3981</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3982</v>
      </c>
      <c r="W15" s="317" t="s">
        <v>3983</v>
      </c>
      <c r="X15" s="319" t="s">
        <v>3862</v>
      </c>
      <c r="Y15" s="154" t="s">
        <v>3984</v>
      </c>
      <c r="Z15" s="164" t="s">
        <v>3985</v>
      </c>
      <c r="AA15" s="320" t="s">
        <v>722</v>
      </c>
      <c r="AB15" s="17"/>
      <c r="AC15" s="17"/>
      <c r="AD15" s="17"/>
      <c r="AE15" s="17"/>
    </row>
    <row r="16">
      <c r="A16" s="148" t="s">
        <v>3986</v>
      </c>
      <c r="B16" s="161" t="s">
        <v>3987</v>
      </c>
      <c r="C16" s="313" t="s">
        <v>722</v>
      </c>
      <c r="D16" s="174" t="s">
        <v>3988</v>
      </c>
      <c r="E16" s="317" t="s">
        <v>3989</v>
      </c>
      <c r="F16" s="316" t="str">
        <f>IFERROR(__xludf.DUMMYFUNCTION("GOOGLETRANSLATE(C16,""zh-tw"",""ja"")"),"-")</f>
        <v>-</v>
      </c>
      <c r="G16" s="174" t="s">
        <v>3990</v>
      </c>
      <c r="H16" s="317" t="s">
        <v>3991</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IFERROR(__xludf.DUMMYFUNCTION("GOOGLETRANSLATE(A16,""zh-tw"",""es-MX"")"),"Pequeño monstruo rojo")</f>
        <v>Pequeño monstruo rojo</v>
      </c>
      <c r="N16" s="162" t="str">
        <f>IFERROR(__xludf.DUMMYFUNCTION("GOOGLETRANSLATE(B16,""zh-tw"",""es-MX"")"),"Del infierno/Feto maldito/Cartas del tarot")</f>
        <v>Del infierno/Feto maldito/Cartas del tarot</v>
      </c>
      <c r="O16" s="318" t="str">
        <f>IFERROR(__xludf.DUMMYFUNCTION("GOOGLETRANSLATE(C16,""zh-tw"",""es-MX"")"),"-")</f>
        <v>-</v>
      </c>
      <c r="P16" s="148" t="s">
        <v>3992</v>
      </c>
      <c r="Q16" s="317" t="s">
        <v>3993</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3994</v>
      </c>
      <c r="W16" s="317" t="s">
        <v>3995</v>
      </c>
      <c r="X16" s="319" t="s">
        <v>3862</v>
      </c>
      <c r="Y16" s="154" t="s">
        <v>3996</v>
      </c>
      <c r="Z16" s="164" t="s">
        <v>3997</v>
      </c>
      <c r="AA16" s="320" t="s">
        <v>722</v>
      </c>
      <c r="AB16" s="17"/>
      <c r="AC16" s="17"/>
      <c r="AD16" s="17"/>
      <c r="AE16" s="17"/>
    </row>
    <row r="17">
      <c r="A17" s="148" t="s">
        <v>3998</v>
      </c>
      <c r="B17" s="161" t="s">
        <v>3999</v>
      </c>
      <c r="C17" s="313" t="s">
        <v>722</v>
      </c>
      <c r="D17" s="174" t="s">
        <v>4000</v>
      </c>
      <c r="E17" s="315" t="str">
        <f>IFERROR(__xludf.DUMMYFUNCTION("GOOGLETRANSLATE(B17,""zh-tw"",""ja"")"),"騎士の剣")</f>
        <v>騎士の剣</v>
      </c>
      <c r="F17" s="316" t="str">
        <f>IFERROR(__xludf.DUMMYFUNCTION("GOOGLETRANSLATE(C17,""zh-tw"",""ja"")"),"-")</f>
        <v>-</v>
      </c>
      <c r="G17" s="174" t="s">
        <v>4001</v>
      </c>
      <c r="H17" s="317" t="s">
        <v>4002</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IFERROR(__xludf.DUMMYFUNCTION("GOOGLETRANSLATE(A17,""zh-tw"",""es-MX"")"),"Espada en la piedra")</f>
        <v>Espada en la piedra</v>
      </c>
      <c r="N17" s="162" t="str">
        <f>IFERROR(__xludf.DUMMYFUNCTION("GOOGLETRANSLATE(B17,""zh-tw"",""es-MX"")"),"Espada de caballero")</f>
        <v>Espada de caballero</v>
      </c>
      <c r="O17" s="318" t="str">
        <f>IFERROR(__xludf.DUMMYFUNCTION("GOOGLETRANSLATE(C17,""zh-tw"",""es-MX"")"),"-")</f>
        <v>-</v>
      </c>
      <c r="P17" s="148" t="s">
        <v>4003</v>
      </c>
      <c r="Q17" s="161" t="s">
        <v>4004</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4005</v>
      </c>
      <c r="W17" s="317" t="s">
        <v>4006</v>
      </c>
      <c r="X17" s="319" t="s">
        <v>4007</v>
      </c>
      <c r="Y17" s="154" t="s">
        <v>4008</v>
      </c>
      <c r="Z17" s="164" t="s">
        <v>4009</v>
      </c>
      <c r="AA17" s="320" t="s">
        <v>722</v>
      </c>
      <c r="AB17" s="17"/>
      <c r="AC17" s="17"/>
      <c r="AD17" s="17"/>
      <c r="AE17" s="17"/>
    </row>
    <row r="18">
      <c r="A18" s="148" t="s">
        <v>4010</v>
      </c>
      <c r="B18" s="161" t="s">
        <v>4010</v>
      </c>
      <c r="C18" s="313" t="s">
        <v>4011</v>
      </c>
      <c r="D18" s="314" t="str">
        <f>IFERROR(__xludf.DUMMYFUNCTION("GOOGLETRANSLATE(A18,""zh-tw"",""ja"")"),"とても大きな卵")</f>
        <v>とても大きな卵</v>
      </c>
      <c r="E18" s="315" t="str">
        <f>IFERROR(__xludf.DUMMYFUNCTION("GOOGLETRANSLATE(B18,""zh-tw"",""ja"")"),"とても大きな卵")</f>
        <v>とても大きな卵</v>
      </c>
      <c r="F18" s="319" t="s">
        <v>4012</v>
      </c>
      <c r="G18" s="174" t="s">
        <v>4013</v>
      </c>
      <c r="H18" s="317" t="s">
        <v>4013</v>
      </c>
      <c r="I18" s="319" t="s">
        <v>4014</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4015</v>
      </c>
      <c r="Q18" s="161" t="s">
        <v>4015</v>
      </c>
      <c r="R18" s="313" t="s">
        <v>4016</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разбивайте).")</f>
        <v>Поднимите его со дна руин (не разбивайте).</v>
      </c>
      <c r="V18" s="174" t="s">
        <v>4017</v>
      </c>
      <c r="W18" s="317" t="s">
        <v>4018</v>
      </c>
      <c r="X18" s="319" t="s">
        <v>4019</v>
      </c>
      <c r="Y18" s="154" t="s">
        <v>4020</v>
      </c>
      <c r="Z18" s="164" t="s">
        <v>4020</v>
      </c>
      <c r="AA18" s="320" t="s">
        <v>4021</v>
      </c>
      <c r="AB18" s="17"/>
      <c r="AC18" s="17"/>
      <c r="AD18" s="17"/>
      <c r="AE18" s="17"/>
    </row>
    <row r="19">
      <c r="A19" s="148" t="s">
        <v>4022</v>
      </c>
      <c r="B19" s="161" t="s">
        <v>4023</v>
      </c>
      <c r="C19" s="313" t="s">
        <v>4024</v>
      </c>
      <c r="D19" s="174" t="s">
        <v>4025</v>
      </c>
      <c r="E19" s="315" t="str">
        <f>IFERROR(__xludf.DUMMYFUNCTION("GOOGLETRANSLATE(B19,""zh-tw"",""ja"")"),"キノコ")</f>
        <v>キノコ</v>
      </c>
      <c r="F19" s="319" t="s">
        <v>4026</v>
      </c>
      <c r="G19" s="174" t="s">
        <v>4027</v>
      </c>
      <c r="H19" s="317" t="s">
        <v>4028</v>
      </c>
      <c r="I19" s="319" t="s">
        <v>4029</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hacia el Bosque Brumoso.")</f>
        <v>Recógelo en el pasaje hacia el Bosque Brumoso.</v>
      </c>
      <c r="P19" s="148" t="s">
        <v>4030</v>
      </c>
      <c r="Q19" s="162" t="str">
        <f>IFERROR(__xludf.DUMMYFUNCTION("GOOGLETRANSLATE(B19,""zh-tw"",""KO"")"),"버섯")</f>
        <v>버섯</v>
      </c>
      <c r="R19" s="313" t="s">
        <v>4031</v>
      </c>
      <c r="S19" s="314" t="str">
        <f>IFERROR(__xludf.DUMMYFUNCTION("GOOGLETRANSLATE(A19,""zh-tw"",""ru"")"),"Грибы туманного леса")</f>
        <v>Грибы туманного леса</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4032</v>
      </c>
      <c r="W19" s="317" t="s">
        <v>4033</v>
      </c>
      <c r="X19" s="319" t="s">
        <v>4034</v>
      </c>
      <c r="Y19" s="154" t="s">
        <v>4035</v>
      </c>
      <c r="Z19" s="164" t="s">
        <v>4036</v>
      </c>
      <c r="AA19" s="320" t="s">
        <v>4037</v>
      </c>
      <c r="AB19" s="17"/>
      <c r="AC19" s="17"/>
      <c r="AD19" s="17"/>
      <c r="AE19" s="17"/>
    </row>
    <row r="20">
      <c r="A20" s="148" t="s">
        <v>4038</v>
      </c>
      <c r="B20" s="161" t="s">
        <v>4039</v>
      </c>
      <c r="C20" s="313" t="s">
        <v>4040</v>
      </c>
      <c r="D20" s="174" t="s">
        <v>4041</v>
      </c>
      <c r="E20" s="315" t="str">
        <f>IFERROR(__xludf.DUMMYFUNCTION("GOOGLETRANSLATE(B20,""zh-tw"",""ja"")"),"椎茸 / ヒラタケ / カニタケ / キノコ")</f>
        <v>椎茸 / ヒラタケ / カニタケ / キノコ</v>
      </c>
      <c r="F20" s="319" t="s">
        <v>4042</v>
      </c>
      <c r="G20" s="174" t="s">
        <v>4043</v>
      </c>
      <c r="H20" s="317" t="s">
        <v>4044</v>
      </c>
      <c r="I20" s="319" t="s">
        <v>4045</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IFERROR(__xludf.DUMMYFUNCTION("GOOGLETRANSLATE(A20,""zh-tw"",""es-MX"")"),"Hongos reliquia")</f>
        <v>Hongos reliquia</v>
      </c>
      <c r="N20" s="162" t="str">
        <f>IFERROR(__xludf.DUMMYFUNCTION("GOOGLETRANSLATE(B20,""zh-tw"",""es-MX"")"),"Hongos shiitake / Hongos ostra / Hongos cangrejo / Hongos")</f>
        <v>Hongos shiitake / Hongos ostra / Hongos cangrejo / Hongos</v>
      </c>
      <c r="O20" s="318" t="str">
        <f>IFERROR(__xludf.DUMMYFUNCTION("GOOGLETRANSLATE(C20,""zh-tw"",""es-MX"")"),"Golpea los hongos en el suelo en las ruinas.")</f>
        <v>Golpea los hongos en el suelo en las ruinas.</v>
      </c>
      <c r="P20" s="148" t="s">
        <v>4046</v>
      </c>
      <c r="Q20" s="161" t="s">
        <v>4047</v>
      </c>
      <c r="R20" s="313" t="s">
        <v>4048</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4049</v>
      </c>
      <c r="W20" s="317" t="s">
        <v>4050</v>
      </c>
      <c r="X20" s="319" t="s">
        <v>4051</v>
      </c>
      <c r="Y20" s="154" t="s">
        <v>4052</v>
      </c>
      <c r="Z20" s="164" t="s">
        <v>4053</v>
      </c>
      <c r="AA20" s="320" t="s">
        <v>4054</v>
      </c>
      <c r="AB20" s="17"/>
      <c r="AC20" s="17"/>
      <c r="AD20" s="17"/>
      <c r="AE20" s="17"/>
    </row>
    <row r="21">
      <c r="A21" s="148" t="s">
        <v>4055</v>
      </c>
      <c r="B21" s="161" t="s">
        <v>4056</v>
      </c>
      <c r="C21" s="313" t="s">
        <v>4057</v>
      </c>
      <c r="D21" s="174" t="s">
        <v>4058</v>
      </c>
      <c r="E21" s="315" t="str">
        <f>IFERROR(__xludf.DUMMYFUNCTION("GOOGLETRANSLATE(B21,""zh-tw"",""ja"")"),"火の鳥の羽")</f>
        <v>火の鳥の羽</v>
      </c>
      <c r="F21" s="319" t="s">
        <v>4059</v>
      </c>
      <c r="G21" s="174" t="s">
        <v>4060</v>
      </c>
      <c r="H21" s="317" t="s">
        <v>4061</v>
      </c>
      <c r="I21" s="319" t="s">
        <v>4062</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pájaro de fuego")</f>
        <v>Plumas de pájaro de fuego</v>
      </c>
      <c r="O21" s="318" t="str">
        <f>IFERROR(__xludf.DUMMYFUNCTION("GOOGLETRANSLATE(C21,""zh-tw"",""es-MX"")"),"Flores rojas en el suelo de las ruinas.")</f>
        <v>Flores rojas en el suelo de las ruinas.</v>
      </c>
      <c r="P21" s="148" t="s">
        <v>4063</v>
      </c>
      <c r="Q21" s="161" t="s">
        <v>4064</v>
      </c>
      <c r="R21" s="313" t="s">
        <v>4065</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4066</v>
      </c>
      <c r="W21" s="317" t="s">
        <v>4067</v>
      </c>
      <c r="X21" s="319" t="s">
        <v>4068</v>
      </c>
      <c r="Y21" s="154" t="s">
        <v>4069</v>
      </c>
      <c r="Z21" s="164" t="s">
        <v>4070</v>
      </c>
      <c r="AA21" s="320" t="s">
        <v>4071</v>
      </c>
      <c r="AB21" s="17"/>
      <c r="AC21" s="17"/>
      <c r="AD21" s="17"/>
      <c r="AE21" s="17"/>
    </row>
    <row r="22">
      <c r="A22" s="148" t="s">
        <v>4072</v>
      </c>
      <c r="B22" s="161" t="s">
        <v>4073</v>
      </c>
      <c r="C22" s="313" t="s">
        <v>4074</v>
      </c>
      <c r="D22" s="174" t="s">
        <v>4075</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4076</v>
      </c>
      <c r="H22" s="317" t="s">
        <v>4077</v>
      </c>
      <c r="I22" s="319" t="s">
        <v>4078</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 de calidad blanca / Equipo de calidad azul / Cartas del tarot / Artículos de uso general")</f>
        <v>Equipo de calidad blanca / Equipo de calidad azul / Cartas del tarot / Artículos de uso general</v>
      </c>
      <c r="O22" s="318" t="str">
        <f>IFERROR(__xludf.DUMMYFUNCTION("GOOGLETRANSLATE(C22,""zh-tw"",""es-MX"")"),"Los restos incluyen botellas de cerámica, barriles de madera, lápidas y losas de piedra.")</f>
        <v>Los restos incluyen botellas de cerámica, barriles de madera, lápidas y losas de piedra.</v>
      </c>
      <c r="P22" s="148" t="s">
        <v>4079</v>
      </c>
      <c r="Q22" s="161" t="s">
        <v>4080</v>
      </c>
      <c r="R22" s="313" t="s">
        <v>4081</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4082</v>
      </c>
      <c r="W22" s="317" t="s">
        <v>4083</v>
      </c>
      <c r="X22" s="319" t="s">
        <v>4084</v>
      </c>
      <c r="Y22" s="154" t="s">
        <v>4085</v>
      </c>
      <c r="Z22" s="164" t="s">
        <v>4086</v>
      </c>
      <c r="AA22" s="320" t="s">
        <v>4087</v>
      </c>
      <c r="AB22" s="17"/>
      <c r="AC22" s="17"/>
      <c r="AD22" s="17"/>
      <c r="AE22" s="17"/>
    </row>
    <row r="23">
      <c r="A23" s="148" t="s">
        <v>4088</v>
      </c>
      <c r="B23" s="161" t="s">
        <v>4089</v>
      </c>
      <c r="C23" s="313" t="s">
        <v>4090</v>
      </c>
      <c r="D23" s="174" t="s">
        <v>4091</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4092</v>
      </c>
      <c r="G23" s="174" t="s">
        <v>4093</v>
      </c>
      <c r="H23" s="317" t="s">
        <v>4094</v>
      </c>
      <c r="I23" s="319" t="s">
        <v>4095</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18" t="str">
        <f>IFERROR(__xludf.DUMMYFUNCTION("GOOGLETRANSLATE(C23,""zh-tw"",""es-MX"")"),"Usa bombas para destruir la superficie del agua.
(Máximo un conjunto de botín)
(Actualmente sin enemigos ni jefes)")</f>
        <v>Usa bombas para destruir la superficie del agua.
(Máximo un conjunto de botín)
(Actualmente sin enemigos ni jefes)</v>
      </c>
      <c r="P23" s="148" t="s">
        <v>4096</v>
      </c>
      <c r="Q23" s="161" t="s">
        <v>4097</v>
      </c>
      <c r="R23" s="313" t="s">
        <v>4098</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4099</v>
      </c>
      <c r="W23" s="317" t="s">
        <v>4100</v>
      </c>
      <c r="X23" s="319" t="s">
        <v>4101</v>
      </c>
      <c r="Y23" s="158" t="s">
        <v>4102</v>
      </c>
      <c r="Z23" s="186" t="s">
        <v>4103</v>
      </c>
      <c r="AA23" s="321" t="s">
        <v>4104</v>
      </c>
      <c r="AB23" s="17"/>
      <c r="AC23" s="17"/>
      <c r="AD23" s="17"/>
      <c r="AE23" s="17"/>
    </row>
    <row r="24">
      <c r="A24" s="148" t="s">
        <v>4105</v>
      </c>
      <c r="B24" s="161" t="s">
        <v>4089</v>
      </c>
      <c r="C24" s="313" t="s">
        <v>4106</v>
      </c>
      <c r="D24" s="148" t="s">
        <v>4105</v>
      </c>
      <c r="E24" s="317" t="s">
        <v>4107</v>
      </c>
      <c r="F24" s="319" t="s">
        <v>4108</v>
      </c>
      <c r="G24" s="174" t="s">
        <v>4109</v>
      </c>
      <c r="H24" s="317" t="s">
        <v>4094</v>
      </c>
      <c r="I24" s="319" t="s">
        <v>4110</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18" t="str">
        <f>IFERROR(__xludf.DUMMYFUNCTION("GOOGLETRANSLATE(C24,""zh-tw"",""es-MX"")"),"Usa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4111</v>
      </c>
      <c r="Z24" s="186" t="s">
        <v>4112</v>
      </c>
      <c r="AA24" s="321" t="s">
        <v>4113</v>
      </c>
      <c r="AB24" s="17"/>
      <c r="AC24" s="17"/>
      <c r="AD24" s="17"/>
      <c r="AE24" s="17"/>
    </row>
    <row r="25">
      <c r="A25" s="148" t="s">
        <v>4114</v>
      </c>
      <c r="B25" s="161" t="s">
        <v>4115</v>
      </c>
      <c r="C25" s="313" t="s">
        <v>4116</v>
      </c>
      <c r="D25" s="148" t="s">
        <v>4114</v>
      </c>
      <c r="E25" s="317" t="s">
        <v>4117</v>
      </c>
      <c r="F25" s="319" t="s">
        <v>4118</v>
      </c>
      <c r="G25" s="174" t="s">
        <v>4119</v>
      </c>
      <c r="H25" s="317" t="s">
        <v>4120</v>
      </c>
      <c r="I25" s="319" t="s">
        <v>4121</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rayado/Paparda/Dorada/Salmón/Salmón real")</f>
        <v>Atún/Pez roca rayado/Paparda/Dorada/Salmón/Salmón real</v>
      </c>
      <c r="O25" s="318" t="str">
        <f>IFERROR(__xludf.DUMMYFUNCTION("GOOGLETRANSLATE(C25,""zh-tw"",""es-MX"")"),"Usa ataques o toca para capturar (solo caerán los ingredientes).")</f>
        <v>Usa ataques o toca para capturar (solo caerán los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4122</v>
      </c>
      <c r="Z25" s="186" t="s">
        <v>4123</v>
      </c>
      <c r="AA25" s="321" t="s">
        <v>4124</v>
      </c>
      <c r="AB25" s="17"/>
      <c r="AC25" s="17"/>
      <c r="AD25" s="17"/>
      <c r="AE25" s="17"/>
    </row>
    <row r="26">
      <c r="A26" s="148" t="s">
        <v>4125</v>
      </c>
      <c r="B26" s="161" t="s">
        <v>4126</v>
      </c>
      <c r="C26" s="313" t="s">
        <v>722</v>
      </c>
      <c r="D26" s="174" t="s">
        <v>4127</v>
      </c>
      <c r="E26" s="315" t="str">
        <f>IFERROR(__xludf.DUMMYFUNCTION("GOOGLETRANSLATE(B26,""zh-tw"",""ja"")"),"星月夜/招き猫/タロットカード")</f>
        <v>星月夜/招き猫/タロットカード</v>
      </c>
      <c r="F26" s="316" t="str">
        <f>IFERROR(__xludf.DUMMYFUNCTION("GOOGLETRANSLATE(C26,""zh-tw"",""ja"")"),"-")</f>
        <v>-</v>
      </c>
      <c r="G26" s="174" t="s">
        <v>4128</v>
      </c>
      <c r="H26" s="317" t="s">
        <v>4129</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4130</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4131</v>
      </c>
      <c r="W26" s="317" t="s">
        <v>4132</v>
      </c>
      <c r="X26" s="319" t="s">
        <v>3862</v>
      </c>
      <c r="Y26" s="154" t="s">
        <v>4133</v>
      </c>
      <c r="Z26" s="164" t="s">
        <v>4134</v>
      </c>
      <c r="AA26" s="320" t="s">
        <v>722</v>
      </c>
      <c r="AB26" s="17"/>
      <c r="AC26" s="17"/>
      <c r="AD26" s="17"/>
      <c r="AE26" s="17"/>
    </row>
    <row r="27">
      <c r="A27" s="148" t="s">
        <v>4135</v>
      </c>
      <c r="B27" s="161" t="s">
        <v>4136</v>
      </c>
      <c r="C27" s="313" t="s">
        <v>722</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4137</v>
      </c>
      <c r="H27" s="317" t="s">
        <v>4138</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4139</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4140</v>
      </c>
      <c r="W27" s="317" t="s">
        <v>4141</v>
      </c>
      <c r="X27" s="319" t="s">
        <v>3862</v>
      </c>
      <c r="Y27" s="154" t="s">
        <v>4142</v>
      </c>
      <c r="Z27" s="164" t="s">
        <v>4143</v>
      </c>
      <c r="AA27" s="321" t="s">
        <v>722</v>
      </c>
      <c r="AB27" s="17"/>
      <c r="AC27" s="17"/>
      <c r="AD27" s="17"/>
      <c r="AE27" s="17"/>
    </row>
    <row r="28">
      <c r="A28" s="148" t="s">
        <v>4144</v>
      </c>
      <c r="B28" s="161" t="s">
        <v>4145</v>
      </c>
      <c r="C28" s="313" t="s">
        <v>722</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4146</v>
      </c>
      <c r="H28" s="317" t="s">
        <v>4147</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4148</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4149</v>
      </c>
      <c r="W28" s="317" t="s">
        <v>4150</v>
      </c>
      <c r="X28" s="319" t="s">
        <v>3862</v>
      </c>
      <c r="Y28" s="154" t="s">
        <v>4146</v>
      </c>
      <c r="Z28" s="164" t="s">
        <v>4151</v>
      </c>
      <c r="AA28" s="320" t="s">
        <v>722</v>
      </c>
      <c r="AB28" s="17"/>
      <c r="AC28" s="17"/>
      <c r="AD28" s="17"/>
      <c r="AE28" s="17"/>
    </row>
    <row r="29">
      <c r="A29" s="148" t="s">
        <v>4152</v>
      </c>
      <c r="B29" s="161" t="s">
        <v>4153</v>
      </c>
      <c r="C29" s="313" t="s">
        <v>722</v>
      </c>
      <c r="D29" s="174" t="s">
        <v>4154</v>
      </c>
      <c r="E29" s="317" t="s">
        <v>4155</v>
      </c>
      <c r="F29" s="316" t="str">
        <f>IFERROR(__xludf.DUMMYFUNCTION("GOOGLETRANSLATE(C29,""zh-tw"",""ja"")"),"-")</f>
        <v>-</v>
      </c>
      <c r="G29" s="314" t="str">
        <f>IFERROR(__xludf.DUMMYFUNCTION("GOOGLETRANSLATE(A29,""zh-tw"",""en"")"),"Maid Bunny")</f>
        <v>Maid Bunny</v>
      </c>
      <c r="H29" s="317" t="s">
        <v>4156</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4157</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4158</v>
      </c>
      <c r="W29" s="317" t="s">
        <v>4159</v>
      </c>
      <c r="X29" s="319" t="s">
        <v>4160</v>
      </c>
      <c r="Y29" s="154" t="s">
        <v>4161</v>
      </c>
      <c r="Z29" s="164" t="s">
        <v>4162</v>
      </c>
      <c r="AA29" s="320" t="s">
        <v>722</v>
      </c>
      <c r="AB29" s="17"/>
      <c r="AC29" s="17"/>
      <c r="AD29" s="17"/>
      <c r="AE29" s="17"/>
    </row>
    <row r="30">
      <c r="A30" s="148" t="s">
        <v>4163</v>
      </c>
      <c r="B30" s="161" t="s">
        <v>4164</v>
      </c>
      <c r="C30" s="313" t="s">
        <v>722</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4165</v>
      </c>
      <c r="H30" s="317" t="s">
        <v>4166</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árboles antiguos")</f>
        <v>Manzana/Palo de madera dura/Espada de madera dura/Lanceta/Restos de árboles antiguos</v>
      </c>
      <c r="O30" s="318" t="str">
        <f>IFERROR(__xludf.DUMMYFUNCTION("GOOGLETRANSLATE(C30,""zh-tw"",""es-MX"")"),"-")</f>
        <v>-</v>
      </c>
      <c r="P30" s="148" t="s">
        <v>4167</v>
      </c>
      <c r="Q30" s="161" t="s">
        <v>4168</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4169</v>
      </c>
      <c r="W30" s="317" t="s">
        <v>4170</v>
      </c>
      <c r="X30" s="319" t="s">
        <v>4171</v>
      </c>
      <c r="Y30" s="154" t="s">
        <v>4172</v>
      </c>
      <c r="Z30" s="164" t="s">
        <v>4173</v>
      </c>
      <c r="AA30" s="320" t="s">
        <v>722</v>
      </c>
      <c r="AB30" s="17"/>
      <c r="AC30" s="17"/>
      <c r="AD30" s="17"/>
      <c r="AE30" s="17"/>
    </row>
    <row r="31">
      <c r="A31" s="148" t="s">
        <v>4174</v>
      </c>
      <c r="B31" s="161" t="s">
        <v>4175</v>
      </c>
      <c r="C31" s="313" t="s">
        <v>722</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4176</v>
      </c>
      <c r="H31" s="317" t="s">
        <v>4177</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Clúster de cristales de magia profunda")</f>
        <v>Diadema de manzana / Zafiro azul / Gel mágico / Clúster de cristales de magia profunda</v>
      </c>
      <c r="O31" s="318" t="str">
        <f>IFERROR(__xludf.DUMMYFUNCTION("GOOGLETRANSLATE(C31,""zh-tw"",""es-MX"")"),"-")</f>
        <v>-</v>
      </c>
      <c r="P31" s="149" t="str">
        <f>IFERROR(__xludf.DUMMYFUNCTION("GOOGLETRANSLATE(A31,""zh-tw"",""KO"")"),"광석")</f>
        <v>광석</v>
      </c>
      <c r="Q31" s="161" t="s">
        <v>4178</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4179</v>
      </c>
      <c r="W31" s="317" t="s">
        <v>4180</v>
      </c>
      <c r="X31" s="319" t="s">
        <v>4181</v>
      </c>
      <c r="Y31" s="154" t="s">
        <v>4182</v>
      </c>
      <c r="Z31" s="164" t="s">
        <v>4183</v>
      </c>
      <c r="AA31" s="320" t="s">
        <v>722</v>
      </c>
      <c r="AB31" s="17"/>
      <c r="AC31" s="17"/>
      <c r="AD31" s="17"/>
      <c r="AE31" s="17"/>
    </row>
    <row r="32">
      <c r="A32" s="148" t="s">
        <v>4184</v>
      </c>
      <c r="B32" s="161" t="s">
        <v>4185</v>
      </c>
      <c r="C32" s="313" t="s">
        <v>722</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4186</v>
      </c>
      <c r="H32" s="317" t="s">
        <v>4187</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IFERROR(__xludf.DUMMYFUNCTION("GOOGLETRANSLATE(B32,""zh-tw"",""es-MX"")"),"Cúmulo de cristales de magia profunda / Slime Slime / Objeto de uso general")</f>
        <v>Cúmulo de cristales de magia profunda / Slime Slime / Objeto de uso general</v>
      </c>
      <c r="O32" s="318" t="str">
        <f>IFERROR(__xludf.DUMMYFUNCTION("GOOGLETRANSLATE(C32,""zh-tw"",""es-MX"")"),"-")</f>
        <v>-</v>
      </c>
      <c r="P32" s="149" t="str">
        <f>IFERROR(__xludf.DUMMYFUNCTION("GOOGLETRANSLATE(A32,""zh-tw"",""KO"")"),"광석 슬라임")</f>
        <v>광석 슬라임</v>
      </c>
      <c r="Q32" s="161" t="s">
        <v>4188</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4189</v>
      </c>
      <c r="W32" s="317" t="s">
        <v>4190</v>
      </c>
      <c r="X32" s="319" t="s">
        <v>3862</v>
      </c>
      <c r="Y32" s="154" t="s">
        <v>4191</v>
      </c>
      <c r="Z32" s="164" t="s">
        <v>4192</v>
      </c>
      <c r="AA32" s="320" t="s">
        <v>722</v>
      </c>
      <c r="AB32" s="17"/>
      <c r="AC32" s="17"/>
      <c r="AD32" s="17"/>
      <c r="AE32" s="17"/>
    </row>
    <row r="33">
      <c r="A33" s="148" t="s">
        <v>4193</v>
      </c>
      <c r="B33" s="161" t="s">
        <v>4194</v>
      </c>
      <c r="C33" s="313" t="s">
        <v>4195</v>
      </c>
      <c r="D33" s="314" t="str">
        <f>IFERROR(__xludf.DUMMYFUNCTION("GOOGLETRANSLATE(A33,""zh-tw"",""ja"")"),"狂乱の赤い獣")</f>
        <v>狂乱の赤い獣</v>
      </c>
      <c r="E33" s="317" t="s">
        <v>4196</v>
      </c>
      <c r="F33" s="319" t="s">
        <v>4197</v>
      </c>
      <c r="G33" s="174" t="s">
        <v>4198</v>
      </c>
      <c r="H33" s="317" t="s">
        <v>4199</v>
      </c>
      <c r="I33" s="319" t="s">
        <v>4200</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Frenética")</f>
        <v>La Bestia Roja Frenética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
Debilidad: Veneno")</f>
        <v>Jefe de las Ruinas
Debilidad: Veneno</v>
      </c>
      <c r="P33" s="149" t="str">
        <f>IFERROR(__xludf.DUMMYFUNCTION("GOOGLETRANSLATE(A33,""zh-tw"",""KO"")"),"광란의 붉은 짐승")</f>
        <v>광란의 붉은 짐승</v>
      </c>
      <c r="Q33" s="161" t="s">
        <v>4201</v>
      </c>
      <c r="R33" s="313" t="s">
        <v>4202</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4203</v>
      </c>
      <c r="W33" s="317" t="s">
        <v>4204</v>
      </c>
      <c r="X33" s="319" t="s">
        <v>4205</v>
      </c>
      <c r="Y33" s="154" t="s">
        <v>4206</v>
      </c>
      <c r="Z33" s="164" t="s">
        <v>4207</v>
      </c>
      <c r="AA33" s="320" t="s">
        <v>4208</v>
      </c>
      <c r="AB33" s="17"/>
      <c r="AC33" s="17"/>
      <c r="AD33" s="17"/>
      <c r="AE33" s="17"/>
    </row>
    <row r="34">
      <c r="A34" s="148" t="s">
        <v>4209</v>
      </c>
      <c r="B34" s="161" t="s">
        <v>4210</v>
      </c>
      <c r="C34" s="313" t="s">
        <v>722</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4211</v>
      </c>
      <c r="H34" s="317" t="s">
        <v>4212</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4213</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4214</v>
      </c>
      <c r="W34" s="317" t="s">
        <v>4215</v>
      </c>
      <c r="X34" s="319" t="s">
        <v>4216</v>
      </c>
      <c r="Y34" s="154" t="s">
        <v>4217</v>
      </c>
      <c r="Z34" s="164" t="s">
        <v>4218</v>
      </c>
      <c r="AA34" s="320" t="s">
        <v>722</v>
      </c>
      <c r="AB34" s="17"/>
      <c r="AC34" s="17"/>
      <c r="AD34" s="17"/>
      <c r="AE34" s="17"/>
    </row>
    <row r="35">
      <c r="A35" s="148" t="s">
        <v>4219</v>
      </c>
      <c r="B35" s="161" t="s">
        <v>4220</v>
      </c>
      <c r="C35" s="313" t="s">
        <v>722</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4221</v>
      </c>
      <c r="H35" s="317" t="s">
        <v>4222</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4223</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4224</v>
      </c>
      <c r="W35" s="317" t="s">
        <v>4225</v>
      </c>
      <c r="X35" s="319" t="s">
        <v>4216</v>
      </c>
      <c r="Y35" s="154" t="s">
        <v>4226</v>
      </c>
      <c r="Z35" s="164" t="s">
        <v>4227</v>
      </c>
      <c r="AA35" s="320" t="s">
        <v>722</v>
      </c>
      <c r="AB35" s="17"/>
      <c r="AC35" s="17"/>
      <c r="AD35" s="17"/>
      <c r="AE35" s="17"/>
    </row>
    <row r="36">
      <c r="A36" s="148" t="s">
        <v>4228</v>
      </c>
      <c r="B36" s="161" t="s">
        <v>4229</v>
      </c>
      <c r="C36" s="313" t="s">
        <v>722</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4230</v>
      </c>
      <c r="H36" s="317" t="s">
        <v>4231</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4232</v>
      </c>
      <c r="W36" s="317" t="s">
        <v>4233</v>
      </c>
      <c r="X36" s="319" t="s">
        <v>4216</v>
      </c>
      <c r="Y36" s="154" t="s">
        <v>4234</v>
      </c>
      <c r="Z36" s="164" t="s">
        <v>4235</v>
      </c>
      <c r="AA36" s="320" t="s">
        <v>722</v>
      </c>
      <c r="AB36" s="17"/>
      <c r="AC36" s="17"/>
      <c r="AD36" s="17"/>
      <c r="AE36" s="17"/>
    </row>
    <row r="37">
      <c r="A37" s="148" t="s">
        <v>4236</v>
      </c>
      <c r="B37" s="161" t="s">
        <v>4237</v>
      </c>
      <c r="C37" s="313" t="s">
        <v>722</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4238</v>
      </c>
      <c r="H37" s="317" t="s">
        <v>4239</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4240</v>
      </c>
      <c r="W37" s="317" t="s">
        <v>4241</v>
      </c>
      <c r="X37" s="319" t="s">
        <v>4216</v>
      </c>
      <c r="Y37" s="154" t="s">
        <v>4242</v>
      </c>
      <c r="Z37" s="164" t="s">
        <v>4243</v>
      </c>
      <c r="AA37" s="320" t="s">
        <v>722</v>
      </c>
      <c r="AB37" s="17"/>
      <c r="AC37" s="17"/>
      <c r="AD37" s="17"/>
      <c r="AE37" s="17"/>
    </row>
    <row r="38">
      <c r="A38" s="148" t="s">
        <v>4244</v>
      </c>
      <c r="B38" s="161" t="s">
        <v>4245</v>
      </c>
      <c r="C38" s="313" t="s">
        <v>722</v>
      </c>
      <c r="D38" s="314" t="str">
        <f>IFERROR(__xludf.DUMMYFUNCTION("GOOGLETRANSLATE(A38,""zh-tw"",""ja"")"),"角のあるウサギ")</f>
        <v>角のあるウサギ</v>
      </c>
      <c r="E38" s="317" t="s">
        <v>4246</v>
      </c>
      <c r="F38" s="316" t="str">
        <f>IFERROR(__xludf.DUMMYFUNCTION("GOOGLETRANSLATE(C38,""zh-tw"",""ja"")"),"-")</f>
        <v>-</v>
      </c>
      <c r="G38" s="174" t="s">
        <v>4247</v>
      </c>
      <c r="H38" s="317" t="s">
        <v>4248</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4249</v>
      </c>
      <c r="Q38" s="161" t="s">
        <v>4250</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4251</v>
      </c>
      <c r="W38" s="317" t="s">
        <v>4252</v>
      </c>
      <c r="X38" s="319" t="s">
        <v>3862</v>
      </c>
      <c r="Y38" s="154" t="s">
        <v>4253</v>
      </c>
      <c r="Z38" s="164" t="s">
        <v>4254</v>
      </c>
      <c r="AA38" s="320" t="s">
        <v>722</v>
      </c>
      <c r="AB38" s="17"/>
      <c r="AC38" s="17"/>
      <c r="AD38" s="17"/>
      <c r="AE38" s="17"/>
    </row>
    <row r="39">
      <c r="A39" s="148" t="s">
        <v>2696</v>
      </c>
      <c r="B39" s="161" t="s">
        <v>4255</v>
      </c>
      <c r="C39" s="313" t="s">
        <v>4256</v>
      </c>
      <c r="D39" s="314" t="str">
        <f>IFERROR(__xludf.DUMMYFUNCTION("GOOGLETRANSLATE(A39,""zh-tw"",""ja"")"),"かかし")</f>
        <v>かかし</v>
      </c>
      <c r="E39" s="317" t="s">
        <v>4257</v>
      </c>
      <c r="F39" s="319" t="s">
        <v>4258</v>
      </c>
      <c r="G39" s="174" t="s">
        <v>2702</v>
      </c>
      <c r="H39" s="317" t="s">
        <v>4259</v>
      </c>
      <c r="I39" s="319" t="s">
        <v>4260</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4261</v>
      </c>
      <c r="R39" s="313" t="s">
        <v>4262</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4263</v>
      </c>
      <c r="X39" s="319" t="s">
        <v>4264</v>
      </c>
      <c r="Y39" s="154" t="s">
        <v>2708</v>
      </c>
      <c r="Z39" s="164" t="s">
        <v>4265</v>
      </c>
      <c r="AA39" s="320" t="s">
        <v>4266</v>
      </c>
      <c r="AB39" s="17"/>
      <c r="AC39" s="17"/>
      <c r="AD39" s="17"/>
      <c r="AE39" s="17"/>
    </row>
    <row r="40">
      <c r="A40" s="148" t="s">
        <v>4267</v>
      </c>
      <c r="B40" s="161" t="s">
        <v>4268</v>
      </c>
      <c r="C40" s="313" t="s">
        <v>4269</v>
      </c>
      <c r="D40" s="314" t="str">
        <f>IFERROR(__xludf.DUMMYFUNCTION("GOOGLETRANSLATE(A40,""zh-tw"",""ja"")"),"浅羽")</f>
        <v>浅羽</v>
      </c>
      <c r="E40" s="317" t="s">
        <v>4270</v>
      </c>
      <c r="F40" s="319" t="s">
        <v>4271</v>
      </c>
      <c r="G40" s="174" t="s">
        <v>4272</v>
      </c>
      <c r="H40" s="317" t="s">
        <v>4273</v>
      </c>
      <c r="I40" s="319" t="s">
        <v>4274</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Catgirl
Debilidad: Trueno")</f>
        <v>Carrito de la tienda de Catgirl
Debilidad: Trueno</v>
      </c>
      <c r="P40" s="149" t="str">
        <f>IFERROR(__xludf.DUMMYFUNCTION("GOOGLETRANSLATE(A40,""zh-tw"",""KO"")"),"아사바")</f>
        <v>아사바</v>
      </c>
      <c r="Q40" s="161" t="s">
        <v>4275</v>
      </c>
      <c r="R40" s="313" t="s">
        <v>4276</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4272</v>
      </c>
      <c r="W40" s="317" t="s">
        <v>4277</v>
      </c>
      <c r="X40" s="319" t="s">
        <v>4278</v>
      </c>
      <c r="Y40" s="154" t="s">
        <v>4272</v>
      </c>
      <c r="Z40" s="164" t="s">
        <v>4279</v>
      </c>
      <c r="AA40" s="320" t="s">
        <v>4280</v>
      </c>
      <c r="AB40" s="17"/>
      <c r="AC40" s="17"/>
      <c r="AD40" s="17"/>
      <c r="AE40" s="17"/>
    </row>
    <row r="41">
      <c r="A41" s="148" t="s">
        <v>4281</v>
      </c>
      <c r="B41" s="161" t="s">
        <v>4282</v>
      </c>
      <c r="C41" s="313" t="s">
        <v>722</v>
      </c>
      <c r="D41" s="148" t="s">
        <v>4283</v>
      </c>
      <c r="E41" s="161" t="s">
        <v>4284</v>
      </c>
      <c r="F41" s="316" t="str">
        <f>IFERROR(__xludf.DUMMYFUNCTION("GOOGLETRANSLATE(C41,""zh-tw"",""ja"")"),"-")</f>
        <v>-</v>
      </c>
      <c r="G41" s="148" t="s">
        <v>4285</v>
      </c>
      <c r="H41" s="161" t="s">
        <v>4286</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las llamas")</f>
        <v>Hada de las llamas</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4287</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4288</v>
      </c>
      <c r="W41" s="317" t="s">
        <v>4289</v>
      </c>
      <c r="X41" s="319" t="s">
        <v>3862</v>
      </c>
      <c r="Y41" s="154" t="s">
        <v>4290</v>
      </c>
      <c r="Z41" s="164" t="s">
        <v>4291</v>
      </c>
      <c r="AA41" s="320" t="s">
        <v>722</v>
      </c>
      <c r="AB41" s="17"/>
      <c r="AC41" s="17"/>
      <c r="AD41" s="17"/>
      <c r="AE41" s="17"/>
    </row>
    <row r="42">
      <c r="A42" s="148" t="s">
        <v>4292</v>
      </c>
      <c r="B42" s="161" t="s">
        <v>4293</v>
      </c>
      <c r="C42" s="313" t="s">
        <v>722</v>
      </c>
      <c r="D42" s="148" t="s">
        <v>4294</v>
      </c>
      <c r="E42" s="161" t="s">
        <v>4295</v>
      </c>
      <c r="F42" s="316" t="str">
        <f>IFERROR(__xludf.DUMMYFUNCTION("GOOGLETRANSLATE(C42,""zh-tw"",""ja"")"),"-")</f>
        <v>-</v>
      </c>
      <c r="G42" s="148" t="s">
        <v>4296</v>
      </c>
      <c r="H42" s="161" t="s">
        <v>4297</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IFERROR(__xludf.DUMMYFUNCTION("GOOGLETRANSLATE(A42,""zh-tw"",""es-MX"")"),"Slime ardiente")</f>
        <v>Slime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4298</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4299</v>
      </c>
      <c r="W42" s="317" t="s">
        <v>4300</v>
      </c>
      <c r="X42" s="319" t="s">
        <v>3862</v>
      </c>
      <c r="Y42" s="154" t="s">
        <v>4301</v>
      </c>
      <c r="Z42" s="164" t="s">
        <v>4302</v>
      </c>
      <c r="AA42" s="320" t="s">
        <v>722</v>
      </c>
      <c r="AB42" s="17"/>
      <c r="AC42" s="17"/>
      <c r="AD42" s="17"/>
      <c r="AE42" s="17"/>
    </row>
    <row r="43">
      <c r="A43" s="148" t="s">
        <v>4303</v>
      </c>
      <c r="B43" s="161" t="s">
        <v>4304</v>
      </c>
      <c r="C43" s="313" t="s">
        <v>722</v>
      </c>
      <c r="D43" s="148" t="s">
        <v>4303</v>
      </c>
      <c r="E43" s="161" t="s">
        <v>4305</v>
      </c>
      <c r="F43" s="316" t="str">
        <f>IFERROR(__xludf.DUMMYFUNCTION("GOOGLETRANSLATE(C43,""zh-tw"",""ja"")"),"-")</f>
        <v>-</v>
      </c>
      <c r="G43" s="148" t="s">
        <v>4306</v>
      </c>
      <c r="H43" s="161" t="s">
        <v>4307</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llamas")</f>
        <v>Demonio de llamas</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4306</v>
      </c>
      <c r="W43" s="317" t="s">
        <v>4308</v>
      </c>
      <c r="X43" s="319" t="s">
        <v>3862</v>
      </c>
      <c r="Y43" s="154" t="s">
        <v>4306</v>
      </c>
      <c r="Z43" s="164" t="s">
        <v>4309</v>
      </c>
      <c r="AA43" s="320" t="s">
        <v>722</v>
      </c>
      <c r="AB43" s="17"/>
      <c r="AC43" s="17"/>
      <c r="AD43" s="17"/>
      <c r="AE43" s="17"/>
    </row>
    <row r="44">
      <c r="A44" s="149" t="s">
        <v>4310</v>
      </c>
      <c r="B44" s="161" t="s">
        <v>4311</v>
      </c>
      <c r="C44" s="313" t="s">
        <v>4312</v>
      </c>
      <c r="D44" s="149" t="s">
        <v>4313</v>
      </c>
      <c r="E44" s="161" t="s">
        <v>4314</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4315</v>
      </c>
      <c r="H44" s="161" t="s">
        <v>4316</v>
      </c>
      <c r="I44" s="313" t="s">
        <v>4317</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cortada del mago caído")</f>
        <v>La mano cortada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debes matar a más de 10 monstruos para obtenerlo.")</f>
        <v>El colgante de jade rojo es un objeto especial; debes matar a más de 10 monstruos para obtenerlo.</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4318</v>
      </c>
      <c r="W44" s="162" t="s">
        <v>4319</v>
      </c>
      <c r="X44" s="313" t="s">
        <v>722</v>
      </c>
      <c r="Y44" s="180" t="s">
        <v>4320</v>
      </c>
      <c r="Z44" s="164" t="s">
        <v>4321</v>
      </c>
      <c r="AA44" s="320" t="s">
        <v>4322</v>
      </c>
      <c r="AB44" s="200"/>
      <c r="AC44" s="200"/>
      <c r="AD44" s="200"/>
      <c r="AE44" s="200"/>
    </row>
    <row r="45">
      <c r="A45" s="148" t="s">
        <v>4323</v>
      </c>
      <c r="B45" s="161" t="s">
        <v>4324</v>
      </c>
      <c r="C45" s="313" t="s">
        <v>4325</v>
      </c>
      <c r="D45" s="148" t="s">
        <v>4323</v>
      </c>
      <c r="E45" s="161" t="s">
        <v>4326</v>
      </c>
      <c r="F45" s="313" t="s">
        <v>4327</v>
      </c>
      <c r="G45" s="148" t="s">
        <v>4323</v>
      </c>
      <c r="H45" s="161" t="s">
        <v>4328</v>
      </c>
      <c r="I45" s="313" t="s">
        <v>4329</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IFERROR(__xludf.DUMMYFUNCTION("GOOGLETRANSLATE(C45,""zh-tw"",""es-MX"")"),"Doro Asaba comerá las fresas al borde del camino.")</f>
        <v>Doro Asaba comerá las fresas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IFERROR(__xludf.DUMMYFUNCTION("GOOGLETRANSLATE(C45,""zh-tw"",""KO"")"),"도로 아사바는 길가에서 딸기를 먹을 것이다.")</f>
        <v>도로 아사바는 길가에서 딸기를 먹을 것이다.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IFERROR(__xludf.DUMMYFUNCTION("GOOGLETRANSLATE(C45,""zh-tw"",""ru"")"),"Доро Асаба будет есть клубнику у дороги.")</f>
        <v>Доро Асаба будет есть клубнику у дороги.</v>
      </c>
      <c r="V45" s="148" t="s">
        <v>4323</v>
      </c>
      <c r="W45" s="161" t="s">
        <v>4330</v>
      </c>
      <c r="X45" s="313" t="s">
        <v>4331</v>
      </c>
      <c r="Y45" s="154" t="s">
        <v>4332</v>
      </c>
      <c r="Z45" s="164" t="s">
        <v>4333</v>
      </c>
      <c r="AA45" s="320" t="s">
        <v>4334</v>
      </c>
      <c r="AB45" s="17"/>
      <c r="AC45" s="17"/>
      <c r="AD45" s="17"/>
      <c r="AE45" s="17"/>
    </row>
    <row r="46">
      <c r="A46" s="148" t="s">
        <v>4335</v>
      </c>
      <c r="B46" s="161" t="s">
        <v>4336</v>
      </c>
      <c r="C46" s="313" t="s">
        <v>4337</v>
      </c>
      <c r="D46" s="148" t="s">
        <v>4338</v>
      </c>
      <c r="E46" s="161" t="s">
        <v>4339</v>
      </c>
      <c r="F46" s="313" t="s">
        <v>4337</v>
      </c>
      <c r="G46" s="148" t="s">
        <v>4340</v>
      </c>
      <c r="H46" s="161" t="s">
        <v>4341</v>
      </c>
      <c r="I46" s="313" t="s">
        <v>4337</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IFERROR(__xludf.DUMMYFUNCTION("GOOGLETRANSLATE(B46,""zh-tw"",""es-MX"")"),"Fresas de ASAB. ¡Llévenselas!")</f>
        <v>Fresas de ASAB. ¡Llévenselas!</v>
      </c>
      <c r="O46" s="313" t="s">
        <v>4337</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4337</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4337</v>
      </c>
      <c r="V46" s="148"/>
      <c r="W46" s="161" t="s">
        <v>4342</v>
      </c>
      <c r="X46" s="313" t="s">
        <v>4337</v>
      </c>
      <c r="Y46" s="154" t="s">
        <v>4332</v>
      </c>
      <c r="Z46" s="164" t="s">
        <v>4343</v>
      </c>
      <c r="AA46" s="320" t="s">
        <v>4337</v>
      </c>
      <c r="AB46" s="17"/>
      <c r="AC46" s="17"/>
      <c r="AD46" s="17"/>
      <c r="AE46" s="17"/>
    </row>
    <row r="47">
      <c r="A47" s="149" t="s">
        <v>4344</v>
      </c>
      <c r="B47" s="162" t="s">
        <v>4345</v>
      </c>
      <c r="C47" s="313" t="s">
        <v>4337</v>
      </c>
      <c r="D47" s="149" t="s">
        <v>4346</v>
      </c>
      <c r="E47" s="162" t="s">
        <v>4347</v>
      </c>
      <c r="F47" s="313" t="s">
        <v>4337</v>
      </c>
      <c r="G47" s="149" t="s">
        <v>4348</v>
      </c>
      <c r="H47" s="161" t="s">
        <v>4349</v>
      </c>
      <c r="I47" s="313" t="s">
        <v>4337</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4350</v>
      </c>
      <c r="P47" s="149" t="str">
        <f>IFERROR(__xludf.DUMMYFUNCTION("GOOGLETRANSLATE(A47,""zh-tw"",""KO"")"),"작은 정원의 흰 토끼")</f>
        <v>작은 정원의 흰 토끼</v>
      </c>
      <c r="Q47" s="162" t="str">
        <f>IFERROR(__xludf.DUMMYFUNCTION("GOOGLETRANSLATE(B47,""zh-tw"",""KO"")"),"당근 검 / 당근")</f>
        <v>당근 검 / 당근</v>
      </c>
      <c r="R47" s="313" t="s">
        <v>4337</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4337</v>
      </c>
      <c r="V47" s="149" t="s">
        <v>4351</v>
      </c>
      <c r="W47" s="162" t="s">
        <v>4352</v>
      </c>
      <c r="X47" s="313" t="s">
        <v>4350</v>
      </c>
      <c r="Y47" s="180" t="s">
        <v>4353</v>
      </c>
      <c r="Z47" s="182" t="s">
        <v>4354</v>
      </c>
      <c r="AA47" s="320" t="s">
        <v>4337</v>
      </c>
      <c r="AB47" s="17"/>
      <c r="AC47" s="17"/>
      <c r="AD47" s="17"/>
      <c r="AE47" s="17"/>
    </row>
    <row r="48">
      <c r="A48" s="148" t="s">
        <v>4355</v>
      </c>
      <c r="B48" s="161" t="s">
        <v>4356</v>
      </c>
      <c r="C48" s="313" t="s">
        <v>722</v>
      </c>
      <c r="D48" s="148" t="s">
        <v>4357</v>
      </c>
      <c r="E48" s="161" t="s">
        <v>4358</v>
      </c>
      <c r="F48" s="318"/>
      <c r="G48" s="148" t="s">
        <v>4359</v>
      </c>
      <c r="H48" s="161" t="s">
        <v>4360</v>
      </c>
      <c r="I48" s="313" t="s">
        <v>722</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IFERROR(__xludf.DUMMYFUNCTION("GOOGLETRANSLATE(A48,""zh-tw"",""es-MX"")"),"Capa malvada")</f>
        <v>Capa malvada</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4361</v>
      </c>
      <c r="W48" s="161" t="s">
        <v>4362</v>
      </c>
      <c r="X48" s="313" t="s">
        <v>722</v>
      </c>
      <c r="Y48" s="154" t="s">
        <v>4363</v>
      </c>
      <c r="Z48" s="186" t="s">
        <v>4364</v>
      </c>
      <c r="AA48" s="320" t="s">
        <v>722</v>
      </c>
      <c r="AB48" s="17"/>
      <c r="AC48" s="17"/>
      <c r="AD48" s="17"/>
      <c r="AE48" s="17"/>
    </row>
    <row r="49">
      <c r="A49" s="148" t="s">
        <v>4365</v>
      </c>
      <c r="B49" s="322" t="s">
        <v>4366</v>
      </c>
      <c r="C49" s="313" t="s">
        <v>4367</v>
      </c>
      <c r="D49" s="148" t="s">
        <v>4368</v>
      </c>
      <c r="E49" s="161" t="s">
        <v>4369</v>
      </c>
      <c r="F49" s="313" t="s">
        <v>4370</v>
      </c>
      <c r="G49" s="148" t="s">
        <v>4371</v>
      </c>
      <c r="H49" s="161" t="s">
        <v>4372</v>
      </c>
      <c r="I49" s="313" t="s">
        <v>4373</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IFERROR(__xludf.DUMMYFUNCTION("GOOGLETRANSLATE(C49,""zh-tw"",""es-MX"")"),"Utilice bombas para hacer estallar la superficie del agua.")</f>
        <v>Utilice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4374</v>
      </c>
      <c r="W49" s="323" t="s">
        <v>4375</v>
      </c>
      <c r="X49" s="313" t="s">
        <v>4376</v>
      </c>
      <c r="Y49" s="154" t="s">
        <v>4377</v>
      </c>
      <c r="Z49" s="164" t="s">
        <v>4378</v>
      </c>
      <c r="AA49" s="320" t="s">
        <v>4379</v>
      </c>
      <c r="AB49" s="17"/>
      <c r="AC49" s="17"/>
      <c r="AD49" s="17"/>
      <c r="AE49" s="17"/>
    </row>
    <row r="50">
      <c r="A50" s="148" t="s">
        <v>4380</v>
      </c>
      <c r="B50" s="162" t="s">
        <v>4381</v>
      </c>
      <c r="C50" s="313" t="s">
        <v>4367</v>
      </c>
      <c r="D50" s="148" t="s">
        <v>4382</v>
      </c>
      <c r="E50" s="161" t="s">
        <v>4383</v>
      </c>
      <c r="F50" s="313" t="s">
        <v>4370</v>
      </c>
      <c r="G50" s="148" t="s">
        <v>4384</v>
      </c>
      <c r="H50" s="161" t="s">
        <v>4385</v>
      </c>
      <c r="I50" s="313" t="s">
        <v>4373</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IFERROR(__xludf.DUMMYFUNCTION("GOOGLETRANSLATE(B50,""zh-tw"",""es-MX"")"),"◉▽◉(púrpura)")</f>
        <v>◉▽◉(púrpura)</v>
      </c>
      <c r="O50" s="318" t="str">
        <f>IFERROR(__xludf.DUMMYFUNCTION("GOOGLETRANSLATE(C50,""zh-tw"",""es-MX"")"),"Utilice bombas para hacer estallar la superficie del agua.")</f>
        <v>Utilice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4386</v>
      </c>
      <c r="W50" s="323" t="s">
        <v>4387</v>
      </c>
      <c r="X50" s="313" t="s">
        <v>4376</v>
      </c>
      <c r="Y50" s="154" t="s">
        <v>4388</v>
      </c>
      <c r="Z50" s="182" t="s">
        <v>4389</v>
      </c>
      <c r="AA50" s="320" t="s">
        <v>4379</v>
      </c>
      <c r="AB50" s="17"/>
      <c r="AC50" s="17"/>
      <c r="AD50" s="17"/>
      <c r="AE50" s="17"/>
    </row>
    <row r="51">
      <c r="A51" s="148" t="s">
        <v>4390</v>
      </c>
      <c r="B51" s="161" t="s">
        <v>4391</v>
      </c>
      <c r="C51" s="313" t="s">
        <v>4392</v>
      </c>
      <c r="D51" s="148" t="s">
        <v>4393</v>
      </c>
      <c r="E51" s="161" t="s">
        <v>4394</v>
      </c>
      <c r="F51" s="313" t="s">
        <v>4395</v>
      </c>
      <c r="G51" s="148" t="s">
        <v>4396</v>
      </c>
      <c r="H51" s="161" t="s">
        <v>4397</v>
      </c>
      <c r="I51" s="313" t="s">
        <v>4398</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IFERROR(__xludf.DUMMYFUNCTION("GOOGLETRANSLATE(B51,""zh-tw"",""es-MX"")"),"◉▽◉(Rosa)/Decreto Real")</f>
        <v>◉▽◉(Rosa)/Decreto Real</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4399</v>
      </c>
      <c r="W51" s="323" t="s">
        <v>4400</v>
      </c>
      <c r="X51" s="313" t="s">
        <v>4401</v>
      </c>
      <c r="Y51" s="154" t="s">
        <v>4402</v>
      </c>
      <c r="Z51" s="164" t="s">
        <v>4403</v>
      </c>
      <c r="AA51" s="320" t="s">
        <v>4404</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211</v>
      </c>
      <c r="C1" s="57"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E1" s="57" t="s">
        <v>212</v>
      </c>
      <c r="G1" s="58"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I1" s="5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K1" s="5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Q1" s="327" t="s">
        <v>1861</v>
      </c>
      <c r="S1" s="300"/>
      <c r="T1" s="300"/>
    </row>
    <row r="2" ht="55.5" customHeight="1">
      <c r="S2" s="300"/>
      <c r="T2" s="300"/>
    </row>
    <row r="3">
      <c r="A3" s="328" t="s">
        <v>4405</v>
      </c>
      <c r="B3" s="72" t="s">
        <v>4406</v>
      </c>
      <c r="C3" s="328" t="str">
        <f>IFERROR(__xludf.DUMMYFUNCTION("GOOGLETRANSLATE(A3,""zh-tw"",""ja"")"),"武器プロジェクト")</f>
        <v>武器プロジェクト</v>
      </c>
      <c r="D3" s="72" t="str">
        <f>IFERROR(__xludf.DUMMYFUNCTION("GOOGLETRANSLATE(B3,""zh-tw"",""ja"")"),"武器の属性")</f>
        <v>武器の属性</v>
      </c>
      <c r="E3" s="328" t="s">
        <v>4407</v>
      </c>
      <c r="F3" s="72" t="s">
        <v>4408</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 armas")</f>
        <v>Atributos de armas</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4409</v>
      </c>
      <c r="P3" s="72" t="s">
        <v>4410</v>
      </c>
      <c r="Q3" s="331" t="s">
        <v>4411</v>
      </c>
      <c r="R3" s="332" t="s">
        <v>4412</v>
      </c>
      <c r="S3" s="312"/>
      <c r="T3" s="312"/>
    </row>
    <row r="4">
      <c r="A4" s="333" t="s">
        <v>4413</v>
      </c>
      <c r="B4" s="161" t="s">
        <v>4414</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4415</v>
      </c>
      <c r="F4" s="317" t="s">
        <v>4416</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poder de ataque aumenta según el HP máximo.")</f>
        <v>Ataque físico: 2. El poder de ataque aumenta según el HP máximo.</v>
      </c>
      <c r="K4" s="333" t="s">
        <v>4417</v>
      </c>
      <c r="L4" s="161" t="s">
        <v>4418</v>
      </c>
      <c r="M4" s="336" t="str">
        <f>IFERROR(__xludf.DUMMYFUNCTION("GOOGLETRANSLATE(A4,""zh-tw"",""ru"")"),"Сжатый кулак")</f>
        <v>Сжатый кулак</v>
      </c>
      <c r="N4" s="315"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34" t="s">
        <v>4419</v>
      </c>
      <c r="P4" s="317" t="s">
        <v>4420</v>
      </c>
      <c r="Q4" s="337" t="s">
        <v>4421</v>
      </c>
      <c r="R4" s="338" t="s">
        <v>4422</v>
      </c>
      <c r="S4" s="17"/>
      <c r="T4" s="17"/>
    </row>
    <row r="5">
      <c r="A5" s="334" t="s">
        <v>4423</v>
      </c>
      <c r="B5" s="317" t="s">
        <v>4424</v>
      </c>
      <c r="C5" s="334" t="s">
        <v>4425</v>
      </c>
      <c r="D5" s="317" t="str">
        <f>IFERROR(__xludf.DUMMYFUNCTION("GOOGLETRANSLATE(B5,""zh-tw"",""ja"")"),"物理攻撃力: 15")</f>
        <v>物理攻撃力: 15</v>
      </c>
      <c r="E5" s="334" t="s">
        <v>4426</v>
      </c>
      <c r="F5" s="317" t="s">
        <v>4427</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4428</v>
      </c>
      <c r="L5" s="161" t="s">
        <v>4429</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4430</v>
      </c>
      <c r="P5" s="317" t="s">
        <v>4431</v>
      </c>
      <c r="Q5" s="337" t="s">
        <v>4432</v>
      </c>
      <c r="R5" s="338" t="s">
        <v>4433</v>
      </c>
      <c r="S5" s="205"/>
      <c r="T5" s="205"/>
    </row>
    <row r="6">
      <c r="A6" s="334" t="s">
        <v>4434</v>
      </c>
      <c r="B6" s="317" t="s">
        <v>4435</v>
      </c>
      <c r="C6" s="334" t="s">
        <v>4436</v>
      </c>
      <c r="D6" s="317" t="str">
        <f>IFERROR(__xludf.DUMMYFUNCTION("GOOGLETRANSLATE(B6,""zh-tw"",""ja"")"),"物理攻撃力: 14")</f>
        <v>物理攻撃力: 14</v>
      </c>
      <c r="E6" s="334" t="s">
        <v>4437</v>
      </c>
      <c r="F6" s="317" t="s">
        <v>4438</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4439</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4440</v>
      </c>
      <c r="P6" s="317" t="s">
        <v>4441</v>
      </c>
      <c r="Q6" s="337" t="s">
        <v>4442</v>
      </c>
      <c r="R6" s="338" t="s">
        <v>4443</v>
      </c>
      <c r="S6" s="205"/>
      <c r="T6" s="205"/>
    </row>
    <row r="7">
      <c r="A7" s="334" t="s">
        <v>4444</v>
      </c>
      <c r="B7" s="317" t="s">
        <v>4445</v>
      </c>
      <c r="C7" s="334" t="str">
        <f>IFERROR(__xludf.DUMMYFUNCTION("GOOGLETRANSLATE(A7,""zh-tw"",""ja"")"),"伐採斧")</f>
        <v>伐採斧</v>
      </c>
      <c r="D7" s="317" t="str">
        <f>IFERROR(__xludf.DUMMYFUNCTION("GOOGLETRANSLATE(B7,""zh-tw"",""ja"")"),"物理攻撃力: 24")</f>
        <v>物理攻撃力: 24</v>
      </c>
      <c r="E7" s="334" t="s">
        <v>4446</v>
      </c>
      <c r="F7" s="317" t="s">
        <v>4447</v>
      </c>
      <c r="G7" s="334" t="str">
        <f>IFERROR(__xludf.DUMMYFUNCTION("GOOGLETRANSLATE(A7,""zh-tw"",""zh"")"),"伐木斧")</f>
        <v>伐木斧</v>
      </c>
      <c r="H7" s="317" t="str">
        <f>IFERROR(__xludf.DUMMYFUNCTION("GOOGLETRANSLATE(B7,""zh-tw"",""zh"")"),"物攻：24")</f>
        <v>物攻：24</v>
      </c>
      <c r="I7" s="335" t="str">
        <f>IFERROR(__xludf.DUMMYFUNCTION("GOOGLETRANSLATE(A7,""zh-tw"",""es-MX"")"),"hacha de tala")</f>
        <v>hacha de tala</v>
      </c>
      <c r="J7" s="162" t="str">
        <f>IFERROR(__xludf.DUMMYFUNCTION("GOOGLETRANSLATE(B7,""zh-tw"",""es-MX"")"),"Ataque físico: 24")</f>
        <v>Ataque físico: 24</v>
      </c>
      <c r="K7" s="333" t="s">
        <v>4448</v>
      </c>
      <c r="L7" s="161" t="s">
        <v>4449</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4450</v>
      </c>
      <c r="P7" s="317" t="s">
        <v>4451</v>
      </c>
      <c r="Q7" s="337" t="s">
        <v>4452</v>
      </c>
      <c r="R7" s="338" t="s">
        <v>4453</v>
      </c>
      <c r="S7" s="205"/>
      <c r="T7" s="205"/>
    </row>
    <row r="8">
      <c r="A8" s="334" t="s">
        <v>4454</v>
      </c>
      <c r="B8" s="317" t="s">
        <v>4455</v>
      </c>
      <c r="C8" s="334" t="str">
        <f>IFERROR(__xludf.DUMMYFUNCTION("GOOGLETRANSLATE(A8,""zh-tw"",""ja"")"),"騎士の剣")</f>
        <v>騎士の剣</v>
      </c>
      <c r="D8" s="317" t="str">
        <f>IFERROR(__xludf.DUMMYFUNCTION("GOOGLETRANSLATE(B8,""zh-tw"",""ja"")"),"物理攻撃力：30（特定条件を満たすと2倍）")</f>
        <v>物理攻撃力：30（特定条件を満たすと2倍）</v>
      </c>
      <c r="E8" s="334" t="s">
        <v>4002</v>
      </c>
      <c r="F8" s="317" t="s">
        <v>4456</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4457</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4006</v>
      </c>
      <c r="P8" s="317" t="s">
        <v>4458</v>
      </c>
      <c r="Q8" s="337" t="s">
        <v>4459</v>
      </c>
      <c r="R8" s="338" t="s">
        <v>4460</v>
      </c>
      <c r="S8" s="205"/>
      <c r="T8" s="205"/>
    </row>
    <row r="9">
      <c r="A9" s="334" t="s">
        <v>4461</v>
      </c>
      <c r="B9" s="317" t="s">
        <v>4462</v>
      </c>
      <c r="C9" s="334" t="s">
        <v>4463</v>
      </c>
      <c r="D9" s="317" t="str">
        <f>IFERROR(__xludf.DUMMYFUNCTION("GOOGLETRANSLATE(B9,""zh-tw"",""ja"")"),"物理攻撃力: 42")</f>
        <v>物理攻撃力: 42</v>
      </c>
      <c r="E9" s="334" t="s">
        <v>4464</v>
      </c>
      <c r="F9" s="317" t="s">
        <v>4465</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huesos de orco")</f>
        <v>Caldero de huesos de orco</v>
      </c>
      <c r="J9" s="162" t="str">
        <f>IFERROR(__xludf.DUMMYFUNCTION("GOOGLETRANSLATE(B9,""zh-tw"",""es-MX"")"),"Ataque físico: 42")</f>
        <v>Ataque físico: 42</v>
      </c>
      <c r="K9" s="334" t="s">
        <v>4466</v>
      </c>
      <c r="L9" s="161" t="s">
        <v>4467</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4468</v>
      </c>
      <c r="P9" s="317" t="s">
        <v>4469</v>
      </c>
      <c r="Q9" s="337" t="s">
        <v>4470</v>
      </c>
      <c r="R9" s="338" t="s">
        <v>4471</v>
      </c>
      <c r="S9" s="205"/>
      <c r="T9" s="205"/>
    </row>
    <row r="10">
      <c r="A10" s="335" t="s">
        <v>4472</v>
      </c>
      <c r="B10" s="162" t="s">
        <v>4473</v>
      </c>
      <c r="C10" s="335" t="s">
        <v>4474</v>
      </c>
      <c r="D10" s="322" t="s">
        <v>4475</v>
      </c>
      <c r="E10" s="339" t="s">
        <v>4476</v>
      </c>
      <c r="F10" s="322" t="s">
        <v>4477</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4478</v>
      </c>
      <c r="P10" s="322" t="s">
        <v>4479</v>
      </c>
      <c r="Q10" s="337" t="s">
        <v>4480</v>
      </c>
      <c r="R10" s="338" t="s">
        <v>4481</v>
      </c>
      <c r="S10" s="17"/>
      <c r="T10" s="17"/>
    </row>
    <row r="11">
      <c r="A11" s="334" t="s">
        <v>4482</v>
      </c>
      <c r="B11" s="317" t="s">
        <v>4483</v>
      </c>
      <c r="C11" s="334" t="s">
        <v>4484</v>
      </c>
      <c r="D11" s="317" t="str">
        <f>IFERROR(__xludf.DUMMYFUNCTION("GOOGLETRANSLATE(B11,""zh-tw"",""ja"")"),"物理攻撃: 20 飛び道具を反射する")</f>
        <v>物理攻撃: 20 飛び道具を反射する</v>
      </c>
      <c r="E11" s="334" t="s">
        <v>4485</v>
      </c>
      <c r="F11" s="317" t="s">
        <v>4486</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4487</v>
      </c>
      <c r="L11" s="161" t="s">
        <v>4488</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4489</v>
      </c>
      <c r="P11" s="317" t="s">
        <v>4490</v>
      </c>
      <c r="Q11" s="337" t="s">
        <v>4491</v>
      </c>
      <c r="R11" s="338" t="s">
        <v>4492</v>
      </c>
      <c r="S11" s="205"/>
      <c r="T11" s="205"/>
    </row>
    <row r="12">
      <c r="A12" s="334" t="s">
        <v>4493</v>
      </c>
      <c r="B12" s="317" t="s">
        <v>4494</v>
      </c>
      <c r="C12" s="334" t="s">
        <v>4495</v>
      </c>
      <c r="D12" s="317" t="str">
        <f>IFERROR(__xludf.DUMMYFUNCTION("GOOGLETRANSLATE(B12,""zh-tw"",""ja"")"),"物理攻撃力: 14 悪臭を放つ")</f>
        <v>物理攻撃力: 14 悪臭を放つ</v>
      </c>
      <c r="E12" s="334" t="s">
        <v>4496</v>
      </c>
      <c r="F12" s="317" t="s">
        <v>4497</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IFERROR(__xludf.DUMMYFUNCTION("GOOGLETRANSLATE(A12,""zh-tw"",""es-MX"")"),"Huesos de pescado apestosos")</f>
        <v>Huesos de pescado apestosos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4498</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4499</v>
      </c>
      <c r="P12" s="317" t="s">
        <v>4500</v>
      </c>
      <c r="Q12" s="337" t="s">
        <v>4501</v>
      </c>
      <c r="R12" s="338" t="s">
        <v>4502</v>
      </c>
      <c r="S12" s="205"/>
      <c r="T12" s="205"/>
    </row>
    <row r="13">
      <c r="A13" s="334" t="s">
        <v>4503</v>
      </c>
      <c r="B13" s="317" t="s">
        <v>4504</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4505</v>
      </c>
      <c r="F13" s="317" t="s">
        <v>4506</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4507</v>
      </c>
      <c r="L13" s="161" t="s">
        <v>4508</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4509</v>
      </c>
      <c r="P13" s="317" t="s">
        <v>4510</v>
      </c>
      <c r="Q13" s="337" t="s">
        <v>4511</v>
      </c>
      <c r="R13" s="323" t="s">
        <v>4512</v>
      </c>
      <c r="S13" s="205"/>
      <c r="T13" s="205"/>
    </row>
    <row r="14">
      <c r="A14" s="334" t="s">
        <v>4513</v>
      </c>
      <c r="B14" s="317" t="s">
        <v>4514</v>
      </c>
      <c r="C14" s="334" t="s">
        <v>4513</v>
      </c>
      <c r="D14" s="317" t="str">
        <f>IFERROR(__xludf.DUMMYFUNCTION("GOOGLETRANSLATE(B14,""zh-tw"",""ja"")"),"物理攻撃力：20
魔法攻撃力：14
氷属性")</f>
        <v>物理攻撃力：20
魔法攻撃力：14
氷属性</v>
      </c>
      <c r="E14" s="334" t="s">
        <v>4515</v>
      </c>
      <c r="F14" s="317" t="s">
        <v>4516</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hielo")</f>
        <v>Ataque físico: 20
Ataque mágico: 14
Atributo hielo</v>
      </c>
      <c r="K14" s="333" t="s">
        <v>4517</v>
      </c>
      <c r="L14" s="161" t="s">
        <v>4518</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4519</v>
      </c>
      <c r="P14" s="317" t="s">
        <v>4520</v>
      </c>
      <c r="Q14" s="337" t="s">
        <v>4521</v>
      </c>
      <c r="R14" s="338" t="s">
        <v>4522</v>
      </c>
      <c r="S14" s="205"/>
      <c r="T14" s="205"/>
    </row>
    <row r="15">
      <c r="A15" s="334" t="s">
        <v>4523</v>
      </c>
      <c r="B15" s="317" t="s">
        <v>4524</v>
      </c>
      <c r="C15" s="334" t="str">
        <f>IFERROR(__xludf.DUMMYFUNCTION("GOOGLETRANSLATE(A15,""zh-tw"",""ja"")"),"漏電の可能性がある欠陥製品")</f>
        <v>漏電の可能性がある欠陥製品</v>
      </c>
      <c r="D15" s="317" t="str">
        <f>IFERROR(__xludf.DUMMYFUNCTION("GOOGLETRANSLATE(B15,""zh-tw"",""ja"")"),"物理攻撃力：28
魔法攻撃力：12
電撃属性")</f>
        <v>物理攻撃力：28
魔法攻撃力：12
電撃属性</v>
      </c>
      <c r="E15" s="334" t="s">
        <v>4525</v>
      </c>
      <c r="F15" s="317" t="s">
        <v>4526</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4527</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4528</v>
      </c>
      <c r="P15" s="317" t="s">
        <v>4529</v>
      </c>
      <c r="Q15" s="337" t="s">
        <v>4530</v>
      </c>
      <c r="R15" s="323" t="s">
        <v>4531</v>
      </c>
      <c r="S15" s="205"/>
      <c r="T15" s="205"/>
    </row>
    <row r="16">
      <c r="A16" s="334" t="s">
        <v>4532</v>
      </c>
      <c r="B16" s="317" t="s">
        <v>4533</v>
      </c>
      <c r="C16" s="334" t="s">
        <v>4534</v>
      </c>
      <c r="D16" s="317" t="str">
        <f>IFERROR(__xludf.DUMMYFUNCTION("GOOGLETRANSLATE(B16,""zh-tw"",""ja"")"),"物理攻撃：毒属性14")</f>
        <v>物理攻撃：毒属性14</v>
      </c>
      <c r="E16" s="334" t="s">
        <v>4535</v>
      </c>
      <c r="F16" s="317" t="s">
        <v>4536</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venenosas")</f>
        <v>Aguja de esporas venenosas</v>
      </c>
      <c r="J16" s="162" t="str">
        <f>IFERROR(__xludf.DUMMYFUNCTION("GOOGLETRANSLATE(B16,""zh-tw"",""es-MX"")"),"Ataque físico: 14 Atributo Veneno")</f>
        <v>Ataque físico: 14 Atributo Veneno</v>
      </c>
      <c r="K16" s="333" t="s">
        <v>4537</v>
      </c>
      <c r="L16" s="162" t="str">
        <f>IFERROR(__xludf.DUMMYFUNCTION("GOOGLETRANSLATE(B16,""zh-tw"",""KO"")"),"물리 공격력: 14 독 속성")</f>
        <v>물리 공격력: 14 독 속성</v>
      </c>
      <c r="M16" s="336" t="str">
        <f>IFERROR(__xludf.DUMMYFUNCTION("GOOGLETRANSLATE(A16,""zh-tw"",""ru"")"),"Игла с ядовитыми спорами")</f>
        <v>Игла с ядовитыми спорами</v>
      </c>
      <c r="N16" s="315" t="str">
        <f>IFERROR(__xludf.DUMMYFUNCTION("GOOGLETRANSLATE(B16,""zh-tw"",""ru"")"),"Физическая атака: 14 Атрибут Яда")</f>
        <v>Физическая атака: 14 Атрибут Яда</v>
      </c>
      <c r="O16" s="334" t="s">
        <v>4538</v>
      </c>
      <c r="P16" s="317" t="s">
        <v>4539</v>
      </c>
      <c r="Q16" s="337" t="s">
        <v>4540</v>
      </c>
      <c r="R16" s="338" t="s">
        <v>4541</v>
      </c>
      <c r="S16" s="205"/>
      <c r="T16" s="205"/>
    </row>
    <row r="17">
      <c r="A17" s="334" t="s">
        <v>4542</v>
      </c>
      <c r="B17" s="317" t="s">
        <v>4543</v>
      </c>
      <c r="C17" s="334" t="s">
        <v>4544</v>
      </c>
      <c r="D17" s="317" t="str">
        <f>IFERROR(__xludf.DUMMYFUNCTION("GOOGLETRANSLATE(B17,""zh-tw"",""ja"")"),"物理攻撃：32 分割攻撃")</f>
        <v>物理攻撃：32 分割攻撃</v>
      </c>
      <c r="E17" s="333" t="s">
        <v>4545</v>
      </c>
      <c r="F17" s="161" t="s">
        <v>4546</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4547</v>
      </c>
      <c r="P17" s="317" t="s">
        <v>4548</v>
      </c>
      <c r="Q17" s="337" t="s">
        <v>4549</v>
      </c>
      <c r="R17" s="323" t="s">
        <v>4550</v>
      </c>
      <c r="S17" s="205"/>
      <c r="T17" s="205"/>
    </row>
    <row r="18" ht="49.5" customHeight="1">
      <c r="A18" s="334" t="s">
        <v>4551</v>
      </c>
      <c r="B18" s="317" t="s">
        <v>4552</v>
      </c>
      <c r="C18" s="334" t="s">
        <v>4553</v>
      </c>
      <c r="D18" s="317" t="str">
        <f>IFERROR(__xludf.DUMMYFUNCTION("GOOGLETRANSLATE(B18,""zh-tw"",""ja"")"),"物理攻撃力：48
魔法耐性：20
条件を満たす武器種")</f>
        <v>物理攻撃力：48
魔法耐性：20
条件を満たす武器種</v>
      </c>
      <c r="E18" s="334" t="s">
        <v>4554</v>
      </c>
      <c r="F18" s="317" t="s">
        <v>4555</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IFERROR(__xludf.DUMMYFUNCTION("GOOGLETRANSLATE(A18,""zh-tw"",""es-MX"")"),"Espada magna de plata")</f>
        <v>Espada magna de plata</v>
      </c>
      <c r="J18" s="162" t="str">
        <f>IFERROR(__xludf.DUMMYFUNCTION("GOOGLETRANSLATE(B18,""zh-tw"",""es-MX"")"),"Ataque físico: 48
Resistencia mágica: 20
Tipo de arma que cumple con los requisitos")</f>
        <v>Ataque físico: 48
Resistencia mágica: 20
Tipo de arma que cumple con los requisitos</v>
      </c>
      <c r="K18" s="333" t="s">
        <v>4556</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4557</v>
      </c>
      <c r="P18" s="317" t="s">
        <v>4558</v>
      </c>
      <c r="Q18" s="337" t="s">
        <v>4559</v>
      </c>
      <c r="R18" s="338" t="s">
        <v>4560</v>
      </c>
      <c r="S18" s="205"/>
      <c r="T18" s="205"/>
    </row>
    <row r="19">
      <c r="A19" s="334" t="s">
        <v>4561</v>
      </c>
      <c r="B19" s="317" t="s">
        <v>4562</v>
      </c>
      <c r="C19" s="334" t="s">
        <v>4563</v>
      </c>
      <c r="D19" s="317" t="str">
        <f>IFERROR(__xludf.DUMMYFUNCTION("GOOGLETRANSLATE(B19,""zh-tw"",""ja"")"),"物理攻撃力：1（累積ダメージ型武器）")</f>
        <v>物理攻撃力：1（累積ダメージ型武器）</v>
      </c>
      <c r="E19" s="334" t="s">
        <v>4564</v>
      </c>
      <c r="F19" s="317" t="s">
        <v>4565</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(Arma de tipo daño acumulativo)")</f>
        <v>Ataque físico: 1 (Arma de tipo daño acumulativo)</v>
      </c>
      <c r="K19" s="335" t="str">
        <f>IFERROR(__xludf.DUMMYFUNCTION("GOOGLETRANSLATE(A19,""zh-tw"",""KO"")"),"아이스크림 콘 검")</f>
        <v>아이스크림 콘 검</v>
      </c>
      <c r="L19" s="162" t="str">
        <f>IFERROR(__xludf.DUMMYFUNCTION("GOOGLETRANSLATE(B19,""zh-tw"",""KO"")"),"물리 공격력: 1 (누적 데미지 유형 무기)")</f>
        <v>물리 공격력: 1 (누적 데미지 유형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кумулятивного урона)")</f>
        <v>Физическая атака: 1 (Оружие кумулятивного урона)</v>
      </c>
      <c r="O19" s="334" t="s">
        <v>4566</v>
      </c>
      <c r="P19" s="317" t="s">
        <v>4567</v>
      </c>
      <c r="Q19" s="337" t="s">
        <v>4568</v>
      </c>
      <c r="R19" s="338" t="s">
        <v>4569</v>
      </c>
      <c r="S19" s="205"/>
      <c r="T19" s="205"/>
    </row>
    <row r="20">
      <c r="A20" s="334" t="s">
        <v>4570</v>
      </c>
      <c r="B20" s="317" t="s">
        <v>4571</v>
      </c>
      <c r="C20" s="334" t="s">
        <v>4572</v>
      </c>
      <c r="D20" s="317" t="str">
        <f>IFERROR(__xludf.DUMMYFUNCTION("GOOGLETRANSLATE(B20,""zh-tw"",""ja"")"),"物理攻撃力：20
物理耐性：2
累積ステータスベースの武器")</f>
        <v>物理攻撃力：20
物理耐性：2
累積ステータスベースの武器</v>
      </c>
      <c r="E20" s="334" t="s">
        <v>4573</v>
      </c>
      <c r="F20" s="317" t="s">
        <v>4574</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basada en estadísticas acumulativas")</f>
        <v>Ataque físico: 20
Resistencia física: 2
Arma basada en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4575</v>
      </c>
      <c r="P20" s="317" t="s">
        <v>4576</v>
      </c>
      <c r="Q20" s="337" t="s">
        <v>4577</v>
      </c>
      <c r="R20" s="338" t="s">
        <v>4578</v>
      </c>
      <c r="S20" s="205"/>
      <c r="T20" s="205"/>
    </row>
    <row r="21">
      <c r="A21" s="334" t="s">
        <v>4579</v>
      </c>
      <c r="B21" s="317" t="s">
        <v>4580</v>
      </c>
      <c r="C21" s="334" t="s">
        <v>4581</v>
      </c>
      <c r="D21" s="317" t="str">
        <f>IFERROR(__xludf.DUMMYFUNCTION("GOOGLETRANSLATE(B21,""zh-tw"",""ja"")"),"物理攻撃力：40 剣波を発射する")</f>
        <v>物理攻撃力：40 剣波を発射する</v>
      </c>
      <c r="E21" s="334" t="s">
        <v>4582</v>
      </c>
      <c r="F21" s="317" t="s">
        <v>4583</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onda de espada")</f>
        <v>Ataque físico: 40 Lanza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4584</v>
      </c>
      <c r="P21" s="317" t="s">
        <v>4585</v>
      </c>
      <c r="Q21" s="337" t="s">
        <v>4586</v>
      </c>
      <c r="R21" s="338" t="s">
        <v>4587</v>
      </c>
      <c r="S21" s="205"/>
      <c r="T21" s="205"/>
    </row>
    <row r="22">
      <c r="A22" s="334" t="s">
        <v>4588</v>
      </c>
      <c r="B22" s="317" t="s">
        <v>4589</v>
      </c>
      <c r="C22" s="334" t="s">
        <v>4590</v>
      </c>
      <c r="D22" s="317" t="str">
        <f>IFERROR(__xludf.DUMMYFUNCTION("GOOGLETRANSLATE(B22,""zh-tw"",""ja"")"),"物理攻撃：出血30")</f>
        <v>物理攻撃：出血30</v>
      </c>
      <c r="E22" s="334" t="s">
        <v>4591</v>
      </c>
      <c r="F22" s="317" t="s">
        <v>4592</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IFERROR(__xludf.DUMMYFUNCTION("GOOGLETRANSLATE(A22,""zh-tw"",""es-MX"")"),"Del infierno")</f>
        <v>Del infierno</v>
      </c>
      <c r="J22" s="162" t="str">
        <f>IFERROR(__xludf.DUMMYFUNCTION("GOOGLETRANSLATE(B22,""zh-tw"",""es-MX"")"),"Ataque físico: 30 sangrado")</f>
        <v>Ataque físico: 30 sangrado</v>
      </c>
      <c r="K22" s="333" t="s">
        <v>4593</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4594</v>
      </c>
      <c r="P22" s="317" t="s">
        <v>4595</v>
      </c>
      <c r="Q22" s="337" t="s">
        <v>4596</v>
      </c>
      <c r="R22" s="338" t="s">
        <v>4597</v>
      </c>
      <c r="S22" s="205"/>
      <c r="T22" s="205"/>
    </row>
    <row r="23">
      <c r="A23" s="334" t="s">
        <v>4598</v>
      </c>
      <c r="B23" s="317" t="s">
        <v>4599</v>
      </c>
      <c r="C23" s="334" t="s">
        <v>4600</v>
      </c>
      <c r="D23" s="317" t="str">
        <f>IFERROR(__xludf.DUMMYFUNCTION("GOOGLETRANSLATE(B23,""zh-tw"",""ja"")"),"物理攻撃：ノックダウン回復32")</f>
        <v>物理攻撃：ノックダウン回復32</v>
      </c>
      <c r="E23" s="334" t="s">
        <v>4601</v>
      </c>
      <c r="F23" s="317" t="s">
        <v>4602</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IFERROR(__xludf.DUMMYFUNCTION("GOOGLETRANSLATE(A23,""zh-tw"",""es-MX"")"),"cuchilla parásita")</f>
        <v>cuchilla parásita</v>
      </c>
      <c r="J23" s="162" t="str">
        <f>IFERROR(__xludf.DUMMYFUNCTION("GOOGLETRANSLATE(B23,""zh-tw"",""es-MX"")"),"Ataque físico: 32 Recuperación de derribo")</f>
        <v>Ataque físico: 32 Recuperación de derribo</v>
      </c>
      <c r="K23" s="333" t="s">
        <v>4603</v>
      </c>
      <c r="L23" s="161" t="s">
        <v>4604</v>
      </c>
      <c r="M23" s="336" t="str">
        <f>IFERROR(__xludf.DUMMYFUNCTION("GOOGLETRANSLATE(A23,""zh-tw"",""ru"")"),"паразитическое лезвие")</f>
        <v>паразитическое лезвие</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4605</v>
      </c>
      <c r="P23" s="317" t="s">
        <v>4606</v>
      </c>
      <c r="Q23" s="337" t="s">
        <v>4607</v>
      </c>
      <c r="R23" s="338" t="s">
        <v>4608</v>
      </c>
      <c r="S23" s="205"/>
      <c r="T23" s="205"/>
    </row>
    <row r="24">
      <c r="A24" s="339" t="s">
        <v>4609</v>
      </c>
      <c r="B24" s="322" t="s">
        <v>4610</v>
      </c>
      <c r="C24" s="339" t="s">
        <v>4611</v>
      </c>
      <c r="D24" s="322" t="s">
        <v>4612</v>
      </c>
      <c r="E24" s="339" t="s">
        <v>4613</v>
      </c>
      <c r="F24" s="322" t="s">
        <v>4614</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IFERROR(__xludf.DUMMYFUNCTION("GOOGLETRANSLATE(A24,""zh-tw"",""es-MX"")"),"Envía una espada rota")</f>
        <v>Envía una espada rota</v>
      </c>
      <c r="J24" s="162"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33" t="s">
        <v>4615</v>
      </c>
      <c r="L24" s="16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6" t="str">
        <f>IFERROR(__xludf.DUMMYFUNCTION("GOOGLETRANSLATE(A24,""zh-tw"",""ru"")"),"Пошли сломанный меч")</f>
        <v>Пошли сломанный меч</v>
      </c>
      <c r="N24" s="315"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39" t="s">
        <v>4616</v>
      </c>
      <c r="P24" s="322" t="s">
        <v>4617</v>
      </c>
      <c r="Q24" s="337" t="s">
        <v>4618</v>
      </c>
      <c r="R24" s="338" t="s">
        <v>4619</v>
      </c>
      <c r="S24" s="205"/>
      <c r="T24" s="205"/>
    </row>
    <row r="25">
      <c r="A25" s="339" t="s">
        <v>4620</v>
      </c>
      <c r="B25" s="161" t="s">
        <v>4621</v>
      </c>
      <c r="C25" s="339" t="s">
        <v>4622</v>
      </c>
      <c r="D25" s="161" t="s">
        <v>4623</v>
      </c>
      <c r="E25" s="339" t="s">
        <v>4624</v>
      </c>
      <c r="F25" s="161" t="s">
        <v>4625</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IFERROR(__xludf.DUMMYFUNCTION("GOOGLETRANSLATE(A25,""zh-tw"",""es-MX"")"),"Caza de sangre")</f>
        <v>Caza de sangre</v>
      </c>
      <c r="J25" s="16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4626</v>
      </c>
      <c r="P25" s="161" t="s">
        <v>4627</v>
      </c>
      <c r="Q25" s="337" t="s">
        <v>4628</v>
      </c>
      <c r="R25" s="323" t="s">
        <v>4629</v>
      </c>
      <c r="S25" s="205"/>
      <c r="T25" s="205"/>
    </row>
    <row r="26">
      <c r="A26" s="334" t="s">
        <v>4630</v>
      </c>
      <c r="B26" s="317" t="s">
        <v>4631</v>
      </c>
      <c r="C26" s="334" t="s">
        <v>4632</v>
      </c>
      <c r="D26" s="317" t="s">
        <v>4633</v>
      </c>
      <c r="E26" s="334" t="s">
        <v>4634</v>
      </c>
      <c r="F26" s="317" t="s">
        <v>4635</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4636</v>
      </c>
      <c r="P26" s="317" t="s">
        <v>4637</v>
      </c>
      <c r="Q26" s="337" t="s">
        <v>4638</v>
      </c>
      <c r="R26" s="338" t="s">
        <v>4639</v>
      </c>
      <c r="S26" s="205"/>
      <c r="T26" s="205"/>
    </row>
    <row r="27">
      <c r="A27" s="334" t="s">
        <v>4640</v>
      </c>
      <c r="B27" s="317" t="s">
        <v>4641</v>
      </c>
      <c r="C27" s="334" t="s">
        <v>4642</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4643</v>
      </c>
      <c r="F27" s="317" t="s">
        <v>4644</v>
      </c>
      <c r="G27" s="334" t="str">
        <f>IFERROR(__xludf.DUMMYFUNCTION("GOOGLETRANSLATE(A27,""zh-tw"",""zh"")"),"克里乌之光")</f>
        <v>克里乌之光</v>
      </c>
      <c r="H27" s="317" t="s">
        <v>4645</v>
      </c>
      <c r="I27" s="335" t="str">
        <f>IFERROR(__xludf.DUMMYFUNCTION("GOOGLETRANSLATE(A27,""zh-tw"",""es-MX"")"),"La luz de Kriu")</f>
        <v>La luz de Kriu</v>
      </c>
      <c r="J27" s="162" t="str">
        <f>IFERROR(__xludf.DUMMYFUNCTION("GOOGLETRANSLATE(B27,""zh-tw"",""es-MX"")"),"Ataque físico: 32
Ataque mágico: 36
Ignora defensa, Espada invisible
*Objeto raro de Gacha")</f>
        <v>Ataque físico: 32
Ataque mágico: 36
Ignora defensa, Espada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4646</v>
      </c>
      <c r="P27" s="317" t="s">
        <v>4647</v>
      </c>
      <c r="Q27" s="337" t="s">
        <v>4648</v>
      </c>
      <c r="R27" s="338" t="s">
        <v>4649</v>
      </c>
      <c r="S27" s="205"/>
      <c r="T27" s="205"/>
    </row>
    <row r="28">
      <c r="A28" s="334" t="s">
        <v>4650</v>
      </c>
      <c r="B28" s="317" t="s">
        <v>4651</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4652</v>
      </c>
      <c r="F28" s="317" t="s">
        <v>4653</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4654</v>
      </c>
      <c r="P28" s="317" t="s">
        <v>4655</v>
      </c>
      <c r="Q28" s="337" t="s">
        <v>4656</v>
      </c>
      <c r="R28" s="338" t="s">
        <v>4657</v>
      </c>
      <c r="S28" s="205"/>
      <c r="T28" s="205"/>
    </row>
    <row r="29">
      <c r="A29" s="334" t="s">
        <v>4658</v>
      </c>
      <c r="B29" s="317" t="s">
        <v>4659</v>
      </c>
      <c r="C29" s="334" t="s">
        <v>4660</v>
      </c>
      <c r="D29" s="317" t="str">
        <f>IFERROR(__xludf.DUMMYFUNCTION("GOOGLETRANSLATE(B29,""zh-tw"",""ja"")"),"物理攻撃：貫通力24")</f>
        <v>物理攻撃：貫通力24</v>
      </c>
      <c r="E29" s="334" t="s">
        <v>4661</v>
      </c>
      <c r="F29" s="317" t="s">
        <v>4662</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del cazador")</f>
        <v>Arco del cazador</v>
      </c>
      <c r="J29" s="162" t="str">
        <f>IFERROR(__xludf.DUMMYFUNCTION("GOOGLETRANSLATE(B29,""zh-tw"",""es-MX"")"),"Ataque físico: 24 penetración")</f>
        <v>Ataque físico: 24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проникновения")</f>
        <v>Физическая атака: 24 проникновения</v>
      </c>
      <c r="O29" s="334" t="s">
        <v>4663</v>
      </c>
      <c r="P29" s="317" t="s">
        <v>4664</v>
      </c>
      <c r="Q29" s="337" t="s">
        <v>4665</v>
      </c>
      <c r="R29" s="338" t="s">
        <v>4666</v>
      </c>
      <c r="S29" s="205"/>
      <c r="T29" s="205"/>
    </row>
    <row r="30">
      <c r="A30" s="334" t="s">
        <v>4667</v>
      </c>
      <c r="B30" s="317" t="s">
        <v>4668</v>
      </c>
      <c r="C30" s="334" t="s">
        <v>4669</v>
      </c>
      <c r="D30" s="317" t="str">
        <f>IFERROR(__xludf.DUMMYFUNCTION("GOOGLETRANSLATE(B30,""zh-tw"",""ja"")"),"物理攻撃力：18
魔法攻撃力：18
火属性")</f>
        <v>物理攻撃力：18
魔法攻撃力：18
火属性</v>
      </c>
      <c r="E30" s="334" t="s">
        <v>4670</v>
      </c>
      <c r="F30" s="317" t="s">
        <v>4671</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4672</v>
      </c>
      <c r="P30" s="317" t="s">
        <v>4673</v>
      </c>
      <c r="Q30" s="337" t="s">
        <v>4674</v>
      </c>
      <c r="R30" s="338" t="s">
        <v>4675</v>
      </c>
      <c r="S30" s="205"/>
      <c r="T30" s="205"/>
    </row>
    <row r="31">
      <c r="A31" s="334" t="s">
        <v>4676</v>
      </c>
      <c r="B31" s="317" t="s">
        <v>4677</v>
      </c>
      <c r="C31" s="334" t="s">
        <v>4676</v>
      </c>
      <c r="D31" s="317" t="str">
        <f>IFERROR(__xludf.DUMMYFUNCTION("GOOGLETRANSLATE(B31,""zh-tw"",""ja"")"),"物理攻撃力：16
魔法攻撃力：16
氷属性")</f>
        <v>物理攻撃力：16
魔法攻撃力：16
氷属性</v>
      </c>
      <c r="E31" s="334" t="s">
        <v>4678</v>
      </c>
      <c r="F31" s="317" t="s">
        <v>4679</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hielo")</f>
        <v>Ataque físico: 16
Ataque mágico: 16
Atributo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4680</v>
      </c>
      <c r="P31" s="317" t="s">
        <v>4681</v>
      </c>
      <c r="Q31" s="337" t="s">
        <v>4682</v>
      </c>
      <c r="R31" s="338" t="s">
        <v>4683</v>
      </c>
      <c r="S31" s="205"/>
      <c r="T31" s="205"/>
    </row>
    <row r="32">
      <c r="A32" s="334" t="s">
        <v>4684</v>
      </c>
      <c r="B32" s="317" t="s">
        <v>4685</v>
      </c>
      <c r="C32" s="334" t="str">
        <f>IFERROR(__xludf.DUMMYFUNCTION("GOOGLETRANSLATE(A32,""zh-tw"",""ja"")"),"千鳥")</f>
        <v>千鳥</v>
      </c>
      <c r="D32" s="317" t="str">
        <f>IFERROR(__xludf.DUMMYFUNCTION("GOOGLETRANSLATE(B32,""zh-tw"",""ja"")"),"物理攻撃力：16
魔法攻撃力：16
雷属性")</f>
        <v>物理攻撃力：16
魔法攻撃力：16
雷属性</v>
      </c>
      <c r="E32" s="334" t="s">
        <v>4686</v>
      </c>
      <c r="F32" s="317" t="s">
        <v>4687</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Rayo")</f>
        <v>Ataque físico: 16
Ataque mágico: 16
Atributo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4688</v>
      </c>
      <c r="P32" s="317" t="s">
        <v>4689</v>
      </c>
      <c r="Q32" s="337" t="s">
        <v>4690</v>
      </c>
      <c r="R32" s="338" t="s">
        <v>4691</v>
      </c>
      <c r="S32" s="205"/>
      <c r="T32" s="205"/>
    </row>
    <row r="33">
      <c r="A33" s="334" t="s">
        <v>4692</v>
      </c>
      <c r="B33" s="317" t="s">
        <v>4693</v>
      </c>
      <c r="C33" s="334" t="s">
        <v>4694</v>
      </c>
      <c r="D33" s="317" t="str">
        <f>IFERROR(__xludf.DUMMYFUNCTION("GOOGLETRANSLATE(B33,""zh-tw"",""ja"")"),"物理攻撃力：32（連射）")</f>
        <v>物理攻撃力：32（連射）</v>
      </c>
      <c r="E33" s="334" t="s">
        <v>4695</v>
      </c>
      <c r="F33" s="317" t="s">
        <v>4696</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4697</v>
      </c>
      <c r="P33" s="317" t="s">
        <v>4698</v>
      </c>
      <c r="Q33" s="337" t="s">
        <v>4699</v>
      </c>
      <c r="R33" s="338" t="s">
        <v>4700</v>
      </c>
      <c r="S33" s="205"/>
      <c r="T33" s="205"/>
    </row>
    <row r="34">
      <c r="A34" s="334" t="s">
        <v>4282</v>
      </c>
      <c r="B34" s="317" t="s">
        <v>4701</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4286</v>
      </c>
      <c r="F34" s="317" t="s">
        <v>4702</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4289</v>
      </c>
      <c r="P34" s="317" t="s">
        <v>4703</v>
      </c>
      <c r="Q34" s="337" t="s">
        <v>4704</v>
      </c>
      <c r="R34" s="323" t="s">
        <v>4705</v>
      </c>
      <c r="S34" s="205"/>
      <c r="T34" s="205"/>
    </row>
    <row r="35">
      <c r="A35" s="334" t="s">
        <v>4706</v>
      </c>
      <c r="B35" s="317" t="s">
        <v>4707</v>
      </c>
      <c r="C35" s="334" t="s">
        <v>4708</v>
      </c>
      <c r="D35" s="317" t="str">
        <f>IFERROR(__xludf.DUMMYFUNCTION("GOOGLETRANSLATE(B35,""zh-tw"",""ja"")"),"物理攻撃: 1 魔法攻撃: 55 氷属性")</f>
        <v>物理攻撃: 1 魔法攻撃: 55 氷属性</v>
      </c>
      <c r="E35" s="334" t="s">
        <v>4709</v>
      </c>
      <c r="F35" s="317" t="s">
        <v>4710</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IFERROR(__xludf.DUMMYFUNCTION("GOOGLETRANSLATE(A35,""zh-tw"",""es-MX"")"),"Bastón de hielo")</f>
        <v>Bastón de hielo</v>
      </c>
      <c r="J35" s="162" t="str">
        <f>IFERROR(__xludf.DUMMYFUNCTION("GOOGLETRANSLATE(B35,""zh-tw"",""es-MX"")"),"Ataque físico: 1 Ataque mágico: 55 Atributo Hielo")</f>
        <v>Ataque físico: 1 Ataque mágico: 55 Atributo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4711</v>
      </c>
      <c r="P35" s="317" t="s">
        <v>4712</v>
      </c>
      <c r="Q35" s="337" t="s">
        <v>4713</v>
      </c>
      <c r="R35" s="338" t="s">
        <v>4714</v>
      </c>
      <c r="S35" s="205"/>
      <c r="T35" s="205"/>
    </row>
    <row r="36">
      <c r="A36" s="334" t="s">
        <v>4715</v>
      </c>
      <c r="B36" s="317" t="s">
        <v>4716</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4717</v>
      </c>
      <c r="F36" s="317" t="s">
        <v>4718</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4719</v>
      </c>
      <c r="P36" s="317" t="s">
        <v>4720</v>
      </c>
      <c r="Q36" s="337" t="s">
        <v>4721</v>
      </c>
      <c r="R36" s="338" t="s">
        <v>4722</v>
      </c>
      <c r="S36" s="205"/>
      <c r="T36" s="205"/>
    </row>
    <row r="37">
      <c r="A37" s="334" t="s">
        <v>4723</v>
      </c>
      <c r="B37" s="317" t="s">
        <v>4724</v>
      </c>
      <c r="C37" s="334" t="str">
        <f>IFERROR(__xludf.DUMMYFUNCTION("GOOGLETRANSLATE(A37,""zh-tw"",""ja"")"),"バナナ？")</f>
        <v>バナナ？</v>
      </c>
      <c r="D37" s="317" t="str">
        <f>IFERROR(__xludf.DUMMYFUNCTION("GOOGLETRANSLATE(B37,""zh-tw"",""ja"")"),"物理攻撃力：10爆発")</f>
        <v>物理攻撃力：10爆発</v>
      </c>
      <c r="E37" s="334" t="s">
        <v>4725</v>
      </c>
      <c r="F37" s="317" t="s">
        <v>4726</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4727</v>
      </c>
      <c r="P37" s="317" t="s">
        <v>4728</v>
      </c>
      <c r="Q37" s="337" t="s">
        <v>4729</v>
      </c>
      <c r="R37" s="338" t="s">
        <v>4730</v>
      </c>
      <c r="S37" s="205"/>
      <c r="T37" s="205"/>
    </row>
    <row r="38" ht="68.25" customHeight="1">
      <c r="A38" s="334" t="s">
        <v>4731</v>
      </c>
      <c r="B38" s="317" t="s">
        <v>4732</v>
      </c>
      <c r="C38" s="334" t="s">
        <v>4733</v>
      </c>
      <c r="D38" s="317" t="str">
        <f>IFERROR(__xludf.DUMMYFUNCTION("GOOGLETRANSLATE(B38,""zh-tw"",""ja"")"),"物理攻撃力：1
魔法攻撃力：1
アイテム吸収")</f>
        <v>物理攻撃力：1
魔法攻撃力：1
アイテム吸収</v>
      </c>
      <c r="E38" s="334" t="s">
        <v>4734</v>
      </c>
      <c r="F38" s="317" t="s">
        <v>4735</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4736</v>
      </c>
      <c r="P38" s="317" t="s">
        <v>4737</v>
      </c>
      <c r="Q38" s="337" t="s">
        <v>4738</v>
      </c>
      <c r="R38" s="338" t="s">
        <v>4739</v>
      </c>
      <c r="S38" s="205"/>
      <c r="T38" s="205"/>
    </row>
    <row r="39">
      <c r="A39" s="334" t="s">
        <v>4740</v>
      </c>
      <c r="B39" s="317" t="s">
        <v>4741</v>
      </c>
      <c r="C39" s="334" t="s">
        <v>4742</v>
      </c>
      <c r="D39" s="317" t="str">
        <f>IFERROR(__xludf.DUMMYFUNCTION("GOOGLETRANSLATE(B39,""zh-tw"",""ja"")"),"物理攻撃: 15 ターゲットをクランプする")</f>
        <v>物理攻撃: 15 ターゲットをクランプする</v>
      </c>
      <c r="E39" s="334" t="s">
        <v>4743</v>
      </c>
      <c r="F39" s="317" t="s">
        <v>4744</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4745</v>
      </c>
      <c r="P39" s="317" t="s">
        <v>4746</v>
      </c>
      <c r="Q39" s="337" t="s">
        <v>4747</v>
      </c>
      <c r="R39" s="338" t="s">
        <v>4748</v>
      </c>
      <c r="S39" s="205"/>
      <c r="T39" s="205"/>
    </row>
    <row r="40">
      <c r="A40" s="333" t="s">
        <v>4749</v>
      </c>
      <c r="B40" s="161" t="s">
        <v>4750</v>
      </c>
      <c r="C40" s="334" t="s">
        <v>4749</v>
      </c>
      <c r="D40" s="317" t="str">
        <f>IFERROR(__xludf.DUMMYFUNCTION("GOOGLETRANSLATE(B40,""zh-tw"",""ja"")"),"物理攻撃：スタンの確率36%")</f>
        <v>物理攻撃：スタンの確率36%</v>
      </c>
      <c r="E40" s="334" t="s">
        <v>4751</v>
      </c>
      <c r="F40" s="317" t="s">
        <v>4752</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aturdimiento")</f>
        <v>Ataque físico: 36% de probabilidad de aturdimiento</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4753</v>
      </c>
      <c r="P40" s="317" t="s">
        <v>4754</v>
      </c>
      <c r="Q40" s="337" t="s">
        <v>4755</v>
      </c>
      <c r="R40" s="338" t="s">
        <v>4756</v>
      </c>
      <c r="S40" s="17"/>
      <c r="T40" s="17"/>
    </row>
    <row r="41">
      <c r="A41" s="335" t="s">
        <v>4757</v>
      </c>
      <c r="B41" s="162" t="s">
        <v>4758</v>
      </c>
      <c r="C41" s="335" t="s">
        <v>4757</v>
      </c>
      <c r="D41" s="162" t="s">
        <v>4759</v>
      </c>
      <c r="E41" s="335" t="s">
        <v>4760</v>
      </c>
      <c r="F41" s="161" t="s">
        <v>4761</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4762</v>
      </c>
      <c r="P41" s="322" t="s">
        <v>4763</v>
      </c>
      <c r="Q41" s="337" t="s">
        <v>4764</v>
      </c>
      <c r="R41" s="338" t="s">
        <v>4765</v>
      </c>
      <c r="S41" s="17"/>
      <c r="T41" s="17"/>
    </row>
    <row r="42">
      <c r="A42" s="335" t="s">
        <v>4766</v>
      </c>
      <c r="B42" s="161" t="s">
        <v>4767</v>
      </c>
      <c r="C42" s="335" t="s">
        <v>4768</v>
      </c>
      <c r="D42" s="162" t="s">
        <v>4769</v>
      </c>
      <c r="E42" s="335" t="s">
        <v>4770</v>
      </c>
      <c r="F42" s="162" t="s">
        <v>4771</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hoz sombría de Deng")</f>
        <v>La hoz sombría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4772</v>
      </c>
      <c r="P42" s="322" t="s">
        <v>4773</v>
      </c>
      <c r="Q42" s="337" t="s">
        <v>4774</v>
      </c>
      <c r="R42" s="338" t="s">
        <v>4775</v>
      </c>
      <c r="S42" s="17"/>
      <c r="T42" s="17"/>
    </row>
    <row r="43">
      <c r="A43" s="333" t="s">
        <v>4776</v>
      </c>
      <c r="B43" s="161" t="s">
        <v>4777</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4778</v>
      </c>
      <c r="F43" s="161" t="s">
        <v>4779</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 de probabilidad de infligir veneno o sangrado; el envenenamiento está garantizado.")</f>
        <v>Ataque físico: 15 %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4780</v>
      </c>
      <c r="P43" s="161" t="s">
        <v>4781</v>
      </c>
      <c r="Q43" s="337" t="s">
        <v>4782</v>
      </c>
      <c r="R43" s="338" t="s">
        <v>4783</v>
      </c>
      <c r="S43" s="17"/>
      <c r="T43" s="17"/>
    </row>
    <row r="44">
      <c r="A44" s="333" t="s">
        <v>4784</v>
      </c>
      <c r="B44" s="161" t="s">
        <v>4785</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4786</v>
      </c>
      <c r="F44" s="161" t="s">
        <v>4787</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4788</v>
      </c>
      <c r="P44" s="161" t="s">
        <v>4789</v>
      </c>
      <c r="Q44" s="337" t="s">
        <v>4790</v>
      </c>
      <c r="R44" s="338" t="s">
        <v>4791</v>
      </c>
      <c r="S44" s="17"/>
      <c r="T44" s="17"/>
    </row>
    <row r="45">
      <c r="A45" s="334" t="s">
        <v>4792</v>
      </c>
      <c r="B45" s="317" t="s">
        <v>4793</v>
      </c>
      <c r="C45" s="334" t="s">
        <v>4794</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4795</v>
      </c>
      <c r="F45" s="317" t="s">
        <v>4796</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4797</v>
      </c>
      <c r="P45" s="317" t="s">
        <v>4798</v>
      </c>
      <c r="Q45" s="337" t="s">
        <v>4799</v>
      </c>
      <c r="R45" s="338" t="s">
        <v>4800</v>
      </c>
      <c r="S45" s="205"/>
      <c r="T45" s="205"/>
    </row>
    <row r="46">
      <c r="A46" s="333" t="s">
        <v>4801</v>
      </c>
      <c r="B46" s="161" t="s">
        <v>4802</v>
      </c>
      <c r="C46" s="333" t="s">
        <v>4803</v>
      </c>
      <c r="D46" s="161" t="s">
        <v>4804</v>
      </c>
      <c r="E46" s="333" t="s">
        <v>4805</v>
      </c>
      <c r="F46" s="161" t="s">
        <v>4806</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3" t="s">
        <v>4807</v>
      </c>
      <c r="P46" s="161" t="s">
        <v>4808</v>
      </c>
      <c r="Q46" s="340" t="s">
        <v>4809</v>
      </c>
      <c r="R46" s="164" t="s">
        <v>4810</v>
      </c>
      <c r="S46" s="17"/>
      <c r="T46" s="17"/>
    </row>
    <row r="47">
      <c r="A47" s="339" t="s">
        <v>4811</v>
      </c>
      <c r="B47" s="161" t="s">
        <v>4812</v>
      </c>
      <c r="C47" s="333" t="s">
        <v>3194</v>
      </c>
      <c r="D47" s="161" t="s">
        <v>4813</v>
      </c>
      <c r="E47" s="333" t="s">
        <v>3207</v>
      </c>
      <c r="F47" s="161" t="s">
        <v>4814</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4815</v>
      </c>
      <c r="S47" s="17"/>
      <c r="T47" s="17"/>
    </row>
    <row r="48">
      <c r="A48" s="333" t="s">
        <v>4816</v>
      </c>
      <c r="B48" s="161" t="s">
        <v>4817</v>
      </c>
      <c r="C48" s="333" t="s">
        <v>4818</v>
      </c>
      <c r="D48" s="161" t="s">
        <v>4819</v>
      </c>
      <c r="E48" s="333" t="s">
        <v>3196</v>
      </c>
      <c r="F48" s="161" t="s">
        <v>4820</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penetración al lanzar")</f>
        <v>Ataque físico: 26
Defensa física: 2
Efecto de congelación
Efecto de penetración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4821</v>
      </c>
      <c r="R48" s="182" t="s">
        <v>4822</v>
      </c>
      <c r="S48" s="17"/>
      <c r="T48" s="17"/>
    </row>
    <row r="49">
      <c r="A49" s="333" t="s">
        <v>4823</v>
      </c>
      <c r="B49" s="161" t="s">
        <v>4824</v>
      </c>
      <c r="C49" s="333" t="s">
        <v>4825</v>
      </c>
      <c r="D49" s="161" t="s">
        <v>4826</v>
      </c>
      <c r="E49" s="333" t="s">
        <v>4827</v>
      </c>
      <c r="F49" s="161" t="s">
        <v>4828</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moldeada")</f>
        <v>Espada de rábano moldeada</v>
      </c>
      <c r="J49" s="162" t="str">
        <f>IFERROR(__xludf.DUMMYFUNCTION("GOOGLETRANSLATE(B49,""zh-tw"",""es-MX"")"),"Ataque físico: 10
Ataque mágico: 10
Efecto venenoso
Efecto de penetración arrojadiza")</f>
        <v>Ataque físico: 10
Ataque mágico: 10
Efecto venenoso
Efecto de penetración arrojadiza</v>
      </c>
      <c r="K49" s="335" t="str">
        <f>IFERROR(__xludf.DUMMYFUNCTION("GOOGLETRANSLATE(A49,""zh-tw"",""KO"")"),"성형 무 칼")</f>
        <v>성형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IFERROR(__xludf.DUMMYFUNCTION("GOOGLETRANSLATE(A49,""zh-tw"",""ru"")"),"Формованный меч из редиса")</f>
        <v>Формованный меч из редиса</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4829</v>
      </c>
      <c r="R49" s="182" t="s">
        <v>4830</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211</v>
      </c>
      <c r="C1" s="57"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E1" s="57" t="s">
        <v>212</v>
      </c>
      <c r="G1" s="58"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I1" s="5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K1" s="5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Q1" s="327" t="s">
        <v>1861</v>
      </c>
      <c r="S1" s="300"/>
      <c r="T1" s="300"/>
      <c r="U1" s="300"/>
      <c r="V1" s="300"/>
      <c r="W1" s="300"/>
      <c r="X1" s="300"/>
      <c r="Y1" s="300"/>
      <c r="Z1" s="300"/>
    </row>
    <row r="2" ht="41.25" customHeight="1">
      <c r="S2" s="300"/>
      <c r="T2" s="300"/>
      <c r="U2" s="300"/>
      <c r="V2" s="300"/>
      <c r="W2" s="300"/>
      <c r="X2" s="300"/>
      <c r="Y2" s="300"/>
      <c r="Z2" s="300"/>
    </row>
    <row r="3">
      <c r="A3" s="328" t="s">
        <v>4831</v>
      </c>
      <c r="B3" s="72" t="s">
        <v>4832</v>
      </c>
      <c r="C3" s="343" t="str">
        <f>IFERROR(__xludf.DUMMYFUNCTION("GOOGLETRANSLATE(A3,""zh-tw"",""ja"")"),"設備プロジェクト")</f>
        <v>設備プロジェクト</v>
      </c>
      <c r="D3" s="344" t="str">
        <f>IFERROR(__xludf.DUMMYFUNCTION("GOOGLETRANSLATE(B3,""zh-tw"",""ja"")"),"装備の属性")</f>
        <v>装備の属性</v>
      </c>
      <c r="E3" s="345" t="s">
        <v>4833</v>
      </c>
      <c r="F3" s="14" t="s">
        <v>4408</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4834</v>
      </c>
      <c r="P3" s="72" t="s">
        <v>4835</v>
      </c>
      <c r="Q3" s="331" t="s">
        <v>4836</v>
      </c>
      <c r="R3" s="332" t="s">
        <v>4412</v>
      </c>
      <c r="S3" s="17"/>
      <c r="T3" s="17"/>
      <c r="U3" s="17"/>
      <c r="V3" s="17"/>
      <c r="W3" s="17"/>
      <c r="X3" s="17"/>
      <c r="Y3" s="17"/>
      <c r="Z3" s="17"/>
    </row>
    <row r="4">
      <c r="A4" s="334" t="s">
        <v>4837</v>
      </c>
      <c r="B4" s="317" t="s">
        <v>4838</v>
      </c>
      <c r="C4" s="346" t="s">
        <v>4839</v>
      </c>
      <c r="D4" s="185" t="s">
        <v>4840</v>
      </c>
      <c r="E4" s="333" t="s">
        <v>4841</v>
      </c>
      <c r="F4" s="161" t="s">
        <v>4842</v>
      </c>
      <c r="G4" s="335" t="str">
        <f>IFERROR(__xludf.DUMMYFUNCTION("GOOGLETRANSLATE(A4,""zh-tw"",""zh"")"),"妹妹脱下的内裤")</f>
        <v>妹妹脱下的内裤</v>
      </c>
      <c r="H4" s="162" t="str">
        <f>IFERROR(__xludf.DUMMYFUNCTION("GOOGLETRANSLATE(B4,""zh-tw"",""zh"")"),"低体力回复")</f>
        <v>低体力回复</v>
      </c>
      <c r="I4" s="333" t="s">
        <v>4843</v>
      </c>
      <c r="J4" s="161" t="s">
        <v>4844</v>
      </c>
      <c r="K4" s="333" t="s">
        <v>4845</v>
      </c>
      <c r="L4" s="161" t="s">
        <v>4846</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4847</v>
      </c>
      <c r="P4" s="317" t="s">
        <v>4848</v>
      </c>
      <c r="Q4" s="337" t="s">
        <v>4849</v>
      </c>
      <c r="R4" s="338" t="s">
        <v>4850</v>
      </c>
      <c r="S4" s="17"/>
      <c r="T4" s="17"/>
      <c r="U4" s="17"/>
      <c r="V4" s="17"/>
      <c r="W4" s="17"/>
      <c r="X4" s="17"/>
      <c r="Y4" s="17"/>
      <c r="Z4" s="17"/>
    </row>
    <row r="5">
      <c r="A5" s="334" t="s">
        <v>4851</v>
      </c>
      <c r="B5" s="317" t="s">
        <v>4852</v>
      </c>
      <c r="C5" s="346" t="s">
        <v>4853</v>
      </c>
      <c r="D5" s="347" t="str">
        <f>IFERROR(__xludf.DUMMYFUNCTION("GOOGLETRANSLATE(B5,""zh-tw"",""ja"")"),"性欲が増し、全属性が10%増加します。")</f>
        <v>性欲が増し、全属性が10%増加します。</v>
      </c>
      <c r="E5" s="333" t="s">
        <v>4854</v>
      </c>
      <c r="F5" s="161" t="s">
        <v>4855</v>
      </c>
      <c r="G5" s="335" t="str">
        <f>IFERROR(__xludf.DUMMYFUNCTION("GOOGLETRANSLATE(A5,""zh-tw"",""zh"")"),"少女的笑容")</f>
        <v>少女的笑容</v>
      </c>
      <c r="H5" s="162" t="str">
        <f>IFERROR(__xludf.DUMMYFUNCTION("GOOGLETRANSLATE(B5,""zh-tw"",""zh"")"),"性欲上升，全属性上升10%")</f>
        <v>性欲上升，全属性上升10%</v>
      </c>
      <c r="I5" s="333" t="s">
        <v>4856</v>
      </c>
      <c r="J5" s="162" t="str">
        <f>IFERROR(__xludf.DUMMYFUNCTION("GOOGLETRANSLATE(B5,""zh-tw"",""es-MX"")"),"Aumento de la libido; todos los atributos aumentan en un 10%.")</f>
        <v>Aumento de la libido; todos los atributos aumentan en un 10%.</v>
      </c>
      <c r="K5" s="335" t="str">
        <f>IFERROR(__xludf.DUMMYFUNCTION("GOOGLETRANSLATE(A5,""zh-tw"",""KO"")"),"소녀의 미소")</f>
        <v>소녀의 미소</v>
      </c>
      <c r="L5" s="161" t="s">
        <v>4857</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4858</v>
      </c>
      <c r="P5" s="317" t="s">
        <v>4859</v>
      </c>
      <c r="Q5" s="337" t="s">
        <v>4860</v>
      </c>
      <c r="R5" s="338" t="s">
        <v>4861</v>
      </c>
      <c r="S5" s="17"/>
      <c r="T5" s="17"/>
      <c r="U5" s="17"/>
      <c r="V5" s="17"/>
      <c r="W5" s="17"/>
      <c r="X5" s="17"/>
      <c r="Y5" s="17"/>
      <c r="Z5" s="17"/>
    </row>
    <row r="6">
      <c r="A6" s="334" t="s">
        <v>4862</v>
      </c>
      <c r="B6" s="317" t="s">
        <v>722</v>
      </c>
      <c r="C6" s="348" t="str">
        <f>IFERROR(__xludf.DUMMYFUNCTION("GOOGLETRANSLATE(A6,""zh-tw"",""ja"")"),"フライドポテト")</f>
        <v>フライドポテト</v>
      </c>
      <c r="D6" s="347" t="str">
        <f>IFERROR(__xludf.DUMMYFUNCTION("GOOGLETRANSLATE(B6,""zh-tw"",""ja"")"),"-")</f>
        <v>-</v>
      </c>
      <c r="E6" s="333" t="s">
        <v>4863</v>
      </c>
      <c r="F6" s="161" t="s">
        <v>722</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4864</v>
      </c>
      <c r="P6" s="317" t="s">
        <v>4865</v>
      </c>
      <c r="Q6" s="337" t="s">
        <v>4866</v>
      </c>
      <c r="R6" s="338" t="s">
        <v>722</v>
      </c>
      <c r="S6" s="17"/>
      <c r="T6" s="17"/>
      <c r="U6" s="17"/>
      <c r="V6" s="17"/>
      <c r="W6" s="17"/>
      <c r="X6" s="17"/>
      <c r="Y6" s="17"/>
      <c r="Z6" s="17"/>
    </row>
    <row r="7">
      <c r="A7" s="334" t="s">
        <v>4867</v>
      </c>
      <c r="B7" s="317" t="s">
        <v>4868</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4869</v>
      </c>
      <c r="F7" s="161" t="s">
        <v>4870</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4871</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4872</v>
      </c>
      <c r="P7" s="317" t="s">
        <v>4873</v>
      </c>
      <c r="Q7" s="337" t="s">
        <v>4874</v>
      </c>
      <c r="R7" s="323" t="s">
        <v>4875</v>
      </c>
      <c r="S7" s="17"/>
      <c r="T7" s="17"/>
      <c r="U7" s="17"/>
      <c r="V7" s="17"/>
      <c r="W7" s="17"/>
      <c r="X7" s="17"/>
      <c r="Y7" s="17"/>
      <c r="Z7" s="17"/>
    </row>
    <row r="8">
      <c r="A8" s="334" t="s">
        <v>4876</v>
      </c>
      <c r="B8" s="317" t="s">
        <v>4877</v>
      </c>
      <c r="C8" s="346" t="s">
        <v>4878</v>
      </c>
      <c r="D8" s="347" t="str">
        <f>IFERROR(__xludf.DUMMYFUNCTION("GOOGLETRANSLATE(B8,""zh-tw"",""ja"")"),"運：10（回復確率）")</f>
        <v>運：10（回復確率）</v>
      </c>
      <c r="E8" s="333" t="s">
        <v>4879</v>
      </c>
      <c r="F8" s="161" t="s">
        <v>4880</v>
      </c>
      <c r="G8" s="335" t="str">
        <f>IFERROR(__xludf.DUMMYFUNCTION("GOOGLETRANSLATE(A8,""zh-tw"",""zh"")"),"苹果头套")</f>
        <v>苹果头套</v>
      </c>
      <c r="H8" s="162" t="str">
        <f>IFERROR(__xludf.DUMMYFUNCTION("GOOGLETRANSLATE(B8,""zh-tw"",""zh"")"),"幸运：10
概率回复")</f>
        <v>幸运：10
概率回复</v>
      </c>
      <c r="I8" s="333" t="s">
        <v>4881</v>
      </c>
      <c r="J8" s="161" t="s">
        <v>4882</v>
      </c>
      <c r="K8" s="333" t="s">
        <v>4883</v>
      </c>
      <c r="L8" s="161" t="s">
        <v>4884</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4885</v>
      </c>
      <c r="P8" s="317" t="s">
        <v>4886</v>
      </c>
      <c r="Q8" s="337" t="s">
        <v>4887</v>
      </c>
      <c r="R8" s="338" t="s">
        <v>4888</v>
      </c>
      <c r="S8" s="17"/>
      <c r="T8" s="17"/>
      <c r="U8" s="17"/>
      <c r="V8" s="17"/>
      <c r="W8" s="17"/>
      <c r="X8" s="17"/>
      <c r="Y8" s="17"/>
      <c r="Z8" s="17"/>
    </row>
    <row r="9">
      <c r="A9" s="334" t="s">
        <v>4889</v>
      </c>
      <c r="B9" s="317" t="s">
        <v>4890</v>
      </c>
      <c r="C9" s="346" t="s">
        <v>4891</v>
      </c>
      <c r="D9" s="347" t="str">
        <f>IFERROR(__xludf.DUMMYFUNCTION("GOOGLETRANSLATE(B9,""zh-tw"",""ja"")"),"物理攻撃：5。攻撃力と攻撃速度が向上します。")</f>
        <v>物理攻撃：5。攻撃力と攻撃速度が向上します。</v>
      </c>
      <c r="E9" s="333" t="s">
        <v>4892</v>
      </c>
      <c r="F9" s="161" t="s">
        <v>4893</v>
      </c>
      <c r="G9" s="335" t="str">
        <f>IFERROR(__xludf.DUMMYFUNCTION("GOOGLETRANSLATE(A9,""zh-tw"",""zh"")"),"借来的猫爪")</f>
        <v>借来的猫爪</v>
      </c>
      <c r="H9" s="162" t="str">
        <f>IFERROR(__xludf.DUMMYFUNCTION("GOOGLETRANSLATE(B9,""zh-tw"",""zh"")"),"物攻：5
攻击力、攻速上升")</f>
        <v>物攻：5
攻击力、攻速上升</v>
      </c>
      <c r="I9" s="333" t="s">
        <v>4894</v>
      </c>
      <c r="J9" s="162" t="str">
        <f>IFERROR(__xludf.DUMMYFUNCTION("GOOGLETRANSLATE(B9,""zh-tw"",""es-MX"")"),"Ataque físico: 5. Aumenta el poder de ataque y la velocidad de ataque.")</f>
        <v>Ataque físico: 5. Aumenta el poder de ataque y la velocidad de ataque.</v>
      </c>
      <c r="K9" s="333" t="s">
        <v>4895</v>
      </c>
      <c r="L9" s="161" t="s">
        <v>4896</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4897</v>
      </c>
      <c r="P9" s="317" t="s">
        <v>4898</v>
      </c>
      <c r="Q9" s="337" t="s">
        <v>4899</v>
      </c>
      <c r="R9" s="338" t="s">
        <v>4900</v>
      </c>
      <c r="S9" s="17"/>
      <c r="T9" s="17"/>
      <c r="U9" s="17"/>
      <c r="V9" s="17"/>
      <c r="W9" s="17"/>
      <c r="X9" s="17"/>
      <c r="Y9" s="17"/>
      <c r="Z9" s="17"/>
    </row>
    <row r="10">
      <c r="A10" s="334" t="s">
        <v>4901</v>
      </c>
      <c r="B10" s="317" t="s">
        <v>4902</v>
      </c>
      <c r="C10" s="346" t="s">
        <v>4903</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4904</v>
      </c>
      <c r="F10" s="161" t="s">
        <v>4905</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33" t="s">
        <v>4906</v>
      </c>
      <c r="L10" s="161" t="s">
        <v>4907</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4908</v>
      </c>
      <c r="P10" s="317" t="s">
        <v>4909</v>
      </c>
      <c r="Q10" s="337" t="s">
        <v>4910</v>
      </c>
      <c r="R10" s="338" t="s">
        <v>4911</v>
      </c>
      <c r="S10" s="17"/>
      <c r="T10" s="17"/>
      <c r="U10" s="17"/>
      <c r="V10" s="17"/>
      <c r="W10" s="17"/>
      <c r="X10" s="17"/>
      <c r="Y10" s="17"/>
      <c r="Z10" s="17"/>
    </row>
    <row r="11">
      <c r="A11" s="334" t="s">
        <v>4912</v>
      </c>
      <c r="B11" s="317" t="s">
        <v>4913</v>
      </c>
      <c r="C11" s="346" t="s">
        <v>4270</v>
      </c>
      <c r="D11" s="347" t="str">
        <f>IFERROR(__xludf.DUMMYFUNCTION("GOOGLETRANSLATE(B11,""zh-tw"",""ja"")"),"攻撃速度と攻撃回数を1増加します。")</f>
        <v>攻撃速度と攻撃回数を1増加します。</v>
      </c>
      <c r="E11" s="333" t="s">
        <v>4273</v>
      </c>
      <c r="F11" s="161" t="s">
        <v>4914</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conteo de ataques en 1.")</f>
        <v>Aumenta la velocidad de ataque y el conteo de ataques en 1.</v>
      </c>
      <c r="K11" s="333" t="s">
        <v>4275</v>
      </c>
      <c r="L11" s="161" t="s">
        <v>4915</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4277</v>
      </c>
      <c r="P11" s="317" t="s">
        <v>4916</v>
      </c>
      <c r="Q11" s="337" t="s">
        <v>4917</v>
      </c>
      <c r="R11" s="338" t="s">
        <v>4918</v>
      </c>
      <c r="S11" s="17"/>
      <c r="T11" s="17"/>
      <c r="U11" s="17"/>
      <c r="V11" s="17"/>
      <c r="W11" s="17"/>
      <c r="X11" s="17"/>
      <c r="Y11" s="17"/>
      <c r="Z11" s="17"/>
    </row>
    <row r="12">
      <c r="A12" s="334" t="s">
        <v>4919</v>
      </c>
      <c r="B12" s="317" t="s">
        <v>4920</v>
      </c>
      <c r="C12" s="346" t="s">
        <v>4921</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4922</v>
      </c>
      <c r="F12" s="161" t="s">
        <v>4923</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perseverancia")</f>
        <v>Diadema de perseverancia</v>
      </c>
      <c r="J12" s="16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33" t="s">
        <v>4924</v>
      </c>
      <c r="L12" s="161" t="s">
        <v>4925</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4926</v>
      </c>
      <c r="P12" s="317" t="s">
        <v>4927</v>
      </c>
      <c r="Q12" s="337" t="s">
        <v>4928</v>
      </c>
      <c r="R12" s="338" t="s">
        <v>4929</v>
      </c>
      <c r="S12" s="17"/>
      <c r="T12" s="17"/>
      <c r="U12" s="17"/>
      <c r="V12" s="17"/>
      <c r="W12" s="17"/>
      <c r="X12" s="17"/>
      <c r="Y12" s="17"/>
      <c r="Z12" s="17"/>
    </row>
    <row r="13">
      <c r="A13" s="334" t="s">
        <v>4930</v>
      </c>
      <c r="B13" s="317" t="s">
        <v>4931</v>
      </c>
      <c r="C13" s="348" t="str">
        <f>IFERROR(__xludf.DUMMYFUNCTION("GOOGLETRANSLATE(A13,""zh-tw"",""ja"")"),"招き猫")</f>
        <v>招き猫</v>
      </c>
      <c r="D13" s="185" t="s">
        <v>4932</v>
      </c>
      <c r="E13" s="333" t="s">
        <v>4933</v>
      </c>
      <c r="F13" s="161" t="s">
        <v>4934</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4935</v>
      </c>
      <c r="L13" s="161" t="s">
        <v>4936</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4937</v>
      </c>
      <c r="P13" s="317" t="s">
        <v>4938</v>
      </c>
      <c r="Q13" s="337" t="s">
        <v>4939</v>
      </c>
      <c r="R13" s="338" t="s">
        <v>4940</v>
      </c>
      <c r="S13" s="17"/>
      <c r="T13" s="17"/>
      <c r="U13" s="17"/>
      <c r="V13" s="17"/>
      <c r="W13" s="17"/>
      <c r="X13" s="17"/>
      <c r="Y13" s="17"/>
      <c r="Z13" s="17"/>
    </row>
    <row r="14">
      <c r="A14" s="334" t="s">
        <v>4941</v>
      </c>
      <c r="B14" s="317" t="s">
        <v>4942</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4943</v>
      </c>
      <c r="F14" s="161" t="s">
        <v>4944</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enojado")</f>
        <v>Puño enojado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4945</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4946</v>
      </c>
      <c r="P14" s="317" t="s">
        <v>4947</v>
      </c>
      <c r="Q14" s="337" t="s">
        <v>4948</v>
      </c>
      <c r="R14" s="323" t="s">
        <v>4949</v>
      </c>
      <c r="S14" s="17"/>
      <c r="T14" s="17"/>
      <c r="U14" s="17"/>
      <c r="V14" s="17"/>
      <c r="W14" s="17"/>
      <c r="X14" s="17"/>
      <c r="Y14" s="17"/>
      <c r="Z14" s="17"/>
    </row>
    <row r="15">
      <c r="A15" s="334" t="s">
        <v>4950</v>
      </c>
      <c r="B15" s="317" t="s">
        <v>4942</v>
      </c>
      <c r="C15" s="346" t="s">
        <v>4951</v>
      </c>
      <c r="D15" s="185" t="s">
        <v>4952</v>
      </c>
      <c r="E15" s="333" t="s">
        <v>4953</v>
      </c>
      <c r="F15" s="161" t="s">
        <v>4954</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4955</v>
      </c>
      <c r="L15" s="161" t="s">
        <v>4945</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4956</v>
      </c>
      <c r="P15" s="317" t="s">
        <v>4957</v>
      </c>
      <c r="Q15" s="337" t="s">
        <v>4958</v>
      </c>
      <c r="R15" s="323" t="s">
        <v>4959</v>
      </c>
      <c r="S15" s="17"/>
      <c r="T15" s="17"/>
      <c r="U15" s="17"/>
      <c r="V15" s="17"/>
      <c r="W15" s="17"/>
      <c r="X15" s="17"/>
      <c r="Y15" s="17"/>
      <c r="Z15" s="17"/>
    </row>
    <row r="16">
      <c r="A16" s="334" t="s">
        <v>4056</v>
      </c>
      <c r="B16" s="317" t="s">
        <v>4960</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4061</v>
      </c>
      <c r="F16" s="161" t="s">
        <v>4961</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pájaro de fuego")</f>
        <v>Plumas de pájaro de fuego</v>
      </c>
      <c r="J16" s="162" t="str">
        <f>IFERROR(__xludf.DUMMYFUNCTION("GOOGLETRANSLATE(B16,""zh-tw"",""es-MX"")"),"Reanima y restaura la salud completa (consumible).")</f>
        <v>Reanima y restaura la salud completa (consumible).</v>
      </c>
      <c r="K16" s="334" t="s">
        <v>4064</v>
      </c>
      <c r="L16" s="161" t="s">
        <v>4962</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4067</v>
      </c>
      <c r="P16" s="317" t="s">
        <v>4963</v>
      </c>
      <c r="Q16" s="337" t="s">
        <v>4070</v>
      </c>
      <c r="R16" s="323" t="s">
        <v>4964</v>
      </c>
      <c r="S16" s="17"/>
      <c r="T16" s="17"/>
      <c r="U16" s="17"/>
      <c r="V16" s="17"/>
      <c r="W16" s="17"/>
      <c r="X16" s="17"/>
      <c r="Y16" s="17"/>
      <c r="Z16" s="17"/>
    </row>
    <row r="17">
      <c r="A17" s="334" t="s">
        <v>4965</v>
      </c>
      <c r="B17" s="317" t="s">
        <v>4966</v>
      </c>
      <c r="C17" s="346" t="s">
        <v>4967</v>
      </c>
      <c r="D17" s="347" t="str">
        <f>IFERROR(__xludf.DUMMYFUNCTION("GOOGLETRANSLATE(B17,""zh-tw"",""ja"")"),"物理防御力: 2
魔法耐性: 15
落下ダメージ軽減")</f>
        <v>物理防御力: 2
魔法耐性: 15
落下ダメージ軽減</v>
      </c>
      <c r="E17" s="333" t="s">
        <v>4968</v>
      </c>
      <c r="F17" s="161" t="s">
        <v>4969</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f>
        <v>Defensa física: 2
Resistencia mágica: 15
Reducción de daño por caída</v>
      </c>
      <c r="K17" s="333" t="s">
        <v>4970</v>
      </c>
      <c r="L17" s="161" t="s">
        <v>4971</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4972</v>
      </c>
      <c r="P17" s="317" t="s">
        <v>4973</v>
      </c>
      <c r="Q17" s="337" t="s">
        <v>4974</v>
      </c>
      <c r="R17" s="323" t="s">
        <v>4975</v>
      </c>
      <c r="S17" s="17"/>
      <c r="T17" s="17"/>
      <c r="U17" s="17"/>
      <c r="V17" s="17"/>
      <c r="W17" s="17"/>
      <c r="X17" s="17"/>
      <c r="Y17" s="17"/>
      <c r="Z17" s="17"/>
    </row>
    <row r="18">
      <c r="A18" s="333" t="s">
        <v>4976</v>
      </c>
      <c r="B18" s="161" t="s">
        <v>4977</v>
      </c>
      <c r="C18" s="346" t="s">
        <v>4978</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4979</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IFERROR(__xludf.DUMMYFUNCTION("GOOGLETRANSLATE(A18,""zh-tw"",""es-MX"")"),"Protectores de muñeca para artes marciales")</f>
        <v>Protectores de muñeca para artes marciales</v>
      </c>
      <c r="J18" s="16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4980</v>
      </c>
      <c r="P18" s="317" t="s">
        <v>4981</v>
      </c>
      <c r="Q18" s="337" t="s">
        <v>4982</v>
      </c>
      <c r="R18" s="323" t="s">
        <v>4983</v>
      </c>
      <c r="S18" s="17"/>
      <c r="T18" s="17"/>
      <c r="U18" s="17"/>
      <c r="V18" s="17"/>
      <c r="W18" s="17"/>
      <c r="X18" s="17"/>
      <c r="Y18" s="17"/>
      <c r="Z18" s="17"/>
    </row>
    <row r="19">
      <c r="A19" s="334" t="s">
        <v>4984</v>
      </c>
      <c r="B19" s="317" t="s">
        <v>4985</v>
      </c>
      <c r="C19" s="346" t="s">
        <v>4986</v>
      </c>
      <c r="D19" s="347" t="str">
        <f>IFERROR(__xludf.DUMMYFUNCTION("GOOGLETRANSLATE(B19,""zh-tw"",""ja"")"),"物理防御力：2
魔法耐性：10
フラッシュステップ効果強化")</f>
        <v>物理防御力：2
魔法耐性：10
フラッシュステップ効果強化</v>
      </c>
      <c r="E19" s="333" t="s">
        <v>4987</v>
      </c>
      <c r="F19" s="161" t="s">
        <v>4988</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Mejora del efecto de Paso relámpago")</f>
        <v>Defensa física: 2
Resistencia mágica: 10
Mejora del efecto de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4989</v>
      </c>
      <c r="P19" s="317" t="s">
        <v>4990</v>
      </c>
      <c r="Q19" s="337" t="s">
        <v>4991</v>
      </c>
      <c r="R19" s="323" t="s">
        <v>4992</v>
      </c>
      <c r="S19" s="17"/>
      <c r="T19" s="17"/>
      <c r="U19" s="17"/>
      <c r="V19" s="17"/>
      <c r="W19" s="17"/>
      <c r="X19" s="17"/>
      <c r="Y19" s="17"/>
      <c r="Z19" s="17"/>
    </row>
    <row r="20">
      <c r="A20" s="334" t="s">
        <v>4993</v>
      </c>
      <c r="B20" s="317" t="s">
        <v>4994</v>
      </c>
      <c r="C20" s="346" t="s">
        <v>4995</v>
      </c>
      <c r="D20" s="347" t="str">
        <f>IFERROR(__xludf.DUMMYFUNCTION("GOOGLETRANSLATE(B20,""zh-tw"",""ja"")"),"物理防御力: 1
幸運: 60
アイテムドロップ率アップ")</f>
        <v>物理防御力: 1
幸運: 60
アイテムドロップ率アップ</v>
      </c>
      <c r="E20" s="333" t="s">
        <v>4996</v>
      </c>
      <c r="F20" s="161" t="s">
        <v>4997</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
Aumenta la probabilidad de conseguir objetos")</f>
        <v>Defensa física: 1
Suerte: 60
Aumenta la probabilidad de conseguir objetos</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4998</v>
      </c>
      <c r="P20" s="317" t="s">
        <v>4999</v>
      </c>
      <c r="Q20" s="337" t="s">
        <v>5000</v>
      </c>
      <c r="R20" s="323" t="s">
        <v>5001</v>
      </c>
      <c r="S20" s="17"/>
      <c r="T20" s="17"/>
      <c r="U20" s="17"/>
      <c r="V20" s="17"/>
      <c r="W20" s="17"/>
      <c r="X20" s="17"/>
      <c r="Y20" s="17"/>
      <c r="Z20" s="17"/>
    </row>
    <row r="21">
      <c r="A21" s="334" t="s">
        <v>5002</v>
      </c>
      <c r="B21" s="317" t="s">
        <v>5003</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5004</v>
      </c>
      <c r="F21" s="161" t="s">
        <v>5005</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efecto especial")</f>
        <v>Defensa física: 4
Resistencia mágica: 4
Suerte: 30
No puede atacar, efecto especial</v>
      </c>
      <c r="K21" s="334" t="s">
        <v>5006</v>
      </c>
      <c r="L21" s="161" t="s">
        <v>5007</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5008</v>
      </c>
      <c r="P21" s="317" t="s">
        <v>5009</v>
      </c>
      <c r="Q21" s="337" t="s">
        <v>5010</v>
      </c>
      <c r="R21" s="338" t="s">
        <v>5011</v>
      </c>
      <c r="S21" s="17"/>
      <c r="T21" s="17"/>
      <c r="U21" s="17"/>
      <c r="V21" s="17"/>
      <c r="W21" s="17"/>
      <c r="X21" s="17"/>
      <c r="Y21" s="17"/>
      <c r="Z21" s="17"/>
    </row>
    <row r="22">
      <c r="A22" s="334" t="s">
        <v>5012</v>
      </c>
      <c r="B22" s="317" t="s">
        <v>5013</v>
      </c>
      <c r="C22" s="346" t="s">
        <v>5014</v>
      </c>
      <c r="D22" s="347" t="str">
        <f>IFERROR(__xludf.DUMMYFUNCTION("GOOGLETRANSLATE(B22,""zh-tw"",""ja"")"),"魔法攻撃力：20
魔法耐性：10
詠唱速度が上昇し、最大魔法威力が上昇")</f>
        <v>魔法攻撃力：20
魔法耐性：10
詠唱速度が上昇し、最大魔法威力が上昇</v>
      </c>
      <c r="E22" s="333" t="s">
        <v>5015</v>
      </c>
      <c r="F22" s="161" t="s">
        <v>5016</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IFERROR(__xludf.DUMMYFUNCTION("GOOGLETRANSLATE(A22,""zh-tw"",""es-MX"")"),"Cúmulo de cristales mágicos")</f>
        <v>Cúmulo de cristales mágicos</v>
      </c>
      <c r="J22" s="162"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33" t="s">
        <v>5017</v>
      </c>
      <c r="L22" s="161" t="s">
        <v>5018</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5019</v>
      </c>
      <c r="P22" s="317" t="s">
        <v>5020</v>
      </c>
      <c r="Q22" s="337" t="s">
        <v>5021</v>
      </c>
      <c r="R22" s="323" t="s">
        <v>5022</v>
      </c>
      <c r="S22" s="17"/>
      <c r="T22" s="17"/>
      <c r="U22" s="17"/>
      <c r="V22" s="17"/>
      <c r="W22" s="17"/>
      <c r="X22" s="17"/>
      <c r="Y22" s="17"/>
      <c r="Z22" s="17"/>
    </row>
    <row r="23">
      <c r="A23" s="334" t="s">
        <v>5023</v>
      </c>
      <c r="B23" s="317" t="s">
        <v>5024</v>
      </c>
      <c r="C23" s="346" t="s">
        <v>5025</v>
      </c>
      <c r="D23" s="347" t="str">
        <f>IFERROR(__xludf.DUMMYFUNCTION("GOOGLETRANSLATE(B23,""zh-tw"",""ja"")"),"魔法攻撃力：35
魔法耐性：20
詠唱速度が上昇し、最大魔法威力が上昇")</f>
        <v>魔法攻撃力：35
魔法耐性：20
詠唱速度が上昇し、最大魔法威力が上昇</v>
      </c>
      <c r="E23" s="333" t="s">
        <v>5026</v>
      </c>
      <c r="F23" s="161" t="s">
        <v>5027</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IFERROR(__xludf.DUMMYFUNCTION("GOOGLETRANSLATE(A23,""zh-tw"",""es-MX"")"),"Cúmulo de cristales de magia profunda")</f>
        <v>Cúmulo de cristales de magia profunda</v>
      </c>
      <c r="J23" s="16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34" t="s">
        <v>5028</v>
      </c>
      <c r="L23" s="161" t="s">
        <v>5029</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5030</v>
      </c>
      <c r="P23" s="317" t="s">
        <v>5031</v>
      </c>
      <c r="Q23" s="337" t="s">
        <v>5032</v>
      </c>
      <c r="R23" s="323" t="s">
        <v>5033</v>
      </c>
      <c r="S23" s="17"/>
      <c r="T23" s="17"/>
      <c r="U23" s="17"/>
      <c r="V23" s="17"/>
      <c r="W23" s="17"/>
      <c r="X23" s="17"/>
      <c r="Y23" s="17"/>
      <c r="Z23" s="17"/>
    </row>
    <row r="24">
      <c r="A24" s="334" t="s">
        <v>5034</v>
      </c>
      <c r="B24" s="317" t="s">
        <v>5035</v>
      </c>
      <c r="C24" s="346" t="s">
        <v>5036</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5037</v>
      </c>
      <c r="F24" s="161" t="s">
        <v>5038</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35" t="str">
        <f>IFERROR(__xludf.DUMMYFUNCTION("GOOGLETRANSLATE(A24,""zh-tw"",""KO"")"),"저주받은 태아")</f>
        <v>저주받은 태아</v>
      </c>
      <c r="L24" s="161" t="s">
        <v>5039</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5040</v>
      </c>
      <c r="P24" s="317" t="s">
        <v>5041</v>
      </c>
      <c r="Q24" s="337" t="s">
        <v>5042</v>
      </c>
      <c r="R24" s="338" t="s">
        <v>5043</v>
      </c>
      <c r="S24" s="17"/>
      <c r="T24" s="17"/>
      <c r="U24" s="17"/>
      <c r="V24" s="17"/>
      <c r="W24" s="17"/>
      <c r="X24" s="17"/>
      <c r="Y24" s="17"/>
      <c r="Z24" s="17"/>
    </row>
    <row r="25">
      <c r="A25" s="334" t="s">
        <v>5044</v>
      </c>
      <c r="B25" s="317" t="s">
        <v>5045</v>
      </c>
      <c r="C25" s="346" t="s">
        <v>5046</v>
      </c>
      <c r="D25" s="34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5047</v>
      </c>
      <c r="F25" s="161" t="s">
        <v>5048</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35" t="str">
        <f>IFERROR(__xludf.DUMMYFUNCTION("GOOGLETRANSLATE(A25,""zh-tw"",""KO"")"),"불행한 탄생")</f>
        <v>불행한 탄생</v>
      </c>
      <c r="L25" s="161" t="s">
        <v>5049</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5050</v>
      </c>
      <c r="P25" s="317" t="s">
        <v>5051</v>
      </c>
      <c r="Q25" s="337" t="s">
        <v>5052</v>
      </c>
      <c r="R25" s="323" t="s">
        <v>5053</v>
      </c>
      <c r="S25" s="17"/>
      <c r="T25" s="17"/>
      <c r="U25" s="17"/>
      <c r="V25" s="17"/>
      <c r="W25" s="17"/>
      <c r="X25" s="17"/>
      <c r="Y25" s="17"/>
      <c r="Z25" s="17"/>
    </row>
    <row r="26">
      <c r="A26" s="333" t="s">
        <v>5054</v>
      </c>
      <c r="B26" s="161" t="s">
        <v>5055</v>
      </c>
      <c r="C26" s="346" t="s">
        <v>5056</v>
      </c>
      <c r="D26" s="185" t="s">
        <v>5057</v>
      </c>
      <c r="E26" s="333" t="s">
        <v>5058</v>
      </c>
      <c r="F26" s="161" t="s">
        <v>5059</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35" t="str">
        <f>IFERROR(__xludf.DUMMYFUNCTION("GOOGLETRANSLATE(A26,""zh-tw"",""KO"")"),"장난꾸러기 잭")</f>
        <v>장난꾸러기 잭</v>
      </c>
      <c r="L26" s="161" t="s">
        <v>5060</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5061</v>
      </c>
      <c r="P26" s="317" t="s">
        <v>5062</v>
      </c>
      <c r="Q26" s="337" t="s">
        <v>5063</v>
      </c>
      <c r="R26" s="186" t="s">
        <v>5064</v>
      </c>
      <c r="S26" s="17"/>
      <c r="T26" s="17"/>
      <c r="U26" s="17"/>
      <c r="V26" s="17"/>
      <c r="W26" s="17"/>
      <c r="X26" s="17"/>
      <c r="Y26" s="17"/>
      <c r="Z26" s="17"/>
    </row>
    <row r="27">
      <c r="A27" s="333" t="s">
        <v>5065</v>
      </c>
      <c r="B27" s="161" t="s">
        <v>5066</v>
      </c>
      <c r="C27" s="346" t="s">
        <v>5067</v>
      </c>
      <c r="D27" s="347"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3" t="s">
        <v>5068</v>
      </c>
      <c r="F27" s="161" t="s">
        <v>5069</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5070</v>
      </c>
      <c r="J27" s="162"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33" t="s">
        <v>5071</v>
      </c>
      <c r="L27" s="161" t="s">
        <v>5072</v>
      </c>
      <c r="M27" s="336" t="str">
        <f>IFERROR(__xludf.DUMMYFUNCTION("GOOGLETRANSLATE(A27,""zh-tw"",""ru"")"),"Незавершённый Святой Грааль")</f>
        <v>Незавершённый Святой Грааль</v>
      </c>
      <c r="N27" s="31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4" t="s">
        <v>5073</v>
      </c>
      <c r="P27" s="317" t="s">
        <v>5074</v>
      </c>
      <c r="Q27" s="337" t="s">
        <v>5075</v>
      </c>
      <c r="R27" s="338" t="s">
        <v>5076</v>
      </c>
      <c r="S27" s="17"/>
      <c r="T27" s="17"/>
      <c r="U27" s="17"/>
      <c r="V27" s="17"/>
      <c r="W27" s="17"/>
      <c r="X27" s="17"/>
      <c r="Y27" s="17"/>
      <c r="Z27" s="17"/>
    </row>
    <row r="28">
      <c r="A28" s="333" t="s">
        <v>5077</v>
      </c>
      <c r="B28" s="161" t="s">
        <v>5078</v>
      </c>
      <c r="C28" s="346" t="s">
        <v>5079</v>
      </c>
      <c r="D28" s="347" t="str">
        <f>IFERROR(__xludf.DUMMYFUNCTION("GOOGLETRANSLATE(B28,""zh-tw"",""ja"")"),"爆発効果または爆発軽減を発動する確率が低い。")</f>
        <v>爆発効果または爆発軽減を発動する確率が低い。</v>
      </c>
      <c r="E28" s="333" t="s">
        <v>5080</v>
      </c>
      <c r="F28" s="161" t="s">
        <v>5081</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activar un efecto de explosión o reducción de explosión.")</f>
        <v>Baja probabilidad de activar un efecto de explosión o reducción de explosión.</v>
      </c>
      <c r="K28" s="334" t="s">
        <v>5082</v>
      </c>
      <c r="L28" s="161" t="s">
        <v>5083</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5084</v>
      </c>
      <c r="P28" s="317" t="s">
        <v>5085</v>
      </c>
      <c r="Q28" s="337" t="s">
        <v>5086</v>
      </c>
      <c r="R28" s="338" t="s">
        <v>5087</v>
      </c>
      <c r="S28" s="17"/>
      <c r="T28" s="17"/>
      <c r="U28" s="17"/>
      <c r="V28" s="17"/>
      <c r="W28" s="17"/>
      <c r="X28" s="17"/>
      <c r="Y28" s="17"/>
      <c r="Z28" s="17"/>
    </row>
    <row r="29">
      <c r="A29" s="333" t="s">
        <v>5088</v>
      </c>
      <c r="B29" s="161" t="s">
        <v>5089</v>
      </c>
      <c r="C29" s="346" t="s">
        <v>5090</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5091</v>
      </c>
      <c r="F29" s="161" t="s">
        <v>5092</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33" t="s">
        <v>5093</v>
      </c>
      <c r="L29" s="161" t="s">
        <v>5094</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5095</v>
      </c>
      <c r="P29" s="317" t="s">
        <v>5096</v>
      </c>
      <c r="Q29" s="337" t="s">
        <v>5097</v>
      </c>
      <c r="R29" s="323" t="s">
        <v>5098</v>
      </c>
      <c r="S29" s="17"/>
      <c r="T29" s="17"/>
      <c r="U29" s="17"/>
      <c r="V29" s="17"/>
      <c r="W29" s="17"/>
      <c r="X29" s="17"/>
      <c r="Y29" s="17"/>
      <c r="Z29" s="17"/>
    </row>
    <row r="30">
      <c r="A30" s="334" t="s">
        <v>5099</v>
      </c>
      <c r="B30" s="317" t="s">
        <v>5100</v>
      </c>
      <c r="C30" s="346" t="s">
        <v>5101</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5102</v>
      </c>
      <c r="F30" s="161" t="s">
        <v>5103</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5104</v>
      </c>
      <c r="L30" s="161" t="s">
        <v>5105</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5106</v>
      </c>
      <c r="P30" s="317" t="s">
        <v>5107</v>
      </c>
      <c r="Q30" s="337" t="s">
        <v>5108</v>
      </c>
      <c r="R30" s="323" t="s">
        <v>5109</v>
      </c>
      <c r="S30" s="17"/>
      <c r="T30" s="17"/>
      <c r="U30" s="17"/>
      <c r="V30" s="17"/>
      <c r="W30" s="17"/>
      <c r="X30" s="17"/>
      <c r="Y30" s="17"/>
      <c r="Z30" s="17"/>
    </row>
    <row r="31">
      <c r="A31" s="334" t="s">
        <v>5110</v>
      </c>
      <c r="B31" s="317" t="s">
        <v>5111</v>
      </c>
      <c r="C31" s="346" t="s">
        <v>5112</v>
      </c>
      <c r="D31" s="347" t="str">
        <f>IFERROR(__xludf.DUMMYFUNCTION("GOOGLETRANSLATE(B31,""zh-tw"",""ja"")"),"物理攻撃: 2 物理防御: 6 ダメージを与えるアーマー")</f>
        <v>物理攻撃: 2 物理防御: 6 ダメージを与えるアーマー</v>
      </c>
      <c r="E31" s="333" t="s">
        <v>5113</v>
      </c>
      <c r="F31" s="161" t="s">
        <v>5114</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5115</v>
      </c>
      <c r="L31" s="161" t="s">
        <v>5116</v>
      </c>
      <c r="M31" s="336" t="str">
        <f>IFERROR(__xludf.DUMMYFUNCTION("GOOGLETRANSLATE(A31,""zh-tw"",""ru"")"),"Броня с пронзительными гвоздями")</f>
        <v>Броня с пронзительными гвоздями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5117</v>
      </c>
      <c r="P31" s="317" t="s">
        <v>5118</v>
      </c>
      <c r="Q31" s="337" t="s">
        <v>5119</v>
      </c>
      <c r="R31" s="338" t="s">
        <v>5120</v>
      </c>
      <c r="S31" s="17"/>
      <c r="T31" s="17"/>
      <c r="U31" s="17"/>
      <c r="V31" s="17"/>
      <c r="W31" s="17"/>
      <c r="X31" s="17"/>
      <c r="Y31" s="17"/>
      <c r="Z31" s="17"/>
    </row>
    <row r="32">
      <c r="A32" s="334" t="s">
        <v>5121</v>
      </c>
      <c r="B32" s="317" t="s">
        <v>5122</v>
      </c>
      <c r="C32" s="346" t="s">
        <v>5123</v>
      </c>
      <c r="D32" s="347" t="str">
        <f>IFERROR(__xludf.DUMMYFUNCTION("GOOGLETRANSLATE(B32,""zh-tw"",""ja"")"),"物理攻撃力：4
物理防御力：2
ダメージを与えるアーマー")</f>
        <v>物理攻撃力：4
物理防御力：2
ダメージを与えるアーマー</v>
      </c>
      <c r="E32" s="333" t="s">
        <v>5124</v>
      </c>
      <c r="F32" s="161" t="s">
        <v>5125</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perforante")</f>
        <v>Casco perforante</v>
      </c>
      <c r="J32" s="162" t="str">
        <f>IFERROR(__xludf.DUMMYFUNCTION("GOOGLETRANSLATE(B32,""zh-tw"",""es-MX"")"),"Ataque físico: 4
Defensa física: 2
Armadura que inflige daño")</f>
        <v>Ataque físico: 4
Defensa física: 2
Armadura que inflige daño</v>
      </c>
      <c r="K32" s="333" t="s">
        <v>5126</v>
      </c>
      <c r="L32" s="161" t="s">
        <v>5127</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5128</v>
      </c>
      <c r="P32" s="317" t="s">
        <v>5129</v>
      </c>
      <c r="Q32" s="337" t="s">
        <v>5130</v>
      </c>
      <c r="R32" s="338" t="s">
        <v>5131</v>
      </c>
      <c r="S32" s="17"/>
      <c r="T32" s="17"/>
      <c r="U32" s="17"/>
      <c r="V32" s="17"/>
      <c r="W32" s="17"/>
      <c r="X32" s="17"/>
      <c r="Y32" s="17"/>
      <c r="Z32" s="17"/>
    </row>
    <row r="33">
      <c r="A33" s="334" t="s">
        <v>5132</v>
      </c>
      <c r="B33" s="317" t="s">
        <v>5133</v>
      </c>
      <c r="C33" s="346" t="s">
        <v>5134</v>
      </c>
      <c r="D33" s="347" t="str">
        <f>IFERROR(__xludf.DUMMYFUNCTION("GOOGLETRANSLATE(B33,""zh-tw"",""ja"")"),"物理攻撃: 2 物理防御: 2 ダメージを与えるアーマー")</f>
        <v>物理攻撃: 2 物理防御: 2 ダメージを与えるアーマー</v>
      </c>
      <c r="E33" s="333" t="s">
        <v>5135</v>
      </c>
      <c r="F33" s="161" t="s">
        <v>5136</v>
      </c>
      <c r="G33" s="335" t="str">
        <f>IFERROR(__xludf.DUMMYFUNCTION("GOOGLETRANSLATE(A33,""zh-tw"",""zh"")"),"穿刺钉鞋")</f>
        <v>穿刺钉鞋</v>
      </c>
      <c r="H33" s="162" t="str">
        <f>IFERROR(__xludf.DUMMYFUNCTION("GOOGLETRANSLATE(B33,""zh-tw"",""zh"")"),"物攻：2
物防：2
伤害型防具")</f>
        <v>物攻：2
物防：2
伤害型防具</v>
      </c>
      <c r="I33" s="333" t="s">
        <v>5137</v>
      </c>
      <c r="J33" s="162" t="str">
        <f>IFERROR(__xludf.DUMMYFUNCTION("GOOGLETRANSLATE(B33,""zh-tw"",""es-MX"")"),"Ataque físico: 2 Defensa física: 2 Armadura que inflige daño")</f>
        <v>Ataque físico: 2 Defensa física: 2 Armadura que inflige daño</v>
      </c>
      <c r="K33" s="333" t="s">
        <v>5138</v>
      </c>
      <c r="L33" s="161" t="s">
        <v>5139</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5140</v>
      </c>
      <c r="P33" s="317" t="s">
        <v>5141</v>
      </c>
      <c r="Q33" s="337" t="s">
        <v>5142</v>
      </c>
      <c r="R33" s="338" t="s">
        <v>5143</v>
      </c>
      <c r="S33" s="17"/>
      <c r="T33" s="17"/>
      <c r="U33" s="17"/>
      <c r="V33" s="17"/>
      <c r="W33" s="17"/>
      <c r="X33" s="17"/>
      <c r="Y33" s="17"/>
      <c r="Z33" s="17"/>
    </row>
    <row r="34">
      <c r="A34" s="334" t="s">
        <v>5144</v>
      </c>
      <c r="B34" s="317" t="s">
        <v>5145</v>
      </c>
      <c r="C34" s="346" t="s">
        <v>5146</v>
      </c>
      <c r="D34" s="347" t="str">
        <f>IFERROR(__xludf.DUMMYFUNCTION("GOOGLETRANSLATE(B34,""zh-tw"",""ja"")"),"物理攻撃力：5
物理防御力：1
ダメージを与えるアーマー")</f>
        <v>物理攻撃力：5
物理防御力：1
ダメージを与えるアーマー</v>
      </c>
      <c r="E34" s="333" t="s">
        <v>5147</v>
      </c>
      <c r="F34" s="161" t="s">
        <v>5148</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5149</v>
      </c>
      <c r="L34" s="161" t="s">
        <v>5150</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5151</v>
      </c>
      <c r="P34" s="317" t="s">
        <v>5152</v>
      </c>
      <c r="Q34" s="337" t="s">
        <v>5153</v>
      </c>
      <c r="R34" s="338" t="s">
        <v>5154</v>
      </c>
      <c r="S34" s="17"/>
      <c r="T34" s="17"/>
      <c r="U34" s="17"/>
      <c r="V34" s="17"/>
      <c r="W34" s="17"/>
      <c r="X34" s="17"/>
      <c r="Y34" s="17"/>
      <c r="Z34" s="17"/>
    </row>
    <row r="35">
      <c r="A35" s="334" t="s">
        <v>5155</v>
      </c>
      <c r="B35" s="317" t="s">
        <v>5156</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5157</v>
      </c>
      <c r="F35" s="161" t="s">
        <v>5158</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Un PS bajo aumenta la defensa.")</f>
        <v>Defensa física: 5
Resistencia mágica: 2
Un PS bajo aumenta la defensa.</v>
      </c>
      <c r="K35" s="333" t="s">
        <v>5159</v>
      </c>
      <c r="L35" s="161" t="s">
        <v>5160</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5161</v>
      </c>
      <c r="P35" s="317" t="s">
        <v>5162</v>
      </c>
      <c r="Q35" s="337" t="s">
        <v>5163</v>
      </c>
      <c r="R35" s="323" t="s">
        <v>5164</v>
      </c>
      <c r="S35" s="17"/>
      <c r="T35" s="17"/>
      <c r="U35" s="17"/>
      <c r="V35" s="17"/>
      <c r="W35" s="17"/>
      <c r="X35" s="17"/>
      <c r="Y35" s="17"/>
      <c r="Z35" s="17"/>
    </row>
    <row r="36">
      <c r="A36" s="334" t="s">
        <v>5165</v>
      </c>
      <c r="B36" s="317" t="s">
        <v>5166</v>
      </c>
      <c r="C36" s="346" t="s">
        <v>5167</v>
      </c>
      <c r="D36" s="347" t="str">
        <f>IFERROR(__xludf.DUMMYFUNCTION("GOOGLETRANSLATE(B36,""zh-tw"",""ja"")"),"物理攻撃：3 物理防御：3 HPが少ないときに攻撃力と防御力が上昇します。")</f>
        <v>物理攻撃：3 物理防御：3 HPが少ないときに攻撃力と防御力が上昇します。</v>
      </c>
      <c r="E36" s="333" t="s">
        <v>5168</v>
      </c>
      <c r="F36" s="161" t="s">
        <v>5169</v>
      </c>
      <c r="G36" s="335" t="str">
        <f>IFERROR(__xludf.DUMMYFUNCTION("GOOGLETRANSLATE(A36,""zh-tw"",""zh"")"),"骑士护臂")</f>
        <v>骑士护臂</v>
      </c>
      <c r="H36" s="162" t="str">
        <f>IFERROR(__xludf.DUMMYFUNCTION("GOOGLETRANSLATE(B36,""zh-tw"",""zh"")"),"物攻：3
物防：3
低体力加攻击、防御")</f>
        <v>物攻：3
物防：3
低体力加攻击、防御</v>
      </c>
      <c r="I36" s="333" t="s">
        <v>5170</v>
      </c>
      <c r="J36" s="162" t="str">
        <f>IFERROR(__xludf.DUMMYFUNCTION("GOOGLETRANSLATE(B36,""zh-tw"",""es-MX"")"),"Ataque físico: 3 Defensa física: 3 Aumenta el ataque y la defensa cuando los HP son bajos.")</f>
        <v>Ataque físico: 3 Defensa física: 3 Aumenta el ataque y la defensa cuando los HP son bajos.</v>
      </c>
      <c r="K36" s="334" t="s">
        <v>5171</v>
      </c>
      <c r="L36" s="161" t="s">
        <v>5172</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5173</v>
      </c>
      <c r="P36" s="317" t="s">
        <v>5174</v>
      </c>
      <c r="Q36" s="337" t="s">
        <v>5175</v>
      </c>
      <c r="R36" s="186" t="s">
        <v>5176</v>
      </c>
      <c r="S36" s="17"/>
      <c r="T36" s="17"/>
      <c r="U36" s="17"/>
      <c r="V36" s="17"/>
      <c r="W36" s="17"/>
      <c r="X36" s="17"/>
      <c r="Y36" s="17"/>
      <c r="Z36" s="17"/>
    </row>
    <row r="37">
      <c r="A37" s="334" t="s">
        <v>5177</v>
      </c>
      <c r="B37" s="317" t="s">
        <v>5178</v>
      </c>
      <c r="C37" s="346" t="s">
        <v>5179</v>
      </c>
      <c r="D37" s="347" t="str">
        <f>IFERROR(__xludf.DUMMYFUNCTION("GOOGLETRANSLATE(B37,""zh-tw"",""ja"")"),"物理防御力：2
魔法耐性：2
スタミナ低下、移動速度上昇")</f>
        <v>物理防御力：2
魔法耐性：2
スタミナ低下、移動速度上昇</v>
      </c>
      <c r="E37" s="333" t="s">
        <v>5180</v>
      </c>
      <c r="F37" s="161" t="s">
        <v>5181</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5182</v>
      </c>
      <c r="L37" s="161" t="s">
        <v>5183</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5184</v>
      </c>
      <c r="P37" s="317" t="s">
        <v>5185</v>
      </c>
      <c r="Q37" s="337" t="s">
        <v>5186</v>
      </c>
      <c r="R37" s="323" t="s">
        <v>5187</v>
      </c>
      <c r="S37" s="17"/>
      <c r="T37" s="17"/>
      <c r="U37" s="17"/>
      <c r="V37" s="17"/>
      <c r="W37" s="17"/>
      <c r="X37" s="17"/>
      <c r="Y37" s="17"/>
      <c r="Z37" s="17"/>
    </row>
    <row r="38">
      <c r="A38" s="334" t="s">
        <v>5188</v>
      </c>
      <c r="B38" s="317" t="s">
        <v>5189</v>
      </c>
      <c r="C38" s="348" t="str">
        <f>IFERROR(__xludf.DUMMYFUNCTION("GOOGLETRANSLATE(A38,""zh-tw"",""ja"")"),"騎士の鎧")</f>
        <v>騎士の鎧</v>
      </c>
      <c r="D38" s="347" t="str">
        <f>IFERROR(__xludf.DUMMYFUNCTION("GOOGLETRANSLATE(B38,""zh-tw"",""ja"")"),"物理防御力：10
魔法耐性：4
HPが低いと防御力が上昇")</f>
        <v>物理防御力：10
魔法耐性：4
HPが低いと防御力が上昇</v>
      </c>
      <c r="E38" s="333" t="s">
        <v>5190</v>
      </c>
      <c r="F38" s="161" t="s">
        <v>5191</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Un nivel bajo de PS aumenta la defensa.")</f>
        <v>Defensa física: 10
Resistencia mágica: 4
Un nivel bajo de PS aumenta la defensa.</v>
      </c>
      <c r="K38" s="333" t="s">
        <v>5192</v>
      </c>
      <c r="L38" s="161" t="s">
        <v>5193</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4" t="s">
        <v>5194</v>
      </c>
      <c r="P38" s="317" t="s">
        <v>5195</v>
      </c>
      <c r="Q38" s="337" t="s">
        <v>5196</v>
      </c>
      <c r="R38" s="323" t="s">
        <v>5197</v>
      </c>
      <c r="S38" s="17"/>
      <c r="T38" s="17"/>
      <c r="U38" s="17"/>
      <c r="V38" s="17"/>
      <c r="W38" s="17"/>
      <c r="X38" s="17"/>
      <c r="Y38" s="17"/>
      <c r="Z38" s="17"/>
    </row>
    <row r="39">
      <c r="A39" s="339" t="s">
        <v>5198</v>
      </c>
      <c r="B39" s="161" t="s">
        <v>5199</v>
      </c>
      <c r="C39" s="346" t="s">
        <v>5200</v>
      </c>
      <c r="D39" s="185" t="s">
        <v>5201</v>
      </c>
      <c r="E39" s="333" t="s">
        <v>5202</v>
      </c>
      <c r="F39" s="161" t="s">
        <v>5203</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Apuntado automático")</f>
        <v>Ataque físico: 2
Ataque mágico: 10
Resistencia mágica: 20
Apuntado automático</v>
      </c>
      <c r="K39" s="335" t="str">
        <f>IFERROR(__xludf.DUMMYFUNCTION("GOOGLETRANSLATE(A39,""zh-tw"",""KO"")"),"타락한 마법사의 장갑")</f>
        <v>타락한 마법사의 장갑</v>
      </c>
      <c r="L39" s="161" t="s">
        <v>5204</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5205</v>
      </c>
      <c r="P39" s="317" t="s">
        <v>5206</v>
      </c>
      <c r="Q39" s="337" t="s">
        <v>5207</v>
      </c>
      <c r="R39" s="325" t="s">
        <v>5208</v>
      </c>
      <c r="S39" s="17"/>
      <c r="T39" s="17"/>
      <c r="U39" s="17"/>
      <c r="V39" s="17"/>
      <c r="W39" s="17"/>
      <c r="X39" s="17"/>
      <c r="Y39" s="17"/>
      <c r="Z39" s="17"/>
    </row>
    <row r="40">
      <c r="A40" s="333" t="s">
        <v>5209</v>
      </c>
      <c r="B40" s="161" t="s">
        <v>5210</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5211</v>
      </c>
      <c r="F40" s="161" t="s">
        <v>5212</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5213</v>
      </c>
      <c r="L40" s="161" t="s">
        <v>5214</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5215</v>
      </c>
      <c r="P40" s="317" t="s">
        <v>5216</v>
      </c>
      <c r="Q40" s="337" t="s">
        <v>5217</v>
      </c>
      <c r="R40" s="338" t="s">
        <v>5218</v>
      </c>
      <c r="S40" s="17"/>
      <c r="T40" s="17"/>
      <c r="U40" s="17"/>
      <c r="V40" s="17"/>
      <c r="W40" s="17"/>
      <c r="X40" s="17"/>
      <c r="Y40" s="17"/>
      <c r="Z40" s="17"/>
    </row>
    <row r="41">
      <c r="A41" s="333" t="s">
        <v>5219</v>
      </c>
      <c r="B41" s="161" t="s">
        <v>5220</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5221</v>
      </c>
      <c r="F41" s="161" t="s">
        <v>5222</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Flash Step congela objetos en un estado de estancamiento.")</f>
        <v>Ataque mágico: 10 Defensa física: 1 Resistencia mágica: 35 Flash Step congela objetos en un estado de estancamiento.</v>
      </c>
      <c r="K41" s="333" t="s">
        <v>5223</v>
      </c>
      <c r="L41" s="161" t="s">
        <v>5224</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5225</v>
      </c>
      <c r="P41" s="317" t="s">
        <v>5226</v>
      </c>
      <c r="Q41" s="337" t="s">
        <v>5227</v>
      </c>
      <c r="R41" s="338" t="s">
        <v>5228</v>
      </c>
      <c r="S41" s="17"/>
      <c r="T41" s="17"/>
      <c r="U41" s="17"/>
      <c r="V41" s="17"/>
      <c r="W41" s="17"/>
      <c r="X41" s="17"/>
      <c r="Y41" s="17"/>
      <c r="Z41" s="17"/>
    </row>
    <row r="42">
      <c r="A42" s="339" t="s">
        <v>5229</v>
      </c>
      <c r="B42" s="161" t="s">
        <v>5230</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5231</v>
      </c>
      <c r="F42" s="161" t="s">
        <v>5232</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ligeros pasos del mago caído")</f>
        <v>Los ligeros pasos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5233</v>
      </c>
      <c r="L42" s="161" t="s">
        <v>5234</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5235</v>
      </c>
      <c r="P42" s="317" t="s">
        <v>5236</v>
      </c>
      <c r="Q42" s="337" t="s">
        <v>5237</v>
      </c>
      <c r="R42" s="323" t="s">
        <v>5238</v>
      </c>
      <c r="S42" s="17"/>
      <c r="T42" s="17"/>
      <c r="U42" s="17"/>
      <c r="V42" s="17"/>
      <c r="W42" s="17"/>
      <c r="X42" s="17"/>
      <c r="Y42" s="17"/>
      <c r="Z42" s="17"/>
    </row>
    <row r="43">
      <c r="A43" s="333" t="s">
        <v>5239</v>
      </c>
      <c r="B43" s="161" t="s">
        <v>5240</v>
      </c>
      <c r="C43" s="346" t="s">
        <v>5241</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5242</v>
      </c>
      <c r="F43" s="161" t="s">
        <v>5243</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5244</v>
      </c>
      <c r="L43" s="161" t="s">
        <v>5245</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5246</v>
      </c>
      <c r="P43" s="317" t="s">
        <v>5247</v>
      </c>
      <c r="Q43" s="337" t="s">
        <v>5248</v>
      </c>
      <c r="R43" s="323" t="s">
        <v>5249</v>
      </c>
      <c r="S43" s="17"/>
      <c r="T43" s="17"/>
      <c r="U43" s="17"/>
      <c r="V43" s="17"/>
      <c r="W43" s="17"/>
      <c r="X43" s="17"/>
      <c r="Y43" s="17"/>
      <c r="Z43" s="17"/>
    </row>
    <row r="44">
      <c r="A44" s="333" t="s">
        <v>5250</v>
      </c>
      <c r="B44" s="161" t="s">
        <v>5251</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5252</v>
      </c>
      <c r="F44" s="161" t="s">
        <v>5253</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niebla nocturna")</f>
        <v>Fantasma de niebla nocturna</v>
      </c>
      <c r="J44" s="162"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33" t="s">
        <v>5254</v>
      </c>
      <c r="L44" s="161" t="s">
        <v>5255</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5256</v>
      </c>
      <c r="P44" s="317" t="s">
        <v>5257</v>
      </c>
      <c r="Q44" s="337" t="s">
        <v>5258</v>
      </c>
      <c r="R44" s="338" t="s">
        <v>5259</v>
      </c>
      <c r="S44" s="17"/>
      <c r="T44" s="17"/>
      <c r="U44" s="17"/>
      <c r="V44" s="17"/>
      <c r="W44" s="17"/>
      <c r="X44" s="17"/>
      <c r="Y44" s="17"/>
      <c r="Z44" s="17"/>
    </row>
    <row r="45">
      <c r="A45" s="333" t="s">
        <v>5260</v>
      </c>
      <c r="B45" s="161" t="s">
        <v>5261</v>
      </c>
      <c r="C45" s="346" t="s">
        <v>5262</v>
      </c>
      <c r="D45" s="185" t="s">
        <v>5263</v>
      </c>
      <c r="E45" s="333" t="s">
        <v>5264</v>
      </c>
      <c r="F45" s="161" t="s">
        <v>5265</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5266</v>
      </c>
      <c r="L45" s="161" t="s">
        <v>5267</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5268</v>
      </c>
      <c r="P45" s="317" t="s">
        <v>5269</v>
      </c>
      <c r="Q45" s="337" t="s">
        <v>5270</v>
      </c>
      <c r="R45" s="338" t="s">
        <v>5271</v>
      </c>
      <c r="S45" s="17"/>
      <c r="T45" s="17"/>
      <c r="U45" s="17"/>
      <c r="V45" s="17"/>
      <c r="W45" s="17"/>
      <c r="X45" s="17"/>
      <c r="Y45" s="17"/>
      <c r="Z45" s="17"/>
    </row>
    <row r="46">
      <c r="A46" s="334" t="s">
        <v>5272</v>
      </c>
      <c r="B46" s="317" t="s">
        <v>5273</v>
      </c>
      <c r="C46" s="346" t="s">
        <v>5274</v>
      </c>
      <c r="D46" s="185" t="s">
        <v>5275</v>
      </c>
      <c r="E46" s="333" t="s">
        <v>5276</v>
      </c>
      <c r="F46" s="161" t="s">
        <v>5277</v>
      </c>
      <c r="G46" s="335" t="str">
        <f>IFERROR(__xludf.DUMMYFUNCTION("GOOGLETRANSLATE(A46,""zh-tw"",""zh"")"),"晴天娃娃")</f>
        <v>晴天娃娃</v>
      </c>
      <c r="H46" s="162" t="str">
        <f>IFERROR(__xludf.DUMMYFUNCTION("GOOGLETRANSLATE(B46,""zh-tw"",""zh"")"),"魔抗：10
幸运：10
第二天晴天")</f>
        <v>魔抗：10
幸运：10
第二天晴天</v>
      </c>
      <c r="I46" s="333" t="s">
        <v>5276</v>
      </c>
      <c r="J46" s="162" t="str">
        <f>IFERROR(__xludf.DUMMYFUNCTION("GOOGLETRANSLATE(B46,""zh-tw"",""es-MX"")"),"Resistencia mágica: 10
Suerte: 10
Día soleado al día siguiente")</f>
        <v>Resistencia mágica: 10
Suerte: 10
Día soleado al día siguiente</v>
      </c>
      <c r="K46" s="333" t="s">
        <v>5278</v>
      </c>
      <c r="L46" s="161" t="s">
        <v>5279</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5280</v>
      </c>
      <c r="P46" s="317" t="s">
        <v>5281</v>
      </c>
      <c r="Q46" s="349" t="s">
        <v>5282</v>
      </c>
      <c r="R46" s="338" t="s">
        <v>5283</v>
      </c>
      <c r="S46" s="17"/>
      <c r="T46" s="17"/>
      <c r="U46" s="17"/>
      <c r="V46" s="17"/>
      <c r="W46" s="17"/>
      <c r="X46" s="17"/>
      <c r="Y46" s="17"/>
      <c r="Z46" s="17"/>
    </row>
    <row r="47">
      <c r="A47" s="334" t="s">
        <v>5284</v>
      </c>
      <c r="B47" s="317" t="s">
        <v>5285</v>
      </c>
      <c r="C47" s="346" t="s">
        <v>5286</v>
      </c>
      <c r="D47" s="185" t="s">
        <v>5287</v>
      </c>
      <c r="E47" s="333" t="s">
        <v>5288</v>
      </c>
      <c r="F47" s="161" t="s">
        <v>5289</v>
      </c>
      <c r="G47" s="335" t="str">
        <f>IFERROR(__xludf.DUMMYFUNCTION("GOOGLETRANSLATE(A47,""zh-tw"",""zh"")"),"阴天娃娃")</f>
        <v>阴天娃娃</v>
      </c>
      <c r="H47" s="162" t="str">
        <f>IFERROR(__xludf.DUMMYFUNCTION("GOOGLETRANSLATE(B47,""zh-tw"",""zh"")"),"魔抗：10
幸运：10
第二天阴天")</f>
        <v>魔抗：10
幸运：10
第二天阴天</v>
      </c>
      <c r="I47" s="333" t="s">
        <v>5288</v>
      </c>
      <c r="J47" s="162" t="str">
        <f>IFERROR(__xludf.DUMMYFUNCTION("GOOGLETRANSLATE(B47,""zh-tw"",""es-MX"")"),"Resistencia Mágica: 10
Suerte: 10
El segundo día estuvo nublado.")</f>
        <v>Resistencia Mágica: 10
Suerte: 10
El segundo día estuvo nublado.</v>
      </c>
      <c r="K47" s="334" t="s">
        <v>5290</v>
      </c>
      <c r="L47" s="161" t="s">
        <v>5291</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5292</v>
      </c>
      <c r="P47" s="317" t="s">
        <v>5293</v>
      </c>
      <c r="Q47" s="349" t="s">
        <v>5294</v>
      </c>
      <c r="R47" s="338" t="s">
        <v>5295</v>
      </c>
      <c r="S47" s="17"/>
      <c r="T47" s="17"/>
      <c r="U47" s="17"/>
      <c r="V47" s="17"/>
      <c r="W47" s="17"/>
      <c r="X47" s="17"/>
      <c r="Y47" s="17"/>
      <c r="Z47" s="17"/>
    </row>
    <row r="48">
      <c r="A48" s="334" t="s">
        <v>5296</v>
      </c>
      <c r="B48" s="317" t="s">
        <v>5297</v>
      </c>
      <c r="C48" s="346" t="s">
        <v>5298</v>
      </c>
      <c r="D48" s="185" t="s">
        <v>5299</v>
      </c>
      <c r="E48" s="333" t="s">
        <v>5300</v>
      </c>
      <c r="F48" s="161" t="s">
        <v>5301</v>
      </c>
      <c r="G48" s="335" t="str">
        <f>IFERROR(__xludf.DUMMYFUNCTION("GOOGLETRANSLATE(A48,""zh-tw"",""zh"")"),"雨天娃娃")</f>
        <v>雨天娃娃</v>
      </c>
      <c r="H48" s="162" t="str">
        <f>IFERROR(__xludf.DUMMYFUNCTION("GOOGLETRANSLATE(B48,""zh-tw"",""zh"")"),"魔抗：10
幸运：10
第二天雨天")</f>
        <v>魔抗：10
幸运：10
第二天雨天</v>
      </c>
      <c r="I48" s="333" t="s">
        <v>5300</v>
      </c>
      <c r="J48" s="162" t="str">
        <f>IFERROR(__xludf.DUMMYFUNCTION("GOOGLETRANSLATE(B48,""zh-tw"",""es-MX"")"),"Resistencia Mágica: 10
Suerte: 10
El día siguiente llovió.")</f>
        <v>Resistencia Mágica: 10
Suerte: 10
El día siguiente llovió.</v>
      </c>
      <c r="K48" s="333" t="s">
        <v>5302</v>
      </c>
      <c r="L48" s="161" t="s">
        <v>5303</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5304</v>
      </c>
      <c r="P48" s="317" t="s">
        <v>5305</v>
      </c>
      <c r="Q48" s="349" t="s">
        <v>5306</v>
      </c>
      <c r="R48" s="338" t="s">
        <v>5307</v>
      </c>
      <c r="S48" s="17"/>
      <c r="T48" s="17"/>
      <c r="U48" s="17"/>
      <c r="V48" s="17"/>
      <c r="W48" s="17"/>
      <c r="X48" s="17"/>
      <c r="Y48" s="17"/>
      <c r="Z48" s="17"/>
    </row>
    <row r="49">
      <c r="A49" s="333" t="s">
        <v>5308</v>
      </c>
      <c r="B49" s="161" t="s">
        <v>5309</v>
      </c>
      <c r="C49" s="346" t="s">
        <v>5308</v>
      </c>
      <c r="D49" s="347" t="str">
        <f>IFERROR(__xludf.DUMMYFUNCTION("GOOGLETRANSLATE(B49,""zh-tw"",""ja"")"),"物理防御力：1
魔法耐性：10
幸運：5
最大HPを増加")</f>
        <v>物理防御力：1
魔法耐性：10
幸運：5
最大HPを増加</v>
      </c>
      <c r="E49" s="333" t="s">
        <v>5310</v>
      </c>
      <c r="F49" s="161" t="s">
        <v>5311</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5312</v>
      </c>
      <c r="L49" s="161" t="s">
        <v>5313</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5314</v>
      </c>
      <c r="P49" s="317" t="s">
        <v>5315</v>
      </c>
      <c r="Q49" s="337" t="s">
        <v>5316</v>
      </c>
      <c r="R49" s="338" t="s">
        <v>5317</v>
      </c>
      <c r="S49" s="17"/>
      <c r="T49" s="17"/>
      <c r="U49" s="17"/>
      <c r="V49" s="17"/>
      <c r="W49" s="17"/>
      <c r="X49" s="17"/>
      <c r="Y49" s="17"/>
      <c r="Z49" s="17"/>
    </row>
    <row r="50">
      <c r="A50" s="333" t="s">
        <v>4255</v>
      </c>
      <c r="B50" s="161" t="s">
        <v>5318</v>
      </c>
      <c r="C50" s="346" t="s">
        <v>4257</v>
      </c>
      <c r="D50" s="347" t="str">
        <f>IFERROR(__xludf.DUMMYFUNCTION("GOOGLETRANSLATE(B50,""zh-tw"",""ja"")"),"魔法耐性: 30 回復不能、7秒間無敵")</f>
        <v>魔法耐性: 30 回復不能、7秒間無敵</v>
      </c>
      <c r="E50" s="333" t="s">
        <v>4259</v>
      </c>
      <c r="F50" s="161" t="s">
        <v>5319</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4261</v>
      </c>
      <c r="L50" s="161" t="s">
        <v>5320</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4263</v>
      </c>
      <c r="P50" s="317" t="s">
        <v>5321</v>
      </c>
      <c r="Q50" s="337" t="s">
        <v>4265</v>
      </c>
      <c r="R50" s="338" t="s">
        <v>5322</v>
      </c>
      <c r="S50" s="17"/>
      <c r="T50" s="17"/>
      <c r="U50" s="17"/>
      <c r="V50" s="17"/>
      <c r="W50" s="17"/>
      <c r="X50" s="17"/>
      <c r="Y50" s="17"/>
      <c r="Z50" s="17"/>
    </row>
    <row r="51">
      <c r="A51" s="333" t="s">
        <v>5323</v>
      </c>
      <c r="B51" s="161" t="s">
        <v>5324</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5325</v>
      </c>
      <c r="F51" s="161" t="s">
        <v>5326</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(Evolucionar con 1 Millón), Frágil")</f>
        <v>Suerte: 40 Encontrar Dinero (Evolucionar con 1 Millón), Frágil</v>
      </c>
      <c r="K51" s="335" t="str">
        <f>IFERROR(__xludf.DUMMYFUNCTION("GOOGLETRANSLATE(A51,""zh-tw"",""KO"")"),"돼지 저금통")</f>
        <v>돼지 저금통</v>
      </c>
      <c r="L51" s="161" t="s">
        <v>5327</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5328</v>
      </c>
      <c r="P51" s="317" t="s">
        <v>5329</v>
      </c>
      <c r="Q51" s="337" t="s">
        <v>5330</v>
      </c>
      <c r="R51" s="338" t="s">
        <v>5331</v>
      </c>
      <c r="S51" s="17"/>
      <c r="T51" s="17"/>
      <c r="U51" s="17"/>
      <c r="V51" s="17"/>
      <c r="W51" s="17"/>
      <c r="X51" s="17"/>
      <c r="Y51" s="17"/>
      <c r="Z51" s="17"/>
    </row>
    <row r="52">
      <c r="A52" s="333" t="s">
        <v>5332</v>
      </c>
      <c r="B52" s="161" t="s">
        <v>5333</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5334</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35" t="str">
        <f>IFERROR(__xludf.DUMMYFUNCTION("GOOGLETRANSLATE(A52,""zh-tw"",""KO"")"),"탐욕스러운 돼지 저금통")</f>
        <v>탐욕스러운 돼지 저금통</v>
      </c>
      <c r="L52" s="161" t="s">
        <v>5335</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5336</v>
      </c>
      <c r="P52" s="317" t="s">
        <v>5337</v>
      </c>
      <c r="Q52" s="337" t="s">
        <v>5338</v>
      </c>
      <c r="R52" s="338" t="s">
        <v>5339</v>
      </c>
      <c r="S52" s="17"/>
      <c r="T52" s="17"/>
      <c r="U52" s="17"/>
      <c r="V52" s="17"/>
      <c r="W52" s="17"/>
      <c r="X52" s="17"/>
      <c r="Y52" s="17"/>
      <c r="Z52" s="17"/>
    </row>
    <row r="53">
      <c r="A53" s="333" t="s">
        <v>5340</v>
      </c>
      <c r="B53" s="161" t="s">
        <v>5341</v>
      </c>
      <c r="C53" s="346" t="s">
        <v>5342</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5343</v>
      </c>
      <c r="F53" s="161" t="s">
        <v>5344</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35" t="str">
        <f>IFERROR(__xludf.DUMMYFUNCTION("GOOGLETRANSLATE(A53,""zh-tw"",""KO"")"),"왕령")</f>
        <v>왕령</v>
      </c>
      <c r="L53" s="161" t="s">
        <v>5345</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5346</v>
      </c>
      <c r="P53" s="317" t="s">
        <v>5347</v>
      </c>
      <c r="Q53" s="337" t="s">
        <v>5348</v>
      </c>
      <c r="R53" s="164" t="s">
        <v>5349</v>
      </c>
      <c r="S53" s="17"/>
      <c r="T53" s="17"/>
      <c r="U53" s="17"/>
      <c r="V53" s="17"/>
      <c r="W53" s="17"/>
      <c r="X53" s="17"/>
      <c r="Y53" s="17"/>
      <c r="Z53" s="17"/>
    </row>
    <row r="54">
      <c r="A54" s="333" t="s">
        <v>5350</v>
      </c>
      <c r="B54" s="161" t="s">
        <v>5351</v>
      </c>
      <c r="C54" s="346" t="s">
        <v>5352</v>
      </c>
      <c r="D54" s="161" t="s">
        <v>5353</v>
      </c>
      <c r="E54" s="333" t="s">
        <v>5354</v>
      </c>
      <c r="F54" s="161" t="s">
        <v>5355</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5356</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5357</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5358</v>
      </c>
      <c r="P54" s="317" t="s">
        <v>5359</v>
      </c>
      <c r="Q54" s="337" t="s">
        <v>5360</v>
      </c>
      <c r="R54" s="338" t="s">
        <v>5361</v>
      </c>
      <c r="S54" s="17"/>
      <c r="T54" s="17"/>
      <c r="U54" s="17"/>
      <c r="V54" s="17"/>
      <c r="W54" s="17"/>
      <c r="X54" s="17"/>
      <c r="Y54" s="17"/>
      <c r="Z54" s="17"/>
    </row>
    <row r="55">
      <c r="A55" s="333" t="s">
        <v>4293</v>
      </c>
      <c r="B55" s="161" t="s">
        <v>5362</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4297</v>
      </c>
      <c r="F55" s="161" t="s">
        <v>5363</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4298</v>
      </c>
      <c r="L55" s="161" t="s">
        <v>5364</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4300</v>
      </c>
      <c r="P55" s="317" t="s">
        <v>5365</v>
      </c>
      <c r="Q55" s="337" t="s">
        <v>5366</v>
      </c>
      <c r="R55" s="338" t="s">
        <v>5367</v>
      </c>
      <c r="S55" s="17"/>
      <c r="T55" s="17"/>
      <c r="U55" s="17"/>
      <c r="V55" s="17"/>
      <c r="W55" s="17"/>
      <c r="X55" s="17"/>
      <c r="Y55" s="17"/>
      <c r="Z55" s="17"/>
    </row>
    <row r="56">
      <c r="A56" s="333" t="s">
        <v>5368</v>
      </c>
      <c r="B56" s="317" t="s">
        <v>5369</v>
      </c>
      <c r="C56" s="346" t="s">
        <v>5370</v>
      </c>
      <c r="D56" s="185" t="s">
        <v>5371</v>
      </c>
      <c r="E56" s="333" t="s">
        <v>5372</v>
      </c>
      <c r="F56" s="161" t="s">
        <v>5373</v>
      </c>
      <c r="G56" s="335" t="str">
        <f>IFERROR(__xludf.DUMMYFUNCTION("GOOGLETRANSLATE(A56,""zh-tw"",""zh"")"),"炎天娃娃")</f>
        <v>炎天娃娃</v>
      </c>
      <c r="H56" s="162" t="str">
        <f>IFERROR(__xludf.DUMMYFUNCTION("GOOGLETRANSLATE(B56,""zh-tw"",""zh"")"),"魔抗：10
幸运：10
第二天炎热")</f>
        <v>魔抗：10
幸运：10
第二天炎热</v>
      </c>
      <c r="I56" s="333" t="s">
        <v>5372</v>
      </c>
      <c r="J56" s="162" t="str">
        <f>IFERROR(__xludf.DUMMYFUNCTION("GOOGLETRANSLATE(B56,""zh-tw"",""es-MX"")"),"Resistencia Mágica: 10
Suerte: 10
El día siguiente hizo calor.")</f>
        <v>Resistencia Mágica: 10
Suerte: 10
El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5374</v>
      </c>
      <c r="P56" s="317" t="s">
        <v>5375</v>
      </c>
      <c r="Q56" s="349" t="s">
        <v>5376</v>
      </c>
      <c r="R56" s="338" t="s">
        <v>5377</v>
      </c>
      <c r="S56" s="17"/>
      <c r="T56" s="17"/>
      <c r="U56" s="17"/>
      <c r="V56" s="17"/>
      <c r="W56" s="17"/>
      <c r="X56" s="17"/>
      <c r="Y56" s="17"/>
      <c r="Z56" s="17"/>
    </row>
    <row r="57">
      <c r="A57" s="333" t="s">
        <v>5378</v>
      </c>
      <c r="B57" s="161" t="s">
        <v>5379</v>
      </c>
      <c r="C57" s="346" t="s">
        <v>5380</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3" t="s">
        <v>5381</v>
      </c>
      <c r="F57" s="161" t="s">
        <v>5382</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5383</v>
      </c>
      <c r="J57" s="351" t="s">
        <v>5384</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5385</v>
      </c>
      <c r="P57" s="317" t="s">
        <v>5386</v>
      </c>
      <c r="Q57" s="337" t="s">
        <v>5387</v>
      </c>
      <c r="R57" s="338" t="s">
        <v>5388</v>
      </c>
      <c r="S57" s="17"/>
      <c r="T57" s="17"/>
      <c r="U57" s="17"/>
      <c r="V57" s="17"/>
      <c r="W57" s="17"/>
      <c r="X57" s="17"/>
      <c r="Y57" s="17"/>
      <c r="Z57" s="17"/>
    </row>
    <row r="58">
      <c r="A58" s="335" t="s">
        <v>5389</v>
      </c>
      <c r="B58" s="162" t="s">
        <v>5390</v>
      </c>
      <c r="C58" s="333" t="s">
        <v>5391</v>
      </c>
      <c r="D58" s="162" t="s">
        <v>5392</v>
      </c>
      <c r="E58" s="335" t="s">
        <v>5393</v>
      </c>
      <c r="F58" s="162" t="s">
        <v>5394</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35"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33" t="s">
        <v>5393</v>
      </c>
      <c r="P58" s="161" t="s">
        <v>5395</v>
      </c>
      <c r="Q58" s="352" t="s">
        <v>5396</v>
      </c>
      <c r="R58" s="353" t="s">
        <v>5397</v>
      </c>
      <c r="S58" s="17"/>
      <c r="T58" s="17"/>
      <c r="U58" s="17"/>
      <c r="V58" s="17"/>
      <c r="W58" s="17"/>
      <c r="X58" s="17"/>
      <c r="Y58" s="17"/>
      <c r="Z58" s="17"/>
    </row>
    <row r="59">
      <c r="A59" s="335" t="s">
        <v>5398</v>
      </c>
      <c r="B59" s="162" t="s">
        <v>5399</v>
      </c>
      <c r="C59" s="333" t="s">
        <v>4314</v>
      </c>
      <c r="D59" s="162" t="s">
        <v>5400</v>
      </c>
      <c r="E59" s="335" t="s">
        <v>5401</v>
      </c>
      <c r="F59" s="161" t="s">
        <v>5402</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5403</v>
      </c>
      <c r="P59" s="161" t="s">
        <v>5404</v>
      </c>
      <c r="Q59" s="354" t="s">
        <v>5405</v>
      </c>
      <c r="R59" s="325" t="s">
        <v>5406</v>
      </c>
      <c r="S59" s="17"/>
      <c r="T59" s="17"/>
      <c r="U59" s="17"/>
      <c r="V59" s="17"/>
      <c r="W59" s="17"/>
      <c r="X59" s="17"/>
      <c r="Y59" s="17"/>
      <c r="Z59" s="17"/>
    </row>
    <row r="60">
      <c r="A60" s="335" t="s">
        <v>5407</v>
      </c>
      <c r="B60" s="162" t="s">
        <v>5408</v>
      </c>
      <c r="C60" s="354" t="s">
        <v>5409</v>
      </c>
      <c r="D60" s="186" t="s">
        <v>5410</v>
      </c>
      <c r="E60" s="333" t="s">
        <v>5411</v>
      </c>
      <c r="F60" s="161" t="s">
        <v>5412</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IFERROR(__xludf.DUMMYFUNCTION("GOOGLETRANSLATE(A60,""zh-tw"",""es-MX"")"),"La onda de Cupido")</f>
        <v>La onda de Cupido</v>
      </c>
      <c r="J60" s="16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5413</v>
      </c>
      <c r="P60" s="161" t="s">
        <v>5414</v>
      </c>
      <c r="Q60" s="352" t="s">
        <v>5415</v>
      </c>
      <c r="R60" s="325" t="s">
        <v>5416</v>
      </c>
      <c r="S60" s="355"/>
      <c r="T60" s="355"/>
      <c r="U60" s="355"/>
      <c r="V60" s="355"/>
      <c r="W60" s="355"/>
      <c r="X60" s="355"/>
      <c r="Y60" s="355"/>
      <c r="Z60" s="355"/>
    </row>
    <row r="61">
      <c r="A61" s="333" t="s">
        <v>5417</v>
      </c>
      <c r="B61" s="161" t="s">
        <v>5418</v>
      </c>
      <c r="C61" s="346" t="s">
        <v>5419</v>
      </c>
      <c r="D61" s="185" t="s">
        <v>5420</v>
      </c>
      <c r="E61" s="333" t="s">
        <v>5421</v>
      </c>
      <c r="F61" s="161" t="s">
        <v>5422</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5423</v>
      </c>
      <c r="P61" s="161" t="s">
        <v>5424</v>
      </c>
      <c r="Q61" s="337" t="s">
        <v>5425</v>
      </c>
      <c r="R61" s="338" t="s">
        <v>5426</v>
      </c>
      <c r="S61" s="17"/>
      <c r="T61" s="17"/>
      <c r="U61" s="17"/>
      <c r="V61" s="17"/>
      <c r="W61" s="17"/>
      <c r="X61" s="17"/>
      <c r="Y61" s="17"/>
      <c r="Z61" s="17"/>
    </row>
    <row r="62">
      <c r="A62" s="339" t="s">
        <v>5427</v>
      </c>
      <c r="B62" s="161" t="s">
        <v>5428</v>
      </c>
      <c r="C62" s="339" t="s">
        <v>5429</v>
      </c>
      <c r="D62" s="161" t="s">
        <v>5430</v>
      </c>
      <c r="E62" s="339" t="s">
        <v>5431</v>
      </c>
      <c r="F62" s="161" t="s">
        <v>5432</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salamandra de fuego")</f>
        <v>Pergamino de salamandra de fuego</v>
      </c>
      <c r="J62" s="162" t="str">
        <f>IFERROR(__xludf.DUMMYFUNCTION("GOOGLETRANSLATE(B62,""zh-tw"",""es-MX"")"),"Ataque mágico: 25
Defensa mágica: 15
Elemento de fuego mejorado")</f>
        <v>Ataque mágico: 25
Defensa mágica: 15
Elemento de fuego mejorado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5433</v>
      </c>
      <c r="P62" s="161" t="s">
        <v>5434</v>
      </c>
      <c r="Q62" s="337" t="s">
        <v>5435</v>
      </c>
      <c r="R62" s="323" t="s">
        <v>5436</v>
      </c>
      <c r="S62" s="17"/>
      <c r="T62" s="17"/>
      <c r="U62" s="17"/>
      <c r="V62" s="17"/>
      <c r="W62" s="17"/>
      <c r="X62" s="17"/>
      <c r="Y62" s="17"/>
      <c r="Z62" s="17"/>
    </row>
    <row r="63">
      <c r="A63" s="339" t="s">
        <v>5437</v>
      </c>
      <c r="B63" s="322" t="s">
        <v>5438</v>
      </c>
      <c r="C63" s="346" t="s">
        <v>5439</v>
      </c>
      <c r="D63" s="185" t="s">
        <v>5440</v>
      </c>
      <c r="E63" s="339" t="s">
        <v>5441</v>
      </c>
      <c r="F63" s="322" t="s">
        <v>5442</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5443</v>
      </c>
      <c r="P63" s="162" t="s">
        <v>5444</v>
      </c>
      <c r="Q63" s="337" t="s">
        <v>5445</v>
      </c>
      <c r="R63" s="338" t="s">
        <v>5446</v>
      </c>
      <c r="S63" s="17"/>
      <c r="T63" s="17"/>
      <c r="U63" s="17"/>
      <c r="V63" s="17"/>
      <c r="W63" s="17"/>
      <c r="X63" s="17"/>
      <c r="Y63" s="17"/>
      <c r="Z63" s="17"/>
    </row>
    <row r="64">
      <c r="A64" s="333" t="s">
        <v>5447</v>
      </c>
      <c r="B64" s="161" t="s">
        <v>5448</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5449</v>
      </c>
      <c r="F64" s="161" t="s">
        <v>5450</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IFERROR(__xludf.DUMMYFUNCTION("GOOGLETRANSLATE(A64,""zh-tw"",""es-MX"")"),"Traje de cazador")</f>
        <v>Traje de cazador</v>
      </c>
      <c r="J64" s="162" t="str">
        <f>IFERROR(__xludf.DUMMYFUNCTION("GOOGLETRANSLATE(B64,""zh-tw"",""es-MX"")"),"Defensa física: 3
Resistencia mágica: 10
Recupera resistencia al estar sobre la hierba.")</f>
        <v>Defensa física: 3
Resistencia mágica: 10
Recupera resistencia al estar sobre la hierba.</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solange man auf Gras steht")</f>
        <v>Physische Verteidigung: 3
Magieresistenz: 10
Regeneriert Ausdauer, solange man auf Gras steht</v>
      </c>
      <c r="Q64" s="337" t="s">
        <v>5451</v>
      </c>
      <c r="R64" s="338" t="s">
        <v>5452</v>
      </c>
      <c r="S64" s="17"/>
      <c r="T64" s="17"/>
      <c r="U64" s="17"/>
      <c r="V64" s="17"/>
      <c r="W64" s="17"/>
      <c r="X64" s="17"/>
      <c r="Y64" s="17"/>
      <c r="Z64" s="17"/>
    </row>
    <row r="65">
      <c r="A65" s="333" t="s">
        <v>5453</v>
      </c>
      <c r="B65" s="161" t="s">
        <v>5454</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5455</v>
      </c>
      <c r="F65" s="161" t="s">
        <v>5456</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5457</v>
      </c>
      <c r="R65" s="338" t="s">
        <v>5458</v>
      </c>
      <c r="S65" s="17"/>
      <c r="T65" s="17"/>
      <c r="U65" s="17"/>
      <c r="V65" s="17"/>
      <c r="W65" s="17"/>
      <c r="X65" s="17"/>
      <c r="Y65" s="17"/>
      <c r="Z65" s="17"/>
    </row>
    <row r="66">
      <c r="A66" s="333" t="s">
        <v>5459</v>
      </c>
      <c r="B66" s="161" t="s">
        <v>5460</v>
      </c>
      <c r="C66" s="335" t="str">
        <f>IFERROR(__xludf.DUMMYFUNCTION("GOOGLETRANSLATE(A66,""zh-tw"",""ja"")"),"ハンターの短剣")</f>
        <v>ハンターの短剣</v>
      </c>
      <c r="D66" s="162" t="str">
        <f>IFERROR(__xludf.DUMMYFUNCTION("GOOGLETRANSLATE(B66,""zh-tw"",""ja"")"),"物理攻撃力: 6
幸運: 20
肉のドロップ率が2倍（魚のフライを含む）")</f>
        <v>物理攻撃力: 6
幸運: 20
肉のドロップ率が2倍（魚のフライを含む）</v>
      </c>
      <c r="E66" s="333" t="s">
        <v>5461</v>
      </c>
      <c r="F66" s="161" t="s">
        <v>5462</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5463</v>
      </c>
      <c r="R66" s="338" t="s">
        <v>5464</v>
      </c>
      <c r="S66" s="17"/>
      <c r="T66" s="17"/>
      <c r="U66" s="17"/>
      <c r="V66" s="17"/>
      <c r="W66" s="17"/>
      <c r="X66" s="17"/>
      <c r="Y66" s="17"/>
      <c r="Z66" s="17"/>
    </row>
    <row r="67">
      <c r="A67" s="333" t="s">
        <v>5465</v>
      </c>
      <c r="B67" s="161" t="s">
        <v>5466</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5467</v>
      </c>
      <c r="F67" s="161" t="s">
        <v>5468</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5469</v>
      </c>
      <c r="R67" s="338" t="s">
        <v>5470</v>
      </c>
      <c r="S67" s="17"/>
      <c r="T67" s="17"/>
      <c r="U67" s="17"/>
      <c r="V67" s="17"/>
      <c r="W67" s="17"/>
      <c r="X67" s="17"/>
      <c r="Y67" s="17"/>
      <c r="Z67" s="17"/>
    </row>
    <row r="68">
      <c r="A68" s="333" t="s">
        <v>5471</v>
      </c>
      <c r="B68" s="161" t="s">
        <v>5472</v>
      </c>
      <c r="C68" s="335" t="str">
        <f>IFERROR(__xludf.DUMMYFUNCTION("GOOGLETRANSLATE(A68,""zh-tw"",""ja"")"),"宝石の剣")</f>
        <v>宝石の剣</v>
      </c>
      <c r="D68" s="162" t="str">
        <f>IFERROR(__xludf.DUMMYFUNCTION("GOOGLETRANSLATE(B68,""zh-tw"",""ja"")"),"魔法攻撃力: 15
魔法耐性: 20
幸運: 20
攻撃力を強化するには宝石を消費します")</f>
        <v>魔法攻撃力: 15
魔法耐性: 20
幸運: 20
攻撃力を強化するには宝石を消費します</v>
      </c>
      <c r="E68" s="333" t="s">
        <v>5473</v>
      </c>
      <c r="F68" s="161" t="s">
        <v>5474</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mejorar el ataque.")</f>
        <v>Ataque mágico: 15
Resistencia mágica: 20
Suerte: 20
Consume gemas para mejorar el ataque.</v>
      </c>
      <c r="K68" s="335" t="str">
        <f>IFERROR(__xludf.DUMMYFUNCTION("GOOGLETRANSLATE(A68,""zh-tw"",""KO"")"),"보석 검")</f>
        <v>보석 검</v>
      </c>
      <c r="L68" s="162" t="str">
        <f>IFERROR(__xludf.DUMMYFUNCTION("GOOGLETRANSLATE(B68,""zh-tw"",""KO"")"),"마법 공격력: 15
마법 저항력: 20
행운: 20
보석을 소모하여 공격력을 강화하세요")</f>
        <v>마법 공격력: 15
마법 저항력: 20
행운: 20
보석을 소모하여 공격력을 강화하세요</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5475</v>
      </c>
      <c r="R68" s="338" t="s">
        <v>5476</v>
      </c>
      <c r="S68" s="17"/>
      <c r="T68" s="17"/>
      <c r="U68" s="17"/>
      <c r="V68" s="17"/>
      <c r="W68" s="17"/>
      <c r="X68" s="17"/>
      <c r="Y68" s="17"/>
      <c r="Z68" s="17"/>
    </row>
    <row r="69">
      <c r="A69" s="333" t="s">
        <v>5477</v>
      </c>
      <c r="B69" s="161" t="s">
        <v>5478</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5479</v>
      </c>
      <c r="F69" s="161" t="s">
        <v>5480</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relámpago")</f>
        <v>Ataque físico: 1
Defensa física: 2
Resistencia mágica: 45
Defensa relámpago</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5481</v>
      </c>
      <c r="R69" s="323" t="s">
        <v>5482</v>
      </c>
      <c r="S69" s="17"/>
      <c r="T69" s="17"/>
      <c r="U69" s="17"/>
      <c r="V69" s="17"/>
      <c r="W69" s="17"/>
      <c r="X69" s="17"/>
      <c r="Y69" s="17"/>
      <c r="Z69" s="17"/>
    </row>
    <row r="70">
      <c r="A70" s="333" t="s">
        <v>5483</v>
      </c>
      <c r="B70" s="161" t="s">
        <v>5484</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5485</v>
      </c>
      <c r="F70" s="161" t="s">
        <v>5486</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5487</v>
      </c>
      <c r="R70" s="323" t="s">
        <v>5488</v>
      </c>
      <c r="S70" s="17"/>
      <c r="T70" s="17"/>
      <c r="U70" s="17"/>
      <c r="V70" s="17"/>
      <c r="W70" s="17"/>
      <c r="X70" s="17"/>
      <c r="Y70" s="17"/>
      <c r="Z70" s="17"/>
    </row>
    <row r="71">
      <c r="A71" s="333" t="s">
        <v>5489</v>
      </c>
      <c r="B71" s="161" t="s">
        <v>5490</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5491</v>
      </c>
      <c r="F71" s="161" t="s">
        <v>5492</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IFERROR(__xludf.DUMMYFUNCTION("GOOGLETRANSLATE(A71,""zh-tw"",""ru"")"),"Такидзаси")</f>
        <v>Такидзаси</v>
      </c>
      <c r="N71" s="315"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5491</v>
      </c>
      <c r="R71" s="338" t="s">
        <v>5493</v>
      </c>
      <c r="S71" s="17"/>
      <c r="T71" s="17"/>
      <c r="U71" s="17"/>
      <c r="V71" s="17"/>
      <c r="W71" s="17"/>
      <c r="X71" s="17"/>
      <c r="Y71" s="17"/>
      <c r="Z71" s="17"/>
    </row>
    <row r="72">
      <c r="A72" s="333" t="s">
        <v>5494</v>
      </c>
      <c r="B72" s="161" t="s">
        <v>5495</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5496</v>
      </c>
      <c r="F72" s="161" t="s">
        <v>5497</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Consejos")</f>
        <v>Defensa física: 15
Resistencia mágica: 10
Explicación detallada en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5498</v>
      </c>
      <c r="R72" s="338" t="s">
        <v>5499</v>
      </c>
      <c r="S72" s="17"/>
      <c r="T72" s="17"/>
      <c r="U72" s="17"/>
      <c r="V72" s="17"/>
      <c r="W72" s="17"/>
      <c r="X72" s="17"/>
      <c r="Y72" s="17"/>
      <c r="Z72" s="17"/>
    </row>
    <row r="73">
      <c r="A73" s="333" t="s">
        <v>5500</v>
      </c>
      <c r="B73" s="161" t="s">
        <v>5501</v>
      </c>
      <c r="C73" s="335" t="str">
        <f>IFERROR(__xludf.DUMMYFUNCTION("GOOGLETRANSLATE(A73,""zh-tw"",""ja"")"),"五剣くんのバッジ")</f>
        <v>五剣くんのバッジ</v>
      </c>
      <c r="D73" s="16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3" t="s">
        <v>5502</v>
      </c>
      <c r="F73" s="161" t="s">
        <v>5503</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del Goken-kun")</f>
        <v>Insignias del Goken-kun</v>
      </c>
      <c r="J73" s="162" t="str">
        <f>IFERROR(__xludf.DUMMYFUNCTION("GOOGLETRANSLATE(B73,""zh-tw"",""es-MX"")"),"Poder de ataque reducido, límite de ataque reducido a 200. Consumo de durabilidad del arma reducido.")</f>
        <v>Poder de ataque reducido, límite de ataque reducido a 200. Consumo de durabilidad del arma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5504</v>
      </c>
      <c r="R73" s="323" t="s">
        <v>5505</v>
      </c>
      <c r="S73" s="17"/>
      <c r="T73" s="17"/>
      <c r="U73" s="17"/>
      <c r="V73" s="17"/>
      <c r="W73" s="17"/>
      <c r="X73" s="17"/>
      <c r="Y73" s="17"/>
      <c r="Z73" s="17"/>
    </row>
    <row r="74">
      <c r="A74" s="333" t="s">
        <v>5506</v>
      </c>
      <c r="B74" s="161" t="s">
        <v>5507</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5508</v>
      </c>
      <c r="F74" s="161" t="s">
        <v>5509</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IFERROR(__xludf.DUMMYFUNCTION("GOOGLETRANSLATE(A74,""zh-tw"",""es-MX"")"),"¡Recupera las fresas!")</f>
        <v>¡Recupera las fresas!</v>
      </c>
      <c r="J74" s="162" t="str">
        <f>IFERROR(__xludf.DUMMYFUNCTION("GOOGLETRANSLATE(B74,""zh-tw"",""es-MX"")"),"Equipo de tipo comando
(Ver ranuras de habilidad)")</f>
        <v>Equipo de tipo comando
(Ver ranuras de habilidad)</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5510</v>
      </c>
      <c r="R74" s="338" t="s">
        <v>5511</v>
      </c>
      <c r="S74" s="17"/>
      <c r="T74" s="17"/>
      <c r="U74" s="17"/>
      <c r="V74" s="17"/>
      <c r="W74" s="17"/>
      <c r="X74" s="17"/>
      <c r="Y74" s="17"/>
      <c r="Z74" s="17"/>
    </row>
    <row r="75">
      <c r="A75" s="339" t="s">
        <v>4366</v>
      </c>
      <c r="B75" s="161" t="s">
        <v>5512</v>
      </c>
      <c r="C75" s="346" t="s">
        <v>5513</v>
      </c>
      <c r="D75" s="185" t="s">
        <v>5514</v>
      </c>
      <c r="E75" s="333" t="s">
        <v>4372</v>
      </c>
      <c r="F75" s="161" t="s">
        <v>5515</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4375</v>
      </c>
      <c r="P75" s="161" t="s">
        <v>5516</v>
      </c>
      <c r="Q75" s="337" t="s">
        <v>4378</v>
      </c>
      <c r="R75" s="338" t="s">
        <v>5517</v>
      </c>
      <c r="S75" s="17"/>
      <c r="T75" s="17"/>
      <c r="U75" s="17"/>
      <c r="V75" s="17"/>
      <c r="W75" s="17"/>
      <c r="X75" s="17"/>
      <c r="Y75" s="17"/>
      <c r="Z75" s="17"/>
    </row>
    <row r="76">
      <c r="A76" s="335" t="s">
        <v>4381</v>
      </c>
      <c r="B76" s="161" t="s">
        <v>5518</v>
      </c>
      <c r="C76" s="335" t="s">
        <v>4381</v>
      </c>
      <c r="D76" s="185" t="s">
        <v>5519</v>
      </c>
      <c r="E76" s="333" t="s">
        <v>4385</v>
      </c>
      <c r="F76" s="161" t="s">
        <v>5520</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IFERROR(__xludf.DUMMYFUNCTION("GOOGLETRANSLATE(A76,""zh-tw"",""es-MX"")"),"◉▽◉(púrpura)")</f>
        <v>◉▽◉(púrpura)</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4387</v>
      </c>
      <c r="P76" s="161" t="s">
        <v>5521</v>
      </c>
      <c r="Q76" s="352" t="s">
        <v>4389</v>
      </c>
      <c r="R76" s="338" t="s">
        <v>5522</v>
      </c>
      <c r="S76" s="17"/>
      <c r="T76" s="17"/>
      <c r="U76" s="17"/>
      <c r="V76" s="17"/>
      <c r="W76" s="17"/>
      <c r="X76" s="17"/>
      <c r="Y76" s="17"/>
      <c r="Z76" s="17"/>
    </row>
    <row r="77">
      <c r="A77" s="335" t="s">
        <v>5523</v>
      </c>
      <c r="B77" s="161" t="s">
        <v>5524</v>
      </c>
      <c r="C77" s="346" t="s">
        <v>5525</v>
      </c>
      <c r="D77" s="185" t="s">
        <v>5526</v>
      </c>
      <c r="E77" s="333" t="s">
        <v>5527</v>
      </c>
      <c r="F77" s="161" t="s">
        <v>5528</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asesinado. Suerte: 40")</f>
        <v>Ataque arrojadizo. Desaparece al contacto con el agua; puede ser asesinado.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5529</v>
      </c>
      <c r="P77" s="161" t="s">
        <v>5530</v>
      </c>
      <c r="Q77" s="352" t="s">
        <v>5531</v>
      </c>
      <c r="R77" s="338" t="s">
        <v>5532</v>
      </c>
      <c r="S77" s="17"/>
      <c r="T77" s="17"/>
      <c r="U77" s="17"/>
      <c r="V77" s="17"/>
      <c r="W77" s="17"/>
      <c r="X77" s="17"/>
      <c r="Y77" s="17"/>
      <c r="Z77" s="17"/>
    </row>
    <row r="78">
      <c r="A78" s="333" t="s">
        <v>5533</v>
      </c>
      <c r="B78" s="161" t="s">
        <v>5534</v>
      </c>
      <c r="C78" s="346" t="s">
        <v>5535</v>
      </c>
      <c r="D78" s="185" t="s">
        <v>5536</v>
      </c>
      <c r="E78" s="333" t="s">
        <v>5537</v>
      </c>
      <c r="F78" s="161" t="s">
        <v>5538</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 1-7")</f>
        <v>Unidad 1-7</v>
      </c>
      <c r="J78" s="16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1-7")</f>
        <v>Блок 1-7</v>
      </c>
      <c r="N78" s="315"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33" t="s">
        <v>5539</v>
      </c>
      <c r="P78" s="161" t="s">
        <v>5540</v>
      </c>
      <c r="Q78" s="337" t="s">
        <v>5537</v>
      </c>
      <c r="R78" s="323" t="s">
        <v>5541</v>
      </c>
      <c r="S78" s="17"/>
      <c r="T78" s="17"/>
      <c r="U78" s="17"/>
      <c r="V78" s="17"/>
      <c r="W78" s="17"/>
      <c r="X78" s="17"/>
      <c r="Y78" s="17"/>
      <c r="Z78" s="17"/>
    </row>
    <row r="79">
      <c r="A79" s="333" t="s">
        <v>5542</v>
      </c>
      <c r="B79" s="161" t="s">
        <v>5543</v>
      </c>
      <c r="C79" s="346" t="s">
        <v>5544</v>
      </c>
      <c r="D79" s="185" t="s">
        <v>5545</v>
      </c>
      <c r="E79" s="333" t="s">
        <v>5546</v>
      </c>
      <c r="F79" s="161" t="s">
        <v>5547</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5548</v>
      </c>
      <c r="R79" s="323" t="s">
        <v>5549</v>
      </c>
      <c r="S79" s="17"/>
      <c r="T79" s="17"/>
      <c r="U79" s="17"/>
      <c r="V79" s="17"/>
      <c r="W79" s="17"/>
      <c r="X79" s="17"/>
      <c r="Y79" s="17"/>
      <c r="Z79" s="17"/>
    </row>
    <row r="80">
      <c r="A80" s="333" t="s">
        <v>5550</v>
      </c>
      <c r="B80" s="161" t="s">
        <v>5551</v>
      </c>
      <c r="C80" s="346" t="s">
        <v>5552</v>
      </c>
      <c r="D80" s="185" t="s">
        <v>5553</v>
      </c>
      <c r="E80" s="333" t="s">
        <v>5554</v>
      </c>
      <c r="F80" s="161" t="s">
        <v>5555</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truco)")</f>
        <v>Regenera salud por segundo (objeto de truco)</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5556</v>
      </c>
      <c r="R80" s="323" t="s">
        <v>5557</v>
      </c>
      <c r="S80" s="17"/>
      <c r="T80" s="17"/>
      <c r="U80" s="17"/>
      <c r="V80" s="17"/>
      <c r="W80" s="17"/>
      <c r="X80" s="17"/>
      <c r="Y80" s="17"/>
      <c r="Z80" s="17"/>
    </row>
    <row r="81">
      <c r="A81" s="333" t="s">
        <v>5558</v>
      </c>
      <c r="B81" s="161" t="s">
        <v>5559</v>
      </c>
      <c r="C81" s="346" t="s">
        <v>5560</v>
      </c>
      <c r="D81" s="185" t="s">
        <v>5561</v>
      </c>
      <c r="E81" s="333" t="s">
        <v>5562</v>
      </c>
      <c r="F81" s="161" t="s">
        <v>5563</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trampa)")</f>
        <v>Las armas no tienen coste (objeto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5564</v>
      </c>
      <c r="R81" s="323" t="s">
        <v>5565</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211</v>
      </c>
      <c r="C1" s="57"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E1" s="57" t="s">
        <v>5566</v>
      </c>
      <c r="G1" s="57"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I1" s="5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K1" s="5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Q1" s="358" t="s">
        <v>5567</v>
      </c>
      <c r="S1" s="300"/>
      <c r="T1" s="300"/>
      <c r="U1" s="300"/>
      <c r="V1" s="300"/>
    </row>
    <row r="2">
      <c r="A2" s="328" t="s">
        <v>5568</v>
      </c>
      <c r="B2" s="72" t="s">
        <v>5569</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del objeto")</f>
        <v>Nombre del objeto</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5570</v>
      </c>
      <c r="P2" s="72" t="s">
        <v>5571</v>
      </c>
      <c r="Q2" s="359" t="s">
        <v>5572</v>
      </c>
      <c r="R2" s="360" t="s">
        <v>5573</v>
      </c>
      <c r="S2" s="361"/>
      <c r="T2" s="361"/>
      <c r="U2" s="361"/>
      <c r="V2" s="361"/>
    </row>
    <row r="3">
      <c r="A3" s="333" t="s">
        <v>5574</v>
      </c>
      <c r="B3" s="161" t="s">
        <v>5575</v>
      </c>
      <c r="C3" s="333" t="s">
        <v>5576</v>
      </c>
      <c r="D3" s="161" t="s">
        <v>5577</v>
      </c>
      <c r="E3" s="333" t="s">
        <v>5578</v>
      </c>
      <c r="F3" s="161" t="s">
        <v>5579</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de resistencia automático.")</f>
        <v>Restaura 120 de resistencia; efecto de recuperación de resistencia automático.</v>
      </c>
      <c r="K3" s="335" t="str">
        <f>IFERROR(__xludf.DUMMYFUNCTION("GOOGLETRANSLATE(A3,""zh-tw"",""KO"")"),"맛있는 우유")</f>
        <v>맛있는 우유</v>
      </c>
      <c r="L3" s="161" t="s">
        <v>5580</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5581</v>
      </c>
      <c r="P3" s="161" t="s">
        <v>5582</v>
      </c>
      <c r="Q3" s="340" t="s">
        <v>5583</v>
      </c>
      <c r="R3" s="164" t="s">
        <v>5584</v>
      </c>
      <c r="S3" s="17"/>
      <c r="T3" s="17"/>
      <c r="U3" s="17"/>
      <c r="V3" s="17"/>
    </row>
    <row r="4">
      <c r="A4" s="333" t="s">
        <v>5585</v>
      </c>
      <c r="B4" s="161" t="s">
        <v>5586</v>
      </c>
      <c r="C4" s="333" t="s">
        <v>5587</v>
      </c>
      <c r="D4" s="161" t="s">
        <v>5588</v>
      </c>
      <c r="E4" s="333" t="s">
        <v>5589</v>
      </c>
      <c r="F4" s="161" t="s">
        <v>5590</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de resistencia y elimina el estado anormal.")</f>
        <v>Restaura 75 de resistencia y elimina el estado anormal.</v>
      </c>
      <c r="K4" s="335" t="str">
        <f>IFERROR(__xludf.DUMMYFUNCTION("GOOGLETRANSLATE(A4,""zh-tw"",""KO"")"),"당근 우유")</f>
        <v>당근 우유</v>
      </c>
      <c r="L4" s="161" t="s">
        <v>5591</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5592</v>
      </c>
      <c r="P4" s="161" t="s">
        <v>5593</v>
      </c>
      <c r="Q4" s="340" t="s">
        <v>5594</v>
      </c>
      <c r="R4" s="164" t="s">
        <v>5595</v>
      </c>
      <c r="S4" s="17"/>
      <c r="T4" s="17"/>
      <c r="U4" s="17"/>
      <c r="V4" s="17"/>
    </row>
    <row r="5">
      <c r="A5" s="333" t="s">
        <v>5596</v>
      </c>
      <c r="B5" s="161" t="s">
        <v>5597</v>
      </c>
      <c r="C5" s="333" t="s">
        <v>5598</v>
      </c>
      <c r="D5" s="161" t="s">
        <v>5599</v>
      </c>
      <c r="E5" s="333" t="s">
        <v>5600</v>
      </c>
      <c r="F5" s="161" t="s">
        <v>5601</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de resistencia y aumenta el ataque en un 50%.")</f>
        <v>Restaura 75 de resistencia y aumenta el ataque en un 50%.</v>
      </c>
      <c r="K5" s="333" t="s">
        <v>5602</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5603</v>
      </c>
      <c r="P5" s="161" t="s">
        <v>5604</v>
      </c>
      <c r="Q5" s="340" t="s">
        <v>5605</v>
      </c>
      <c r="R5" s="164" t="s">
        <v>5606</v>
      </c>
      <c r="S5" s="17"/>
      <c r="T5" s="17"/>
      <c r="U5" s="17"/>
      <c r="V5" s="17"/>
    </row>
    <row r="6">
      <c r="A6" s="333" t="s">
        <v>5607</v>
      </c>
      <c r="B6" s="161" t="s">
        <v>5608</v>
      </c>
      <c r="C6" s="333" t="s">
        <v>5609</v>
      </c>
      <c r="D6" s="161" t="s">
        <v>5610</v>
      </c>
      <c r="E6" s="333" t="s">
        <v>5611</v>
      </c>
      <c r="F6" s="161" t="s">
        <v>5612</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de resistencia y aumenta el poder mágico en un 50%.")</f>
        <v>Restaura 75 de resistencia y aumenta el poder mágico en un 50%.</v>
      </c>
      <c r="K6" s="333" t="s">
        <v>5613</v>
      </c>
      <c r="L6" s="162" t="str">
        <f>IFERROR(__xludf.DUMMYFUNCTION("GOOGLETRANSLATE(B6,""zh-tw"",""KO"")"),"체력을 75 회복하고 마법력을 50% 증가시킵니다.")</f>
        <v>체력을 75 회복하고 마법력을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3" t="s">
        <v>5614</v>
      </c>
      <c r="P6" s="161" t="s">
        <v>5615</v>
      </c>
      <c r="Q6" s="340" t="s">
        <v>5616</v>
      </c>
      <c r="R6" s="164" t="s">
        <v>5617</v>
      </c>
      <c r="S6" s="17"/>
      <c r="T6" s="17"/>
      <c r="U6" s="17"/>
      <c r="V6" s="17"/>
    </row>
    <row r="7">
      <c r="A7" s="333" t="s">
        <v>5618</v>
      </c>
      <c r="B7" s="161" t="s">
        <v>5619</v>
      </c>
      <c r="C7" s="333" t="s">
        <v>5620</v>
      </c>
      <c r="D7" s="161" t="s">
        <v>5621</v>
      </c>
      <c r="E7" s="333" t="s">
        <v>5622</v>
      </c>
      <c r="F7" s="161" t="s">
        <v>5623</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de resistencia y aumenta la velocidad de movimiento.")</f>
        <v>Restaura 75 de resistencia y aumenta la velocidad de movimiento.</v>
      </c>
      <c r="K7" s="335" t="str">
        <f>IFERROR(__xludf.DUMMYFUNCTION("GOOGLETRANSLATE(A7,""zh-tw"",""KO"")"),"바나나맛 우유")</f>
        <v>바나나맛 우유</v>
      </c>
      <c r="L7" s="161" t="s">
        <v>5624</v>
      </c>
      <c r="M7" s="335"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3" t="s">
        <v>5625</v>
      </c>
      <c r="P7" s="161" t="s">
        <v>5626</v>
      </c>
      <c r="Q7" s="340" t="s">
        <v>5627</v>
      </c>
      <c r="R7" s="164" t="s">
        <v>5628</v>
      </c>
      <c r="S7" s="17"/>
      <c r="T7" s="17"/>
      <c r="U7" s="17"/>
      <c r="V7" s="17"/>
    </row>
    <row r="8">
      <c r="A8" s="333" t="s">
        <v>5629</v>
      </c>
      <c r="B8" s="161" t="s">
        <v>5630</v>
      </c>
      <c r="C8" s="333" t="s">
        <v>5631</v>
      </c>
      <c r="D8" s="161" t="s">
        <v>5632</v>
      </c>
      <c r="E8" s="333" t="s">
        <v>5633</v>
      </c>
      <c r="F8" s="161" t="s">
        <v>5634</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de resistencia y otorga invulnerabilidad.
(Aún no implementado).")</f>
        <v>Restaura 78 de resistencia y otorga invulnerabilidad.
(Aún no implementado).</v>
      </c>
      <c r="K8" s="333" t="s">
        <v>5635</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5636</v>
      </c>
      <c r="P8" s="161" t="s">
        <v>5637</v>
      </c>
      <c r="Q8" s="340" t="s">
        <v>5638</v>
      </c>
      <c r="R8" s="164" t="s">
        <v>5639</v>
      </c>
      <c r="S8" s="17"/>
      <c r="T8" s="17"/>
      <c r="U8" s="17"/>
      <c r="V8" s="17"/>
    </row>
    <row r="9">
      <c r="A9" s="333" t="s">
        <v>5640</v>
      </c>
      <c r="B9" s="161" t="s">
        <v>5641</v>
      </c>
      <c r="C9" s="333" t="s">
        <v>5642</v>
      </c>
      <c r="D9" s="161" t="s">
        <v>5643</v>
      </c>
      <c r="E9" s="333" t="s">
        <v>5644</v>
      </c>
      <c r="F9" s="161" t="s">
        <v>5645</v>
      </c>
      <c r="G9" s="333" t="str">
        <f>IFERROR(__xludf.DUMMYFUNCTION("GOOGLETRANSLATE(A9,""zh-tw"",""zh"")"),"逆流可乐")</f>
        <v>逆流可乐</v>
      </c>
      <c r="H9" s="161" t="str">
        <f>IFERROR(__xludf.DUMMYFUNCTION("GOOGLETRANSLATE(B9,""zh-tw"",""zh"")"),"(战斗效果未实装)")</f>
        <v>(战斗效果未实装)</v>
      </c>
      <c r="I9" s="333" t="s">
        <v>5644</v>
      </c>
      <c r="J9" s="162" t="str">
        <f>IFERROR(__xludf.DUMMYFUNCTION("GOOGLETRANSLATE(B9,""zh-tw"",""es-MX"")"),"(Efectos de combate aún no implementados)")</f>
        <v>(Efectos de combate aún no implementados)</v>
      </c>
      <c r="K9" s="333" t="s">
        <v>5646</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5644</v>
      </c>
      <c r="P9" s="161" t="s">
        <v>5647</v>
      </c>
      <c r="Q9" s="340" t="s">
        <v>5644</v>
      </c>
      <c r="R9" s="164" t="s">
        <v>5648</v>
      </c>
      <c r="S9" s="17"/>
      <c r="T9" s="17"/>
      <c r="U9" s="17"/>
      <c r="V9" s="17"/>
    </row>
    <row r="10">
      <c r="A10" s="333" t="s">
        <v>5649</v>
      </c>
      <c r="B10" s="161" t="s">
        <v>5650</v>
      </c>
      <c r="C10" s="333" t="s">
        <v>5651</v>
      </c>
      <c r="D10" s="161" t="s">
        <v>5652</v>
      </c>
      <c r="E10" s="333" t="s">
        <v>5653</v>
      </c>
      <c r="F10" s="161" t="s">
        <v>5654</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33" t="s">
        <v>5655</v>
      </c>
      <c r="L10" s="161" t="s">
        <v>5656</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5657</v>
      </c>
      <c r="P10" s="161" t="s">
        <v>5658</v>
      </c>
      <c r="Q10" s="340" t="s">
        <v>5659</v>
      </c>
      <c r="R10" s="164" t="s">
        <v>5660</v>
      </c>
      <c r="S10" s="17"/>
      <c r="T10" s="17"/>
      <c r="U10" s="17"/>
      <c r="V10" s="17"/>
    </row>
    <row r="11">
      <c r="A11" s="333" t="s">
        <v>5661</v>
      </c>
      <c r="B11" s="161" t="s">
        <v>5662</v>
      </c>
      <c r="C11" s="333" t="s">
        <v>5663</v>
      </c>
      <c r="D11" s="161" t="s">
        <v>5664</v>
      </c>
      <c r="E11" s="333" t="s">
        <v>5665</v>
      </c>
      <c r="F11" s="161" t="s">
        <v>5666</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33" t="s">
        <v>5667</v>
      </c>
      <c r="L11" s="161" t="s">
        <v>5668</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5669</v>
      </c>
      <c r="P11" s="161" t="s">
        <v>5670</v>
      </c>
      <c r="Q11" s="340" t="s">
        <v>5671</v>
      </c>
      <c r="R11" s="164" t="s">
        <v>5672</v>
      </c>
      <c r="S11" s="17"/>
      <c r="T11" s="17"/>
      <c r="U11" s="17"/>
      <c r="V11" s="17"/>
    </row>
    <row r="12">
      <c r="A12" s="333" t="s">
        <v>5673</v>
      </c>
      <c r="B12" s="161" t="s">
        <v>5674</v>
      </c>
      <c r="C12" s="333" t="s">
        <v>5675</v>
      </c>
      <c r="D12" s="161" t="s">
        <v>592</v>
      </c>
      <c r="E12" s="333" t="s">
        <v>5676</v>
      </c>
      <c r="F12" s="161" t="s">
        <v>5677</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5678</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5679</v>
      </c>
      <c r="P12" s="161" t="s">
        <v>2480</v>
      </c>
      <c r="Q12" s="340" t="s">
        <v>5680</v>
      </c>
      <c r="R12" s="164" t="s">
        <v>5681</v>
      </c>
      <c r="S12" s="17"/>
      <c r="T12" s="17"/>
      <c r="U12" s="17"/>
      <c r="V12" s="17"/>
    </row>
    <row r="13">
      <c r="A13" s="333" t="s">
        <v>5682</v>
      </c>
      <c r="B13" s="161" t="s">
        <v>5683</v>
      </c>
      <c r="C13" s="333" t="s">
        <v>5684</v>
      </c>
      <c r="D13" s="161" t="s">
        <v>5685</v>
      </c>
      <c r="E13" s="333" t="s">
        <v>5686</v>
      </c>
      <c r="F13" s="161" t="s">
        <v>5687</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IFERROR(__xludf.DUMMYFUNCTION("GOOGLETRANSLATE(B13,""zh-tw"",""es-MX"")"),"Aumenta la condición del hermano o transfórmalo en ""Líquido de Médula Roja"".")</f>
        <v>Aumenta la condición del hermano o transfórmalo en "Líquido de Médula Roja".</v>
      </c>
      <c r="K13" s="335" t="str">
        <f>IFERROR(__xludf.DUMMYFUNCTION("GOOGLETRANSLATE(A13,""zh-tw"",""KO"")"),"천상의 돌 조각들")</f>
        <v>천상의 돌 조각들</v>
      </c>
      <c r="L13" s="161" t="s">
        <v>5688</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5689</v>
      </c>
      <c r="P13" s="161" t="s">
        <v>5690</v>
      </c>
      <c r="Q13" s="340" t="s">
        <v>5691</v>
      </c>
      <c r="R13" s="186" t="s">
        <v>5692</v>
      </c>
      <c r="S13" s="17"/>
      <c r="T13" s="17"/>
      <c r="U13" s="17"/>
      <c r="V13" s="17"/>
    </row>
    <row r="14">
      <c r="A14" s="333" t="s">
        <v>5693</v>
      </c>
      <c r="B14" s="161" t="s">
        <v>5694</v>
      </c>
      <c r="C14" s="333" t="s">
        <v>5695</v>
      </c>
      <c r="D14" s="161" t="s">
        <v>5696</v>
      </c>
      <c r="E14" s="333" t="s">
        <v>5697</v>
      </c>
      <c r="F14" s="161" t="s">
        <v>5698</v>
      </c>
      <c r="G14" s="333" t="str">
        <f>IFERROR(__xludf.DUMMYFUNCTION("GOOGLETRANSLATE(A14,""zh-tw"",""zh"")"),"卢恩符文A")</f>
        <v>卢恩符文A</v>
      </c>
      <c r="H14" s="161" t="s">
        <v>5699</v>
      </c>
      <c r="I14" s="335" t="str">
        <f>IFERROR(__xludf.DUMMYFUNCTION("GOOGLETRANSLATE(A14,""zh-tw"",""es-MX"")"),"Runa A")</f>
        <v>Runa A</v>
      </c>
      <c r="J14" s="162" t="str">
        <f>IFERROR(__xludf.DUMMYFUNCTION("GOOGLETRANSLATE(B14,""zh-tw"",""es-MX"")"),"Dejar constancia escrita")</f>
        <v>Dejar constancia escrita</v>
      </c>
      <c r="K14" s="333" t="s">
        <v>5700</v>
      </c>
      <c r="L14" s="161" t="s">
        <v>5701</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5702</v>
      </c>
      <c r="P14" s="161" t="s">
        <v>5703</v>
      </c>
      <c r="Q14" s="354" t="s">
        <v>5704</v>
      </c>
      <c r="R14" s="164" t="s">
        <v>5705</v>
      </c>
      <c r="S14" s="17"/>
      <c r="T14" s="17"/>
      <c r="U14" s="17"/>
      <c r="V14" s="17"/>
    </row>
    <row r="15">
      <c r="A15" s="333" t="s">
        <v>5706</v>
      </c>
      <c r="B15" s="161" t="s">
        <v>5707</v>
      </c>
      <c r="C15" s="333" t="s">
        <v>5708</v>
      </c>
      <c r="D15" s="161" t="s">
        <v>5709</v>
      </c>
      <c r="E15" s="333" t="s">
        <v>5710</v>
      </c>
      <c r="F15" s="161" t="s">
        <v>5711</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IFERROR(__xludf.DUMMYFUNCTION("GOOGLETRANSLATE(B15,""zh-tw"",""es-MX"")"),"Luego de lanzar, haga clic en la posición de R con el mouse para intercambiar.")</f>
        <v>Luego de lanzar, haga clic en la posición de R con el mouse para intercambiar.</v>
      </c>
      <c r="K15" s="333" t="s">
        <v>5712</v>
      </c>
      <c r="L15" s="161" t="s">
        <v>5713</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5714</v>
      </c>
      <c r="P15" s="161" t="s">
        <v>5715</v>
      </c>
      <c r="Q15" s="354" t="s">
        <v>5716</v>
      </c>
      <c r="R15" s="164" t="s">
        <v>5717</v>
      </c>
      <c r="S15" s="17"/>
      <c r="T15" s="17"/>
      <c r="U15" s="17"/>
      <c r="V15" s="17"/>
    </row>
    <row r="16">
      <c r="A16" s="333" t="s">
        <v>5718</v>
      </c>
      <c r="B16" s="161" t="s">
        <v>5719</v>
      </c>
      <c r="C16" s="333" t="s">
        <v>5720</v>
      </c>
      <c r="D16" s="161" t="s">
        <v>5721</v>
      </c>
      <c r="E16" s="333" t="s">
        <v>5722</v>
      </c>
      <c r="F16" s="161" t="s">
        <v>5723</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IFERROR(__xludf.DUMMYFUNCTION("GOOGLETRANSLATE(B16,""zh-tw"",""es-MX"")"),"Después de lanzar, intercambia posiciones con el objetivo.")</f>
        <v>Después de lanzar, intercambia posiciones con el objetivo.</v>
      </c>
      <c r="K16" s="333" t="s">
        <v>5724</v>
      </c>
      <c r="L16" s="161" t="s">
        <v>5725</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5726</v>
      </c>
      <c r="P16" s="161" t="s">
        <v>5727</v>
      </c>
      <c r="Q16" s="354" t="s">
        <v>5728</v>
      </c>
      <c r="R16" s="164" t="s">
        <v>5729</v>
      </c>
      <c r="S16" s="17"/>
      <c r="T16" s="17"/>
      <c r="U16" s="17"/>
      <c r="V16" s="17"/>
    </row>
    <row r="17">
      <c r="A17" s="339" t="s">
        <v>5730</v>
      </c>
      <c r="B17" s="162" t="s">
        <v>5731</v>
      </c>
      <c r="C17" s="335" t="s">
        <v>5732</v>
      </c>
      <c r="D17" s="162" t="s">
        <v>5733</v>
      </c>
      <c r="E17" s="335" t="s">
        <v>5734</v>
      </c>
      <c r="F17" s="162" t="s">
        <v>5735</v>
      </c>
      <c r="G17" s="333" t="str">
        <f>IFERROR(__xludf.DUMMYFUNCTION("GOOGLETRANSLATE(A17,""zh-tw"",""zh"")"),"卢恩符文Kenaz")</f>
        <v>卢恩符文Kenaz</v>
      </c>
      <c r="H17" s="161" t="str">
        <f>IFERROR(__xludf.DUMMYFUNCTION("GOOGLETRANSLATE(B17,""zh-tw"",""zh"")"),"将目标变为炸弹
依照对方体型，影响爆炸范围")</f>
        <v>将目标变为炸弹
依照对方体型，影响爆炸范围</v>
      </c>
      <c r="I17" s="335" t="str">
        <f>IFERROR(__xludf.DUMMYFUNCTION("GOOGLETRANSLATE(A17,""zh-tw"",""es-MX"")"),"Runa Kenaz")</f>
        <v>Runa Kenaz</v>
      </c>
      <c r="J17" s="162" t="str">
        <f>IFERROR(__xludf.DUMMYFUNCTION("GOOGLETRANSLATE(B17,""zh-tw"",""es-MX"")"),"Convierte el objetivo en una bomba. Ajusta el radio de explosión según el tamaño del objetivo.")</f>
        <v>Convierte el objetivo en una bomba. Ajusta el radio de explosión según el tamaño del objetivo.</v>
      </c>
      <c r="K17" s="335" t="str">
        <f>IFERROR(__xludf.DUMMYFUNCTION("GOOGLETRANSLATE(A17,""zh-tw"",""KO"")"),"룬 케나즈")</f>
        <v>룬 케나즈</v>
      </c>
      <c r="L17" s="162" t="str">
        <f>IFERROR(__xludf.DUMMYFUNCTION("GOOGLETRANSLATE(B17,""zh-tw"",""KO"")"),"목표물을 폭탄으로 만듭니다. 목표물의 크기에 따라 폭발 반경을 조정하세요.")</f>
        <v>목표물을 폭탄으로 만듭니다. 목표물의 크기에 따라 폭발 반경을 조정하세요.</v>
      </c>
      <c r="M17" s="335" t="str">
        <f>IFERROR(__xludf.DUMMYFUNCTION("GOOGLETRANSLATE(A17,""zh-tw"",""ru"")"),"Руна Кеназ")</f>
        <v>Руна Кеназ</v>
      </c>
      <c r="N17" s="16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35" t="s">
        <v>5734</v>
      </c>
      <c r="P17" s="162" t="s">
        <v>5735</v>
      </c>
      <c r="Q17" s="354" t="s">
        <v>5736</v>
      </c>
      <c r="R17" s="182" t="s">
        <v>5737</v>
      </c>
      <c r="S17" s="17"/>
      <c r="T17" s="17"/>
      <c r="U17" s="17"/>
      <c r="V17" s="17"/>
    </row>
    <row r="18">
      <c r="A18" s="333" t="s">
        <v>5738</v>
      </c>
      <c r="B18" s="161" t="s">
        <v>5739</v>
      </c>
      <c r="C18" s="333" t="s">
        <v>5740</v>
      </c>
      <c r="D18" s="161" t="s">
        <v>5741</v>
      </c>
      <c r="E18" s="333" t="s">
        <v>5742</v>
      </c>
      <c r="F18" s="161" t="s">
        <v>5743</v>
      </c>
      <c r="G18" s="333" t="str">
        <f>IFERROR(__xludf.DUMMYFUNCTION("GOOGLETRANSLATE(A18,""zh-tw"",""zh"")"),"塔罗牌-节制")</f>
        <v>塔罗牌-节制</v>
      </c>
      <c r="H18" s="161" t="str">
        <f>IFERROR(__xludf.DUMMYFUNCTION("GOOGLETRANSLATE(B18,""zh-tw"",""zh"")"),"召唤扭蛋机")</f>
        <v>召唤扭蛋机</v>
      </c>
      <c r="I18" s="335" t="str">
        <f>IFERROR(__xludf.DUMMYFUNCTION("GOOGLETRANSLATE(A18,""zh-tw"",""es-MX"")"),"Tarot - Templanza")</f>
        <v>Tarot - Templanza</v>
      </c>
      <c r="J18" s="162" t="str">
        <f>IFERROR(__xludf.DUMMYFUNCTION("GOOGLETRANSLATE(B18,""zh-tw"",""es-MX"")"),"Invocación de la máquina Gashapon")</f>
        <v>Invocación de la máquina Gashapon</v>
      </c>
      <c r="K18" s="333" t="s">
        <v>5744</v>
      </c>
      <c r="L18" s="162" t="str">
        <f>IFERROR(__xludf.DUMMYFUNCTION("GOOGLETRANSLATE(B18,""zh-tw"",""KO"")"),"소환 가샤폰 머신")</f>
        <v>소환 가샤폰 머신</v>
      </c>
      <c r="M18" s="335" t="str">
        <f>IFERROR(__xludf.DUMMYFUNCTION("GOOGLETRANSLATE(A18,""zh-tw"",""ru"")"),"Таро - Умеренность")</f>
        <v>Таро - Умеренность</v>
      </c>
      <c r="N18" s="162" t="str">
        <f>IFERROR(__xludf.DUMMYFUNCTION("GOOGLETRANSLATE(B18,""zh-tw"",""ru"")"),"Вызов Гасяпон-машины")</f>
        <v>Вызов Гасяпон-машины</v>
      </c>
      <c r="O18" s="333" t="s">
        <v>5745</v>
      </c>
      <c r="P18" s="161" t="s">
        <v>5746</v>
      </c>
      <c r="Q18" s="340" t="s">
        <v>5742</v>
      </c>
      <c r="R18" s="164" t="s">
        <v>5747</v>
      </c>
      <c r="S18" s="17"/>
      <c r="T18" s="17"/>
      <c r="U18" s="17"/>
      <c r="V18" s="17"/>
    </row>
    <row r="19">
      <c r="A19" s="333" t="s">
        <v>5748</v>
      </c>
      <c r="B19" s="161" t="s">
        <v>5749</v>
      </c>
      <c r="C19" s="333" t="s">
        <v>5750</v>
      </c>
      <c r="D19" s="161" t="s">
        <v>5751</v>
      </c>
      <c r="E19" s="333" t="s">
        <v>5752</v>
      </c>
      <c r="F19" s="161" t="s">
        <v>5753</v>
      </c>
      <c r="G19" s="333" t="str">
        <f>IFERROR(__xludf.DUMMYFUNCTION("GOOGLETRANSLATE(A19,""zh-tw"",""zh"")"),"塔罗牌-正义")</f>
        <v>塔罗牌-正义</v>
      </c>
      <c r="H19" s="161" t="str">
        <f>IFERROR(__xludf.DUMMYFUNCTION("GOOGLETRANSLATE(B19,""zh-tw"",""zh"")"),"消除状态")</f>
        <v>消除状态</v>
      </c>
      <c r="I19" s="335" t="str">
        <f>IFERROR(__xludf.DUMMYFUNCTION("GOOGLETRANSLATE(A19,""zh-tw"",""es-MX"")"),"Tarot - Justicia")</f>
        <v>Tarot - Justicia</v>
      </c>
      <c r="J19" s="162" t="str">
        <f>IFERROR(__xludf.DUMMYFUNCTION("GOOGLETRANSLATE(B19,""zh-tw"",""es-MX"")"),"Eliminar el estado")</f>
        <v>Eliminar el estado</v>
      </c>
      <c r="K19" s="333" t="s">
        <v>5754</v>
      </c>
      <c r="L19" s="317" t="s">
        <v>5755</v>
      </c>
      <c r="M19" s="335" t="str">
        <f>IFERROR(__xludf.DUMMYFUNCTION("GOOGLETRANSLATE(A19,""zh-tw"",""ru"")"),"Таро - Правосудие")</f>
        <v>Таро - Правосудие</v>
      </c>
      <c r="N19" s="162" t="str">
        <f>IFERROR(__xludf.DUMMYFUNCTION("GOOGLETRANSLATE(B19,""zh-tw"",""ru"")"),"Устранить состояние")</f>
        <v>Устранить состояние</v>
      </c>
      <c r="O19" s="333" t="s">
        <v>5756</v>
      </c>
      <c r="P19" s="161" t="s">
        <v>5757</v>
      </c>
      <c r="Q19" s="340" t="s">
        <v>5752</v>
      </c>
      <c r="R19" s="164" t="s">
        <v>5753</v>
      </c>
      <c r="S19" s="17"/>
      <c r="T19" s="17"/>
      <c r="U19" s="17"/>
      <c r="V19" s="17"/>
    </row>
    <row r="20">
      <c r="A20" s="333" t="s">
        <v>5758</v>
      </c>
      <c r="B20" s="161" t="s">
        <v>5759</v>
      </c>
      <c r="C20" s="333" t="s">
        <v>5760</v>
      </c>
      <c r="D20" s="161" t="s">
        <v>5761</v>
      </c>
      <c r="E20" s="333" t="s">
        <v>5762</v>
      </c>
      <c r="F20" s="161" t="s">
        <v>5763</v>
      </c>
      <c r="G20" s="333" t="str">
        <f>IFERROR(__xludf.DUMMYFUNCTION("GOOGLETRANSLATE(A20,""zh-tw"",""zh"")"),"塔罗牌-力")</f>
        <v>塔罗牌-力</v>
      </c>
      <c r="H20" s="161" t="str">
        <f>IFERROR(__xludf.DUMMYFUNCTION("GOOGLETRANSLATE(B20,""zh-tw"",""zh"")"),"武器巨大化增强")</f>
        <v>武器巨大化增强</v>
      </c>
      <c r="I20" s="335" t="str">
        <f>IFERROR(__xludf.DUMMYFUNCTION("GOOGLETRANSLATE(A20,""zh-tw"",""es-MX"")"),"Carta del Tarot - Fuerza")</f>
        <v>Carta del Tarot - Fuerza</v>
      </c>
      <c r="J20" s="162" t="str">
        <f>IFERROR(__xludf.DUMMYFUNCTION("GOOGLETRANSLATE(B20,""zh-tw"",""es-MX"")"),"Mejora de la ampliación de armas")</f>
        <v>Mejora de la ampliación de armas</v>
      </c>
      <c r="K20" s="335" t="str">
        <f>IFERROR(__xludf.DUMMYFUNCTION("GOOGLETRANSLATE(A20,""zh-tw"",""KO"")"),"타로 카드 - 힘")</f>
        <v>타로 카드 - 힘</v>
      </c>
      <c r="L20" s="161" t="s">
        <v>5764</v>
      </c>
      <c r="M20" s="335" t="str">
        <f>IFERROR(__xludf.DUMMYFUNCTION("GOOGLETRANSLATE(A20,""zh-tw"",""ru"")"),"Карта Таро — Сила")</f>
        <v>Карта Таро — Сила</v>
      </c>
      <c r="N20" s="162" t="str">
        <f>IFERROR(__xludf.DUMMYFUNCTION("GOOGLETRANSLATE(B20,""zh-tw"",""ru"")"),"Улучшение увеличения оружия")</f>
        <v>Улучшение увеличения оружия</v>
      </c>
      <c r="O20" s="333" t="s">
        <v>5765</v>
      </c>
      <c r="P20" s="161" t="s">
        <v>5766</v>
      </c>
      <c r="Q20" s="340" t="s">
        <v>5762</v>
      </c>
      <c r="R20" s="164" t="s">
        <v>5767</v>
      </c>
      <c r="S20" s="17"/>
      <c r="T20" s="17"/>
      <c r="U20" s="17"/>
      <c r="V20" s="17"/>
    </row>
    <row r="21">
      <c r="A21" s="333" t="s">
        <v>5768</v>
      </c>
      <c r="B21" s="161" t="s">
        <v>5769</v>
      </c>
      <c r="C21" s="333" t="s">
        <v>5770</v>
      </c>
      <c r="D21" s="161" t="s">
        <v>5771</v>
      </c>
      <c r="E21" s="333" t="s">
        <v>5772</v>
      </c>
      <c r="F21" s="161" t="s">
        <v>5773</v>
      </c>
      <c r="G21" s="333" t="str">
        <f>IFERROR(__xludf.DUMMYFUNCTION("GOOGLETRANSLATE(A21,""zh-tw"",""zh"")"),"塔罗牌-皇帝")</f>
        <v>塔罗牌-皇帝</v>
      </c>
      <c r="H21" s="161" t="str">
        <f>IFERROR(__xludf.DUMMYFUNCTION("GOOGLETRANSLATE(B21,""zh-tw"",""zh"")"),"巨龙咆啸")</f>
        <v>巨龙咆啸</v>
      </c>
      <c r="I21" s="335" t="str">
        <f>IFERROR(__xludf.DUMMYFUNCTION("GOOGLETRANSLATE(A21,""zh-tw"",""es-MX"")"),"Tarot - El Emperador")</f>
        <v>Tarot - El Emperador</v>
      </c>
      <c r="J21" s="162" t="str">
        <f>IFERROR(__xludf.DUMMYFUNCTION("GOOGLETRANSLATE(B21,""zh-tw"",""es-MX"")"),"Rugido de dragón")</f>
        <v>Rugido de dragón</v>
      </c>
      <c r="K21" s="335" t="str">
        <f>IFERROR(__xludf.DUMMYFUNCTION("GOOGLETRANSLATE(A21,""zh-tw"",""KO"")"),"타로 - 황제")</f>
        <v>타로 - 황제</v>
      </c>
      <c r="L21" s="161" t="s">
        <v>5774</v>
      </c>
      <c r="M21" s="335" t="str">
        <f>IFERROR(__xludf.DUMMYFUNCTION("GOOGLETRANSLATE(A21,""zh-tw"",""ru"")"),"Таро - Император")</f>
        <v>Таро - Император</v>
      </c>
      <c r="N21" s="162" t="str">
        <f>IFERROR(__xludf.DUMMYFUNCTION("GOOGLETRANSLATE(B21,""zh-tw"",""ru"")"),"Рев Дракона")</f>
        <v>Рев Дракона</v>
      </c>
      <c r="O21" s="333" t="s">
        <v>5775</v>
      </c>
      <c r="P21" s="161" t="s">
        <v>5776</v>
      </c>
      <c r="Q21" s="340" t="s">
        <v>5772</v>
      </c>
      <c r="R21" s="164" t="s">
        <v>5777</v>
      </c>
      <c r="S21" s="17"/>
      <c r="T21" s="17"/>
      <c r="U21" s="17"/>
      <c r="V21" s="17"/>
    </row>
    <row r="22">
      <c r="A22" s="333" t="s">
        <v>5778</v>
      </c>
      <c r="B22" s="161" t="s">
        <v>5779</v>
      </c>
      <c r="C22" s="333" t="str">
        <f>IFERROR(__xludf.DUMMYFUNCTION("GOOGLETRANSLATE(A22,""zh-tw"",""ja"")"),"タロット - 星")</f>
        <v>タロット - 星</v>
      </c>
      <c r="D22" s="161" t="s">
        <v>5780</v>
      </c>
      <c r="E22" s="333" t="s">
        <v>5781</v>
      </c>
      <c r="F22" s="161" t="s">
        <v>5782</v>
      </c>
      <c r="G22" s="333" t="str">
        <f>IFERROR(__xludf.DUMMYFUNCTION("GOOGLETRANSLATE(A22,""zh-tw"",""zh"")"),"塔罗牌-星")</f>
        <v>塔罗牌-星</v>
      </c>
      <c r="H22" s="161" t="str">
        <f>IFERROR(__xludf.DUMMYFUNCTION("GOOGLETRANSLATE(B22,""zh-tw"",""zh"")"),"星之门")</f>
        <v>星之门</v>
      </c>
      <c r="I22" s="335" t="str">
        <f>IFERROR(__xludf.DUMMYFUNCTION("GOOGLETRANSLATE(A22,""zh-tw"",""es-MX"")"),"Tarot - La Estrella")</f>
        <v>Tarot - La Estrella</v>
      </c>
      <c r="J22" s="162" t="str">
        <f>IFERROR(__xludf.DUMMYFUNCTION("GOOGLETRANSLATE(B22,""zh-tw"",""es-MX"")"),"Puerta Estelar")</f>
        <v>Puerta Estelar</v>
      </c>
      <c r="K22" s="335" t="str">
        <f>IFERROR(__xludf.DUMMYFUNCTION("GOOGLETRANSLATE(A22,""zh-tw"",""KO"")"),"타로 - 별")</f>
        <v>타로 - 별</v>
      </c>
      <c r="L22" s="161" t="s">
        <v>5783</v>
      </c>
      <c r="M22" s="335" t="str">
        <f>IFERROR(__xludf.DUMMYFUNCTION("GOOGLETRANSLATE(A22,""zh-tw"",""ru"")"),"Таро - Звезда")</f>
        <v>Таро - Звезда</v>
      </c>
      <c r="N22" s="162" t="str">
        <f>IFERROR(__xludf.DUMMYFUNCTION("GOOGLETRANSLATE(B22,""zh-tw"",""ru"")"),"Звездные Врата")</f>
        <v>Звездные Врата</v>
      </c>
      <c r="O22" s="333" t="s">
        <v>5784</v>
      </c>
      <c r="P22" s="161" t="s">
        <v>5785</v>
      </c>
      <c r="Q22" s="340" t="s">
        <v>5781</v>
      </c>
      <c r="R22" s="164" t="s">
        <v>5786</v>
      </c>
      <c r="S22" s="17"/>
      <c r="T22" s="17"/>
      <c r="U22" s="17"/>
      <c r="V22" s="17"/>
    </row>
    <row r="23">
      <c r="A23" s="333" t="s">
        <v>5787</v>
      </c>
      <c r="B23" s="161" t="s">
        <v>5788</v>
      </c>
      <c r="C23" s="333" t="s">
        <v>5789</v>
      </c>
      <c r="D23" s="161" t="s">
        <v>5790</v>
      </c>
      <c r="E23" s="333" t="s">
        <v>5791</v>
      </c>
      <c r="F23" s="161" t="s">
        <v>5792</v>
      </c>
      <c r="G23" s="333" t="str">
        <f>IFERROR(__xludf.DUMMYFUNCTION("GOOGLETRANSLATE(A23,""zh-tw"",""zh"")"),"塔罗牌-战车")</f>
        <v>塔罗牌-战车</v>
      </c>
      <c r="H23" s="161" t="str">
        <f>IFERROR(__xludf.DUMMYFUNCTION("GOOGLETRANSLATE(B23,""zh-tw"",""zh"")"),"召唤猫娘商店车")</f>
        <v>召唤猫娘商店车</v>
      </c>
      <c r="I23" s="335" t="str">
        <f>IFERROR(__xludf.DUMMYFUNCTION("GOOGLETRANSLATE(A23,""zh-tw"",""es-MX"")"),"Tarot - El Carro")</f>
        <v>Tarot - El Carro</v>
      </c>
      <c r="J23" s="162" t="str">
        <f>IFERROR(__xludf.DUMMYFUNCTION("GOOGLETRANSLATE(B23,""zh-tw"",""es-MX"")"),"Carrito de la tienda de Invocar a Chica Gato")</f>
        <v>Carrito de la tienda de Invocar a Chica Gato</v>
      </c>
      <c r="K23" s="333" t="s">
        <v>5793</v>
      </c>
      <c r="L23" s="162" t="str">
        <f>IFERROR(__xludf.DUMMYFUNCTION("GOOGLETRANSLATE(B23,""zh-tw"",""KO"")"),"고양이 소녀 상점 카트 소환")</f>
        <v>고양이 소녀 상점 카트 소환</v>
      </c>
      <c r="M23" s="335" t="str">
        <f>IFERROR(__xludf.DUMMYFUNCTION("GOOGLETRANSLATE(A23,""zh-tw"",""ru"")"),"Таро - Колесница")</f>
        <v>Таро - Колесница</v>
      </c>
      <c r="N23" s="162" t="str">
        <f>IFERROR(__xludf.DUMMYFUNCTION("GOOGLETRANSLATE(B23,""zh-tw"",""ru"")"),"Корзина магазина «Призыв девушки-кошки»")</f>
        <v>Корзина магазина «Призыв девушки-кошки»</v>
      </c>
      <c r="O23" s="333" t="s">
        <v>5794</v>
      </c>
      <c r="P23" s="161" t="s">
        <v>5795</v>
      </c>
      <c r="Q23" s="340" t="s">
        <v>5791</v>
      </c>
      <c r="R23" s="164" t="s">
        <v>5796</v>
      </c>
      <c r="S23" s="17"/>
      <c r="T23" s="17"/>
      <c r="U23" s="17"/>
      <c r="V23" s="17"/>
    </row>
    <row r="24">
      <c r="A24" s="333" t="s">
        <v>5797</v>
      </c>
      <c r="B24" s="161" t="s">
        <v>5798</v>
      </c>
      <c r="C24" s="333" t="s">
        <v>5799</v>
      </c>
      <c r="D24" s="161" t="s">
        <v>5800</v>
      </c>
      <c r="E24" s="333" t="s">
        <v>5801</v>
      </c>
      <c r="F24" s="161" t="s">
        <v>5802</v>
      </c>
      <c r="G24" s="333" t="str">
        <f>IFERROR(__xludf.DUMMYFUNCTION("GOOGLETRANSLATE(A24,""zh-tw"",""zh"")"),"塔罗牌-女祭司")</f>
        <v>塔罗牌-女祭司</v>
      </c>
      <c r="H24" s="161" t="str">
        <f>IFERROR(__xludf.DUMMYFUNCTION("GOOGLETRANSLATE(B24,""zh-tw"",""zh"")"),"召唤教堂")</f>
        <v>召唤教堂</v>
      </c>
      <c r="I24" s="335" t="str">
        <f>IFERROR(__xludf.DUMMYFUNCTION("GOOGLETRANSLATE(A24,""zh-tw"",""es-MX"")"),"Tarot - La Suma Sacerdotisa")</f>
        <v>Tarot - La Suma Sacerdotisa</v>
      </c>
      <c r="J24" s="162" t="str">
        <f>IFERROR(__xludf.DUMMYFUNCTION("GOOGLETRANSLATE(B24,""zh-tw"",""es-MX"")"),"Iglesia de invocación")</f>
        <v>Iglesia de invocación</v>
      </c>
      <c r="K24" s="333" t="s">
        <v>5803</v>
      </c>
      <c r="L24" s="161" t="s">
        <v>5804</v>
      </c>
      <c r="M24" s="335" t="str">
        <f>IFERROR(__xludf.DUMMYFUNCTION("GOOGLETRANSLATE(A24,""zh-tw"",""ru"")"),"Таро - Верховная Жрица")</f>
        <v>Таро - Верховная Жрица</v>
      </c>
      <c r="N24" s="162" t="str">
        <f>IFERROR(__xludf.DUMMYFUNCTION("GOOGLETRANSLATE(B24,""zh-tw"",""ru"")"),"Церковь призыва")</f>
        <v>Церковь призыва</v>
      </c>
      <c r="O24" s="333" t="s">
        <v>5805</v>
      </c>
      <c r="P24" s="161" t="s">
        <v>5806</v>
      </c>
      <c r="Q24" s="340" t="s">
        <v>5801</v>
      </c>
      <c r="R24" s="164" t="s">
        <v>5807</v>
      </c>
      <c r="S24" s="17"/>
      <c r="T24" s="17"/>
      <c r="U24" s="17"/>
      <c r="V24" s="17"/>
    </row>
    <row r="25">
      <c r="A25" s="333" t="s">
        <v>5808</v>
      </c>
      <c r="B25" s="161" t="s">
        <v>5809</v>
      </c>
      <c r="C25" s="333" t="s">
        <v>5810</v>
      </c>
      <c r="D25" s="161" t="s">
        <v>5811</v>
      </c>
      <c r="E25" s="333" t="s">
        <v>5812</v>
      </c>
      <c r="F25" s="161" t="s">
        <v>5813</v>
      </c>
      <c r="G25" s="333" t="str">
        <f>IFERROR(__xludf.DUMMYFUNCTION("GOOGLETRANSLATE(A25,""zh-tw"",""zh"")"),"塔罗牌-命运之轮")</f>
        <v>塔罗牌-命运之轮</v>
      </c>
      <c r="H25" s="161" t="str">
        <f>IFERROR(__xludf.DUMMYFUNCTION("GOOGLETRANSLATE(B25,""zh-tw"",""zh"")"),"随机BUFF效果")</f>
        <v>随机BUFF效果</v>
      </c>
      <c r="I25" s="335" t="str">
        <f>IFERROR(__xludf.DUMMYFUNCTION("GOOGLETRANSLATE(A25,""zh-tw"",""es-MX"")"),"Tarot - Rueda de la fortuna")</f>
        <v>Tarot - Rueda de la fortuna</v>
      </c>
      <c r="J25" s="162" t="str">
        <f>IFERROR(__xludf.DUMMYFUNCTION("GOOGLETRANSLATE(B25,""zh-tw"",""es-MX"")"),"Efectos de mejora aleatorios")</f>
        <v>Efectos de mejora aleatorios</v>
      </c>
      <c r="K25" s="333" t="s">
        <v>5814</v>
      </c>
      <c r="L25" s="161" t="s">
        <v>5815</v>
      </c>
      <c r="M25" s="335" t="str">
        <f>IFERROR(__xludf.DUMMYFUNCTION("GOOGLETRANSLATE(A25,""zh-tw"",""ru"")"),"Таро - Колесо Фортуны")</f>
        <v>Таро - Колесо Фортуны</v>
      </c>
      <c r="N25" s="162" t="str">
        <f>IFERROR(__xludf.DUMMYFUNCTION("GOOGLETRANSLATE(B25,""zh-tw"",""ru"")"),"Случайные положительные эффекты")</f>
        <v>Случайные положительные эффекты</v>
      </c>
      <c r="O25" s="333" t="s">
        <v>5816</v>
      </c>
      <c r="P25" s="161" t="s">
        <v>5817</v>
      </c>
      <c r="Q25" s="340" t="s">
        <v>5812</v>
      </c>
      <c r="R25" s="164" t="s">
        <v>5818</v>
      </c>
      <c r="S25" s="17"/>
      <c r="T25" s="17"/>
      <c r="U25" s="17"/>
      <c r="V25" s="17"/>
    </row>
    <row r="26">
      <c r="A26" s="333" t="s">
        <v>5819</v>
      </c>
      <c r="B26" s="161" t="s">
        <v>5820</v>
      </c>
      <c r="C26" s="333" t="s">
        <v>5821</v>
      </c>
      <c r="D26" s="161" t="s">
        <v>5822</v>
      </c>
      <c r="E26" s="333" t="s">
        <v>5823</v>
      </c>
      <c r="F26" s="161" t="s">
        <v>5824</v>
      </c>
      <c r="G26" s="333" t="str">
        <f>IFERROR(__xludf.DUMMYFUNCTION("GOOGLETRANSLATE(A26,""zh-tw"",""zh"")"),"塔罗牌-世界")</f>
        <v>塔罗牌-世界</v>
      </c>
      <c r="H26" s="161" t="str">
        <f>IFERROR(__xludf.DUMMYFUNCTION("GOOGLETRANSLATE(B26,""zh-tw"",""zh"")"),"重制场地")</f>
        <v>重制场地</v>
      </c>
      <c r="I26" s="335" t="str">
        <f>IFERROR(__xludf.DUMMYFUNCTION("GOOGLETRANSLATE(A26,""zh-tw"",""es-MX"")"),"Tarot - El Mundo")</f>
        <v>Tarot - El Mundo</v>
      </c>
      <c r="J26" s="162" t="str">
        <f>IFERROR(__xludf.DUMMYFUNCTION("GOOGLETRANSLATE(B26,""zh-tw"",""es-MX"")"),"Sitio de reconstrucción")</f>
        <v>Sitio de reconstrucción</v>
      </c>
      <c r="K26" s="335" t="str">
        <f>IFERROR(__xludf.DUMMYFUNCTION("GOOGLETRANSLATE(A26,""zh-tw"",""KO"")"),"타로 - 세계")</f>
        <v>타로 - 세계</v>
      </c>
      <c r="L26" s="161" t="s">
        <v>5825</v>
      </c>
      <c r="M26" s="335" t="str">
        <f>IFERROR(__xludf.DUMMYFUNCTION("GOOGLETRANSLATE(A26,""zh-tw"",""ru"")"),"Таро - Мир")</f>
        <v>Таро - Мир</v>
      </c>
      <c r="N26" s="162" t="str">
        <f>IFERROR(__xludf.DUMMYFUNCTION("GOOGLETRANSLATE(B26,""zh-tw"",""ru"")"),"Место реконструкции")</f>
        <v>Место реконструкции</v>
      </c>
      <c r="O26" s="333" t="s">
        <v>5826</v>
      </c>
      <c r="P26" s="161" t="s">
        <v>5827</v>
      </c>
      <c r="Q26" s="340" t="s">
        <v>5823</v>
      </c>
      <c r="R26" s="164" t="s">
        <v>5828</v>
      </c>
      <c r="S26" s="17"/>
      <c r="T26" s="17"/>
      <c r="U26" s="17"/>
      <c r="V26" s="17"/>
    </row>
    <row r="27">
      <c r="A27" s="333" t="s">
        <v>5829</v>
      </c>
      <c r="B27" s="161" t="s">
        <v>5830</v>
      </c>
      <c r="C27" s="346" t="s">
        <v>5831</v>
      </c>
      <c r="D27" s="347" t="str">
        <f>IFERROR(__xludf.DUMMYFUNCTION("GOOGLETRANSLATE(B27,""zh-tw"",""ja"")"),"一定時間内に1回復活することができます。")</f>
        <v>一定時間内に1回復活することができます。</v>
      </c>
      <c r="E27" s="333" t="s">
        <v>5832</v>
      </c>
      <c r="F27" s="161" t="s">
        <v>5833</v>
      </c>
      <c r="G27" s="333" t="str">
        <f>IFERROR(__xludf.DUMMYFUNCTION("GOOGLETRANSLATE(A27,""zh-tw"",""zh"")"),"塔罗牌-日")</f>
        <v>塔罗牌-日</v>
      </c>
      <c r="H27" s="161" t="str">
        <f>IFERROR(__xludf.DUMMYFUNCTION("GOOGLETRANSLATE(B27,""zh-tw"",""zh"")"),"一定时间内，可复活一次")</f>
        <v>一定时间内，可复活一次</v>
      </c>
      <c r="I27" s="335" t="str">
        <f>IFERROR(__xludf.DUMMYFUNCTION("GOOGLETRANSLATE(A27,""zh-tw"",""es-MX"")"),"Tarot - Sol")</f>
        <v>Tarot - Sol</v>
      </c>
      <c r="J27" s="162" t="str">
        <f>IFERROR(__xludf.DUMMYFUNCTION("GOOGLETRANSLATE(B27,""zh-tw"",""es-MX"")"),"Puedes revivir una vez dentro de un cierto período de tiempo.")</f>
        <v>Puedes revivir una vez dentro de un cierto período de tiempo.</v>
      </c>
      <c r="K27" s="362" t="s">
        <v>5834</v>
      </c>
      <c r="L27" s="161" t="s">
        <v>5835</v>
      </c>
      <c r="M27" s="335" t="str">
        <f>IFERROR(__xludf.DUMMYFUNCTION("GOOGLETRANSLATE(A27,""zh-tw"",""ru"")"),"Таро - Солнце")</f>
        <v>Таро - Солнце</v>
      </c>
      <c r="N27" s="162"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33" t="s">
        <v>5836</v>
      </c>
      <c r="P27" s="161" t="s">
        <v>5837</v>
      </c>
      <c r="Q27" s="340" t="s">
        <v>5832</v>
      </c>
      <c r="R27" s="164" t="s">
        <v>5838</v>
      </c>
      <c r="S27" s="17"/>
      <c r="T27" s="17"/>
      <c r="U27" s="17"/>
      <c r="V27" s="17"/>
    </row>
    <row r="28">
      <c r="A28" s="339" t="s">
        <v>5839</v>
      </c>
      <c r="B28" s="161" t="s">
        <v>5840</v>
      </c>
      <c r="C28" s="339" t="s">
        <v>5841</v>
      </c>
      <c r="D28" s="161" t="s">
        <v>5842</v>
      </c>
      <c r="E28" s="339" t="s">
        <v>5843</v>
      </c>
      <c r="F28" s="322" t="s">
        <v>5844</v>
      </c>
      <c r="G28" s="333" t="str">
        <f>IFERROR(__xludf.DUMMYFUNCTION("GOOGLETRANSLATE(A28,""zh-tw"",""zh"")"),"塔罗牌-死神")</f>
        <v>塔罗牌-死神</v>
      </c>
      <c r="H28" s="161"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35" t="str">
        <f>IFERROR(__xludf.DUMMYFUNCTION("GOOGLETRANSLATE(A28,""zh-tw"",""es-MX"")"),"Carta del Tarot - Muerte")</f>
        <v>Carta del Tarot - Muerte</v>
      </c>
      <c r="J28" s="162"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35" t="str">
        <f>IFERROR(__xludf.DUMMYFUNCTION("GOOGLETRANSLATE(A28,""zh-tw"",""KO"")"),"타로 카드 - 죽음")</f>
        <v>타로 카드 - 죽음</v>
      </c>
      <c r="L28" s="162"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35" t="str">
        <f>IFERROR(__xludf.DUMMYFUNCTION("GOOGLETRANSLATE(A28,""zh-tw"",""ru"")"),"Карта Таро - Смерть")</f>
        <v>Карта Таро - Смерть</v>
      </c>
      <c r="N28" s="162"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33" t="s">
        <v>5845</v>
      </c>
      <c r="P28" s="161" t="s">
        <v>5846</v>
      </c>
      <c r="Q28" s="340" t="s">
        <v>5843</v>
      </c>
      <c r="R28" s="164" t="s">
        <v>5847</v>
      </c>
      <c r="S28" s="17"/>
      <c r="T28" s="17"/>
      <c r="U28" s="17"/>
      <c r="V28" s="17"/>
    </row>
    <row r="29">
      <c r="A29" s="333" t="s">
        <v>5848</v>
      </c>
      <c r="B29" s="161" t="s">
        <v>5849</v>
      </c>
      <c r="C29" s="333" t="str">
        <f>IFERROR(__xludf.DUMMYFUNCTION("GOOGLETRANSLATE(A29,""zh-tw"",""ja"")"),"ジャック・ボム")</f>
        <v>ジャック・ボム</v>
      </c>
      <c r="D29" s="161" t="s">
        <v>5850</v>
      </c>
      <c r="E29" s="333" t="s">
        <v>5851</v>
      </c>
      <c r="F29" s="161" t="s">
        <v>5852</v>
      </c>
      <c r="G29" s="333" t="str">
        <f>IFERROR(__xludf.DUMMYFUNCTION("GOOGLETRANSLATE(A29,""zh-tw"",""zh"")"),"杰克爆弹")</f>
        <v>杰克爆弹</v>
      </c>
      <c r="H29" s="161" t="str">
        <f>IFERROR(__xludf.DUMMYFUNCTION("GOOGLETRANSLATE(B29,""zh-tw"",""zh"")"),"炸弹(无视防御)")</f>
        <v>炸弹(无视防御)</v>
      </c>
      <c r="I29" s="335" t="str">
        <f>IFERROR(__xludf.DUMMYFUNCTION("GOOGLETRANSLATE(A29,""zh-tw"",""es-MX"")"),"Jack Bomb")</f>
        <v>Jack Bomb</v>
      </c>
      <c r="J29" s="162" t="str">
        <f>IFERROR(__xludf.DUMMYFUNCTION("GOOGLETRANSLATE(B29,""zh-tw"",""es-MX"")"),"Bomba (ignora la defensa)")</f>
        <v>Bomba (ignora la defensa)</v>
      </c>
      <c r="K29" s="333" t="s">
        <v>5853</v>
      </c>
      <c r="L29" s="162" t="str">
        <f>IFERROR(__xludf.DUMMYFUNCTION("GOOGLETRANSLATE(B29,""zh-tw"",""KO"")"),"폭탄(방어 무시)")</f>
        <v>폭탄(방어 무시)</v>
      </c>
      <c r="M29" s="335" t="str">
        <f>IFERROR(__xludf.DUMMYFUNCTION("GOOGLETRANSLATE(A29,""zh-tw"",""ru"")"),"Джек Бомба")</f>
        <v>Джек Бомба</v>
      </c>
      <c r="N29" s="162" t="str">
        <f>IFERROR(__xludf.DUMMYFUNCTION("GOOGLETRANSLATE(B29,""zh-tw"",""ru"")"),"Бомба (игнорирует защиту)")</f>
        <v>Бомба (игнорирует защиту)</v>
      </c>
      <c r="O29" s="333" t="s">
        <v>5854</v>
      </c>
      <c r="P29" s="161" t="s">
        <v>5855</v>
      </c>
      <c r="Q29" s="340" t="s">
        <v>5851</v>
      </c>
      <c r="R29" s="164" t="s">
        <v>5856</v>
      </c>
      <c r="S29" s="17"/>
      <c r="T29" s="17"/>
      <c r="U29" s="17"/>
      <c r="V29" s="17"/>
    </row>
    <row r="30">
      <c r="A30" s="333" t="s">
        <v>5857</v>
      </c>
      <c r="B30" s="161" t="s">
        <v>5858</v>
      </c>
      <c r="C30" s="333" t="s">
        <v>5859</v>
      </c>
      <c r="D30" s="161" t="s">
        <v>5860</v>
      </c>
      <c r="E30" s="333" t="s">
        <v>5861</v>
      </c>
      <c r="F30" s="161" t="s">
        <v>5862</v>
      </c>
      <c r="G30" s="333" t="str">
        <f>IFERROR(__xludf.DUMMYFUNCTION("GOOGLETRANSLATE(A30,""zh-tw"",""zh"")"),"冰霜杰克爆弹")</f>
        <v>冰霜杰克爆弹</v>
      </c>
      <c r="H30" s="161" t="str">
        <f>IFERROR(__xludf.DUMMYFUNCTION("GOOGLETRANSLATE(B30,""zh-tw"",""zh"")"),"冰属性炸弹")</f>
        <v>冰属性炸弹</v>
      </c>
      <c r="I30" s="335" t="str">
        <f>IFERROR(__xludf.DUMMYFUNCTION("GOOGLETRANSLATE(A30,""zh-tw"",""es-MX"")"),"Bomba Frost Jack")</f>
        <v>Bomba Frost Jack</v>
      </c>
      <c r="J30" s="162" t="str">
        <f>IFERROR(__xludf.DUMMYFUNCTION("GOOGLETRANSLATE(B30,""zh-tw"",""es-MX"")"),"Bomba de hielo")</f>
        <v>Bomba de hielo</v>
      </c>
      <c r="K30" s="335" t="str">
        <f>IFERROR(__xludf.DUMMYFUNCTION("GOOGLETRANSLATE(A30,""zh-tw"",""KO"")"),"프로스트 잭 폭탄")</f>
        <v>프로스트 잭 폭탄</v>
      </c>
      <c r="L30" s="161" t="s">
        <v>5863</v>
      </c>
      <c r="M30" s="335" t="str">
        <f>IFERROR(__xludf.DUMMYFUNCTION("GOOGLETRANSLATE(A30,""zh-tw"",""ru"")"),"Фрост Джек Бомба")</f>
        <v>Фрост Джек Бомба</v>
      </c>
      <c r="N30" s="162" t="str">
        <f>IFERROR(__xludf.DUMMYFUNCTION("GOOGLETRANSLATE(B30,""zh-tw"",""ru"")"),"Ледяная бомба")</f>
        <v>Ледяная бомба</v>
      </c>
      <c r="O30" s="333" t="s">
        <v>5864</v>
      </c>
      <c r="P30" s="161" t="s">
        <v>5865</v>
      </c>
      <c r="Q30" s="340" t="s">
        <v>5861</v>
      </c>
      <c r="R30" s="164" t="s">
        <v>5866</v>
      </c>
      <c r="S30" s="17"/>
      <c r="T30" s="17"/>
      <c r="U30" s="17"/>
      <c r="V30" s="17"/>
    </row>
    <row r="31">
      <c r="A31" s="333" t="s">
        <v>5867</v>
      </c>
      <c r="B31" s="161" t="s">
        <v>5868</v>
      </c>
      <c r="C31" s="333" t="s">
        <v>5869</v>
      </c>
      <c r="D31" s="161" t="s">
        <v>5870</v>
      </c>
      <c r="E31" s="333" t="s">
        <v>5871</v>
      </c>
      <c r="F31" s="161" t="s">
        <v>5872</v>
      </c>
      <c r="G31" s="333" t="str">
        <f>IFERROR(__xludf.DUMMYFUNCTION("GOOGLETRANSLATE(A31,""zh-tw"",""zh"")"),"猛毒杰克爆弹")</f>
        <v>猛毒杰克爆弹</v>
      </c>
      <c r="H31" s="161" t="str">
        <f>IFERROR(__xludf.DUMMYFUNCTION("GOOGLETRANSLATE(B31,""zh-tw"",""zh"")"),"毒属性炸弹")</f>
        <v>毒属性炸弹</v>
      </c>
      <c r="I31" s="335" t="str">
        <f>IFERROR(__xludf.DUMMYFUNCTION("GOOGLETRANSLATE(A31,""zh-tw"",""es-MX"")"),"Bomba de Venom Jack")</f>
        <v>Bomba de Venom Jack</v>
      </c>
      <c r="J31" s="162" t="str">
        <f>IFERROR(__xludf.DUMMYFUNCTION("GOOGLETRANSLATE(B31,""zh-tw"",""es-MX"")"),"bomba venenosa")</f>
        <v>bomba venenosa</v>
      </c>
      <c r="K31" s="333" t="s">
        <v>5873</v>
      </c>
      <c r="L31" s="161" t="s">
        <v>5874</v>
      </c>
      <c r="M31" s="335" t="str">
        <f>IFERROR(__xludf.DUMMYFUNCTION("GOOGLETRANSLATE(A31,""zh-tw"",""ru"")"),"Веном Джек Бомба")</f>
        <v>Веном Джек Бомба</v>
      </c>
      <c r="N31" s="162" t="str">
        <f>IFERROR(__xludf.DUMMYFUNCTION("GOOGLETRANSLATE(B31,""zh-tw"",""ru"")"),"Ядовитая бомба")</f>
        <v>Ядовитая бомба</v>
      </c>
      <c r="O31" s="333" t="s">
        <v>5875</v>
      </c>
      <c r="P31" s="161" t="s">
        <v>5876</v>
      </c>
      <c r="Q31" s="340" t="s">
        <v>5871</v>
      </c>
      <c r="R31" s="164" t="s">
        <v>5877</v>
      </c>
      <c r="S31" s="17"/>
      <c r="T31" s="17"/>
      <c r="U31" s="17"/>
      <c r="V31" s="17"/>
    </row>
    <row r="32">
      <c r="A32" s="333" t="s">
        <v>5878</v>
      </c>
      <c r="B32" s="161" t="s">
        <v>5879</v>
      </c>
      <c r="C32" s="333" t="str">
        <f>IFERROR(__xludf.DUMMYFUNCTION("GOOGLETRANSLATE(A32,""zh-tw"",""ja"")"),"密封された時計")</f>
        <v>密封された時計</v>
      </c>
      <c r="D32" s="161" t="s">
        <v>5880</v>
      </c>
      <c r="E32" s="333" t="s">
        <v>5881</v>
      </c>
      <c r="F32" s="161" t="s">
        <v>5882</v>
      </c>
      <c r="G32" s="333" t="str">
        <f>IFERROR(__xludf.DUMMYFUNCTION("GOOGLETRANSLATE(A32,""zh-tw"",""zh"")"),"封存的时计")</f>
        <v>封存的时计</v>
      </c>
      <c r="H32" s="161" t="str">
        <f>IFERROR(__xludf.DUMMYFUNCTION("GOOGLETRANSLATE(B32,""zh-tw"",""zh"")"),"范围暂停")</f>
        <v>范围暂停</v>
      </c>
      <c r="I32" s="335" t="str">
        <f>IFERROR(__xludf.DUMMYFUNCTION("GOOGLETRANSLATE(A32,""zh-tw"",""es-MX"")"),"Relojes sellados")</f>
        <v>Relojes sellados</v>
      </c>
      <c r="J32" s="162" t="str">
        <f>IFERROR(__xludf.DUMMYFUNCTION("GOOGLETRANSLATE(B32,""zh-tw"",""es-MX"")"),"Pausa de rango")</f>
        <v>Pausa de rango</v>
      </c>
      <c r="K32" s="333" t="s">
        <v>5883</v>
      </c>
      <c r="L32" s="161" t="s">
        <v>5884</v>
      </c>
      <c r="M32" s="335" t="str">
        <f>IFERROR(__xludf.DUMMYFUNCTION("GOOGLETRANSLATE(A32,""zh-tw"",""ru"")"),"Герметичные часы")</f>
        <v>Герметичные часы</v>
      </c>
      <c r="N32" s="162" t="str">
        <f>IFERROR(__xludf.DUMMYFUNCTION("GOOGLETRANSLATE(B32,""zh-tw"",""ru"")"),"Пауза диапазона")</f>
        <v>Пауза диапазона</v>
      </c>
      <c r="O32" s="333" t="s">
        <v>5885</v>
      </c>
      <c r="P32" s="161" t="s">
        <v>5886</v>
      </c>
      <c r="Q32" s="340" t="s">
        <v>5887</v>
      </c>
      <c r="R32" s="164" t="s">
        <v>5888</v>
      </c>
      <c r="S32" s="17"/>
      <c r="T32" s="17"/>
      <c r="U32" s="17"/>
      <c r="V32" s="17"/>
    </row>
    <row r="33">
      <c r="A33" s="333" t="s">
        <v>5889</v>
      </c>
      <c r="B33" s="161" t="s">
        <v>5890</v>
      </c>
      <c r="C33" s="333" t="str">
        <f>IFERROR(__xludf.DUMMYFUNCTION("GOOGLETRANSLATE(A33,""zh-tw"",""ja"")"),"寿司プリン")</f>
        <v>寿司プリン</v>
      </c>
      <c r="D33" s="161" t="s">
        <v>5891</v>
      </c>
      <c r="E33" s="333" t="s">
        <v>5892</v>
      </c>
      <c r="F33" s="161" t="s">
        <v>5893</v>
      </c>
      <c r="G33" s="333" t="str">
        <f>IFERROR(__xludf.DUMMYFUNCTION("GOOGLETRANSLATE(A33,""zh-tw"",""zh"")"),"寿司布丁")</f>
        <v>寿司布丁</v>
      </c>
      <c r="H33" s="161" t="str">
        <f>IFERROR(__xludf.DUMMYFUNCTION("GOOGLETRANSLATE(B33,""zh-tw"",""zh"")"),"飞向恶魔商店的位置")</f>
        <v>飞向恶魔商店的位置</v>
      </c>
      <c r="I33" s="335" t="str">
        <f>IFERROR(__xludf.DUMMYFUNCTION("GOOGLETRANSLATE(A33,""zh-tw"",""es-MX"")"),"Pudín de sushi")</f>
        <v>Pudín de sushi</v>
      </c>
      <c r="J33" s="162" t="str">
        <f>IFERROR(__xludf.DUMMYFUNCTION("GOOGLETRANSLATE(B33,""zh-tw"",""es-MX"")"),"Vuela a la ubicación de la Tienda de Demonios")</f>
        <v>Vuela a la ubicación de la Tienda de Demonios</v>
      </c>
      <c r="K33" s="335" t="str">
        <f>IFERROR(__xludf.DUMMYFUNCTION("GOOGLETRANSLATE(A33,""zh-tw"",""KO"")"),"스시 푸딩")</f>
        <v>스시 푸딩</v>
      </c>
      <c r="L33" s="162" t="str">
        <f>IFERROR(__xludf.DUMMYFUNCTION("GOOGLETRANSLATE(B33,""zh-tw"",""KO"")"),"악마상점 위치로 날아가세요")</f>
        <v>악마상점 위치로 날아가세요</v>
      </c>
      <c r="M33" s="335" t="str">
        <f>IFERROR(__xludf.DUMMYFUNCTION("GOOGLETRANSLATE(A33,""zh-tw"",""ru"")"),"Суши-пудинг")</f>
        <v>Суши-пудинг</v>
      </c>
      <c r="N33" s="162" t="str">
        <f>IFERROR(__xludf.DUMMYFUNCTION("GOOGLETRANSLATE(B33,""zh-tw"",""ru"")"),"Летите к месту расположения Демонического Магазина.")</f>
        <v>Летите к месту расположения Демонического Магазина.</v>
      </c>
      <c r="O33" s="333" t="s">
        <v>5892</v>
      </c>
      <c r="P33" s="161" t="s">
        <v>5894</v>
      </c>
      <c r="Q33" s="340" t="s">
        <v>5892</v>
      </c>
      <c r="R33" s="164" t="s">
        <v>5895</v>
      </c>
      <c r="S33" s="17"/>
      <c r="T33" s="17"/>
      <c r="U33" s="17"/>
      <c r="V33" s="17"/>
    </row>
    <row r="34">
      <c r="A34" s="333" t="s">
        <v>5896</v>
      </c>
      <c r="B34" s="161" t="s">
        <v>5897</v>
      </c>
      <c r="C34" s="333" t="str">
        <f>IFERROR(__xludf.DUMMYFUNCTION("GOOGLETRANSLATE(A34,""zh-tw"",""ja"")"),"ポラロイド 1～35")</f>
        <v>ポラロイド 1～35</v>
      </c>
      <c r="D34" s="161" t="s">
        <v>5898</v>
      </c>
      <c r="E34" s="333" t="s">
        <v>5899</v>
      </c>
      <c r="F34" s="161" t="s">
        <v>5900</v>
      </c>
      <c r="G34" s="333" t="str">
        <f>IFERROR(__xludf.DUMMYFUNCTION("GOOGLETRANSLATE(A34,""zh-tw"",""zh"")"),"拍立得1~35")</f>
        <v>拍立得1~35</v>
      </c>
      <c r="H34" s="161" t="str">
        <f>IFERROR(__xludf.DUMMYFUNCTION("GOOGLETRANSLATE(B34,""zh-tw"",""zh"")"),"查看优质照片")</f>
        <v>查看优质照片</v>
      </c>
      <c r="I34" s="335" t="str">
        <f>IFERROR(__xludf.DUMMYFUNCTION("GOOGLETRANSLATE(A34,""zh-tw"",""es-MX"")"),"Polaroid 1~35")</f>
        <v>Polaroid 1~35</v>
      </c>
      <c r="J34" s="162" t="str">
        <f>IFERROR(__xludf.DUMMYFUNCTION("GOOGLETRANSLATE(B34,""zh-tw"",""es-MX"")"),"Ver fotos de alta calidad")</f>
        <v>Ver fotos de alta calidad</v>
      </c>
      <c r="K34" s="335" t="str">
        <f>IFERROR(__xludf.DUMMYFUNCTION("GOOGLETRANSLATE(A34,""zh-tw"",""KO"")"),"폴라로이드 1~35")</f>
        <v>폴라로이드 1~35</v>
      </c>
      <c r="L34" s="162" t="str">
        <f>IFERROR(__xludf.DUMMYFUNCTION("GOOGLETRANSLATE(B34,""zh-tw"",""KO"")"),"고품질 사진 보기")</f>
        <v>고품질 사진 보기</v>
      </c>
      <c r="M34" s="335" t="str">
        <f>IFERROR(__xludf.DUMMYFUNCTION("GOOGLETRANSLATE(A34,""zh-tw"",""ru"")"),"Полароид 1~35")</f>
        <v>Полароид 1~35</v>
      </c>
      <c r="N34" s="162" t="str">
        <f>IFERROR(__xludf.DUMMYFUNCTION("GOOGLETRANSLATE(B34,""zh-tw"",""ru"")"),"Посмотреть качественные фотографии")</f>
        <v>Посмотреть качественные фотографии</v>
      </c>
      <c r="O34" s="333" t="s">
        <v>5901</v>
      </c>
      <c r="P34" s="161" t="s">
        <v>5902</v>
      </c>
      <c r="Q34" s="340" t="s">
        <v>5899</v>
      </c>
      <c r="R34" s="164" t="s">
        <v>5903</v>
      </c>
      <c r="S34" s="17"/>
      <c r="T34" s="17"/>
      <c r="U34" s="17"/>
      <c r="V34" s="17"/>
    </row>
    <row r="35">
      <c r="A35" s="333" t="s">
        <v>5904</v>
      </c>
      <c r="B35" s="161" t="s">
        <v>5905</v>
      </c>
      <c r="C35" s="333" t="s">
        <v>5906</v>
      </c>
      <c r="D35" s="161" t="s">
        <v>5907</v>
      </c>
      <c r="E35" s="333" t="s">
        <v>5908</v>
      </c>
      <c r="F35" s="161" t="s">
        <v>5909</v>
      </c>
      <c r="G35" s="333" t="str">
        <f>IFERROR(__xludf.DUMMYFUNCTION("GOOGLETRANSLATE(A35,""zh-tw"",""zh"")"),"魔力小凝胶")</f>
        <v>魔力小凝胶</v>
      </c>
      <c r="H35" s="161" t="str">
        <f>IFERROR(__xludf.DUMMYFUNCTION("GOOGLETRANSLATE(B35,""zh-tw"",""zh"")"),"扩充格子")</f>
        <v>扩充格子</v>
      </c>
      <c r="I35" s="335" t="str">
        <f>IFERROR(__xludf.DUMMYFUNCTION("GOOGLETRANSLATE(A35,""zh-tw"",""es-MX"")"),"Gel mágico")</f>
        <v>Gel mágico</v>
      </c>
      <c r="J35" s="162" t="str">
        <f>IFERROR(__xludf.DUMMYFUNCTION("GOOGLETRANSLATE(B35,""zh-tw"",""es-MX"")"),"Ampliar la cuadrícula")</f>
        <v>Ampliar la cuadrícula</v>
      </c>
      <c r="K35" s="334" t="s">
        <v>5910</v>
      </c>
      <c r="L35" s="162" t="str">
        <f>IFERROR(__xludf.DUMMYFUNCTION("GOOGLETRANSLATE(B35,""zh-tw"",""KO"")"),"그리드 확장")</f>
        <v>그리드 확장</v>
      </c>
      <c r="M35" s="335" t="str">
        <f>IFERROR(__xludf.DUMMYFUNCTION("GOOGLETRANSLATE(A35,""zh-tw"",""ru"")"),"Волшебный гель")</f>
        <v>Волшебный гель</v>
      </c>
      <c r="N35" s="162" t="str">
        <f>IFERROR(__xludf.DUMMYFUNCTION("GOOGLETRANSLATE(B35,""zh-tw"",""ru"")"),"Развернуть сетку")</f>
        <v>Развернуть сетку</v>
      </c>
      <c r="O35" s="333" t="s">
        <v>5911</v>
      </c>
      <c r="P35" s="161" t="s">
        <v>5912</v>
      </c>
      <c r="Q35" s="340" t="s">
        <v>5913</v>
      </c>
      <c r="R35" s="164" t="s">
        <v>5914</v>
      </c>
      <c r="S35" s="17"/>
      <c r="T35" s="17"/>
      <c r="U35" s="17"/>
      <c r="V35" s="17"/>
    </row>
    <row r="36">
      <c r="A36" s="333" t="s">
        <v>5915</v>
      </c>
      <c r="B36" s="161" t="s">
        <v>5916</v>
      </c>
      <c r="C36" s="333" t="s">
        <v>5917</v>
      </c>
      <c r="D36" s="161" t="s">
        <v>5918</v>
      </c>
      <c r="E36" s="333" t="s">
        <v>5919</v>
      </c>
      <c r="F36" s="161" t="s">
        <v>5920</v>
      </c>
      <c r="G36" s="333" t="str">
        <f>IFERROR(__xludf.DUMMYFUNCTION("GOOGLETRANSLATE(A36,""zh-tw"",""zh"")"),"百合同人本")</f>
        <v>百合同人本</v>
      </c>
      <c r="H36" s="161" t="str">
        <f>IFERROR(__xludf.DUMMYFUNCTION("GOOGLETRANSLATE(B36,""zh-tw"",""zh"")"),"提升性欲
(战车商店贩售)")</f>
        <v>提升性欲
(战车商店贩售)</v>
      </c>
      <c r="I36" s="335" t="str">
        <f>IFERROR(__xludf.DUMMYFUNCTION("GOOGLETRANSLATE(A36,""zh-tw"",""es-MX"")"),"Baijejejejeje")</f>
        <v>Baijejejejeje</v>
      </c>
      <c r="J36" s="162" t="str">
        <f>IFERROR(__xludf.DUMMYFUNCTION("GOOGLETRANSLATE(B36,""zh-tw"",""es-MX"")"),"Aumenta la libido
(Disponible en la tienda de tanques)")</f>
        <v>Aumenta la libido
(Disponible en la tienda de tanques)</v>
      </c>
      <c r="K36" s="335" t="str">
        <f>IFERROR(__xludf.DUMMYFUNCTION("GOOGLETRANSLATE(A36,""zh-tw"",""KO"")"),"바이헤헤헤헤헤")</f>
        <v>바이헤헤헤헤헤</v>
      </c>
      <c r="L36" s="161" t="s">
        <v>5921</v>
      </c>
      <c r="M36" s="335" t="str">
        <f>IFERROR(__xludf.DUMMYFUNCTION("GOOGLETRANSLATE(A36,""zh-tw"",""ru"")"),"Байхехехехе")</f>
        <v>Байхехехехе</v>
      </c>
      <c r="N36" s="162" t="str">
        <f>IFERROR(__xludf.DUMMYFUNCTION("GOOGLETRANSLATE(B36,""zh-tw"",""ru"")"),"Повышает либидо
(Продаётся в магазине Tank Shop)")</f>
        <v>Повышает либидо
(Продаётся в магазине Tank Shop)</v>
      </c>
      <c r="O36" s="333" t="s">
        <v>5922</v>
      </c>
      <c r="P36" s="161" t="s">
        <v>5923</v>
      </c>
      <c r="Q36" s="340" t="s">
        <v>5924</v>
      </c>
      <c r="R36" s="164" t="s">
        <v>5925</v>
      </c>
      <c r="S36" s="17"/>
      <c r="T36" s="17"/>
      <c r="U36" s="17"/>
      <c r="V36" s="17"/>
    </row>
    <row r="37">
      <c r="A37" s="333" t="s">
        <v>5926</v>
      </c>
      <c r="B37" s="161" t="s">
        <v>5916</v>
      </c>
      <c r="C37" s="333" t="s">
        <v>5927</v>
      </c>
      <c r="D37" s="161" t="s">
        <v>5928</v>
      </c>
      <c r="E37" s="333" t="s">
        <v>5929</v>
      </c>
      <c r="F37" s="161" t="s">
        <v>5920</v>
      </c>
      <c r="G37" s="333" t="str">
        <f>IFERROR(__xludf.DUMMYFUNCTION("GOOGLETRANSLATE(A37,""zh-tw"",""zh"")"),"萌萌同人本")</f>
        <v>萌萌同人本</v>
      </c>
      <c r="H37" s="161" t="str">
        <f>IFERROR(__xludf.DUMMYFUNCTION("GOOGLETRANSLATE(B37,""zh-tw"",""zh"")"),"提升性欲
(战车商店贩售)")</f>
        <v>提升性欲
(战车商店贩售)</v>
      </c>
      <c r="I37" s="335" t="str">
        <f>IFERROR(__xludf.DUMMYFUNCTION("GOOGLETRANSLATE(A37,""zh-tw"",""es-MX"")"),"lindo doujinshi")</f>
        <v>lindo doujinshi</v>
      </c>
      <c r="J37" s="162" t="str">
        <f>IFERROR(__xludf.DUMMYFUNCTION("GOOGLETRANSLATE(B37,""zh-tw"",""es-MX"")"),"Aumenta la libido
(Disponible en la tienda de tanques)")</f>
        <v>Aumenta la libido
(Disponible en la tienda de tanques)</v>
      </c>
      <c r="K37" s="334" t="s">
        <v>5910</v>
      </c>
      <c r="L37" s="162" t="str">
        <f>IFERROR(__xludf.DUMMYFUNCTION("GOOGLETRANSLATE(B37,""zh-tw"",""KO"")"),"성욕 증진
(탱크샵에서 구매 가능)")</f>
        <v>성욕 증진
(탱크샵에서 구매 가능)</v>
      </c>
      <c r="M37" s="335" t="str">
        <f>IFERROR(__xludf.DUMMYFUNCTION("GOOGLETRANSLATE(A37,""zh-tw"",""ru"")"),"Милый додзинси")</f>
        <v>Милый додзинси</v>
      </c>
      <c r="N37" s="162" t="str">
        <f>IFERROR(__xludf.DUMMYFUNCTION("GOOGLETRANSLATE(B37,""zh-tw"",""ru"")"),"Повышает либидо
(Продаётся в магазине Tank Shop)")</f>
        <v>Повышает либидо
(Продаётся в магазине Tank Shop)</v>
      </c>
      <c r="O37" s="333" t="s">
        <v>5911</v>
      </c>
      <c r="P37" s="161" t="s">
        <v>5912</v>
      </c>
      <c r="Q37" s="340" t="s">
        <v>5930</v>
      </c>
      <c r="R37" s="164" t="s">
        <v>5925</v>
      </c>
      <c r="S37" s="17"/>
      <c r="T37" s="17"/>
      <c r="U37" s="17"/>
      <c r="V37" s="17"/>
    </row>
    <row r="38">
      <c r="A38" s="333" t="s">
        <v>5931</v>
      </c>
      <c r="B38" s="161" t="s">
        <v>5932</v>
      </c>
      <c r="C38" s="333" t="s">
        <v>5933</v>
      </c>
      <c r="D38" s="161" t="s">
        <v>5934</v>
      </c>
      <c r="E38" s="333" t="s">
        <v>5935</v>
      </c>
      <c r="F38" s="161" t="s">
        <v>5936</v>
      </c>
      <c r="G38" s="333" t="str">
        <f>IFERROR(__xludf.DUMMYFUNCTION("GOOGLETRANSLATE(A38,""zh-tw"",""zh"")"),"电风扇")</f>
        <v>电风扇</v>
      </c>
      <c r="H38" s="161" t="str">
        <f>IFERROR(__xludf.DUMMYFUNCTION("GOOGLETRANSLATE(B38,""zh-tw"",""zh"")"),"炎热剧情道具
(战车商店贩售)")</f>
        <v>炎热剧情道具
(战车商店贩售)</v>
      </c>
      <c r="I38" s="335" t="str">
        <f>IFERROR(__xludf.DUMMYFUNCTION("GOOGLETRANSLATE(A38,""zh-tw"",""es-MX"")"),"ventilador eléctrico")</f>
        <v>ventilador eléctrico</v>
      </c>
      <c r="J38" s="162" t="str">
        <f>IFERROR(__xludf.DUMMYFUNCTION("GOOGLETRANSLATE(B38,""zh-tw"",""es-MX"")"),"Artículos de la historia de moda
(Se venden en la Tienda de Tanques)")</f>
        <v>Artículos de la historia de moda
(Se venden en la Tienda de Tanques)</v>
      </c>
      <c r="K38" s="335" t="str">
        <f>IFERROR(__xludf.DUMMYFUNCTION("GOOGLETRANSLATE(A38,""zh-tw"",""KO"")"),"선풍기")</f>
        <v>선풍기</v>
      </c>
      <c r="L38" s="161" t="s">
        <v>5921</v>
      </c>
      <c r="M38" s="335" t="str">
        <f>IFERROR(__xludf.DUMMYFUNCTION("GOOGLETRANSLATE(A38,""zh-tw"",""ru"")"),"электрический вентилятор")</f>
        <v>электрический вентилятор</v>
      </c>
      <c r="N38" s="162"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33" t="s">
        <v>5922</v>
      </c>
      <c r="P38" s="161" t="s">
        <v>5923</v>
      </c>
      <c r="Q38" s="340" t="s">
        <v>5937</v>
      </c>
      <c r="R38" s="164" t="s">
        <v>5938</v>
      </c>
      <c r="S38" s="17"/>
      <c r="T38" s="17"/>
      <c r="U38" s="17"/>
      <c r="V38" s="17"/>
    </row>
    <row r="39">
      <c r="A39" s="339" t="s">
        <v>5939</v>
      </c>
      <c r="B39" s="162" t="s">
        <v>5940</v>
      </c>
      <c r="C39" s="335" t="s">
        <v>5941</v>
      </c>
      <c r="D39" s="162" t="s">
        <v>5942</v>
      </c>
      <c r="E39" s="335" t="s">
        <v>5943</v>
      </c>
      <c r="F39" s="162" t="s">
        <v>5944</v>
      </c>
      <c r="G39" s="333" t="str">
        <f>IFERROR(__xludf.DUMMYFUNCTION("GOOGLETRANSLATE(A39,""zh-tw"",""zh"")"),"茶点心券")</f>
        <v>茶点心券</v>
      </c>
      <c r="H39" s="161"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35" t="str">
        <f>IFERROR(__xludf.DUMMYFUNCTION("GOOGLETRANSLATE(A39,""zh-tw"",""es-MX"")"),"Cupones para té y snacks")</f>
        <v>Cupones para té y snacks</v>
      </c>
      <c r="J39" s="162"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35" t="str">
        <f>IFERROR(__xludf.DUMMYFUNCTION("GOOGLETRANSLATE(A39,""zh-tw"",""KO"")"),"차와 간식 쿠폰")</f>
        <v>차와 간식 쿠폰</v>
      </c>
      <c r="L39" s="162"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35" t="str">
        <f>IFERROR(__xludf.DUMMYFUNCTION("GOOGLETRANSLATE(A39,""zh-tw"",""ru"")"),"Купоны на чай и закуски")</f>
        <v>Купоны на чай и закуски</v>
      </c>
      <c r="N39" s="162"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33" t="s">
        <v>5945</v>
      </c>
      <c r="P39" s="161" t="s">
        <v>5946</v>
      </c>
      <c r="Q39" s="340" t="s">
        <v>5947</v>
      </c>
      <c r="R39" s="186" t="s">
        <v>5948</v>
      </c>
      <c r="S39" s="17"/>
      <c r="T39" s="17"/>
      <c r="U39" s="17"/>
      <c r="V39" s="17"/>
    </row>
    <row r="40">
      <c r="A40" s="333" t="s">
        <v>5949</v>
      </c>
      <c r="B40" s="161" t="s">
        <v>5950</v>
      </c>
      <c r="C40" s="333" t="s">
        <v>5951</v>
      </c>
      <c r="D40" s="161" t="s">
        <v>5952</v>
      </c>
      <c r="E40" s="333" t="s">
        <v>5953</v>
      </c>
      <c r="F40" s="161" t="s">
        <v>5954</v>
      </c>
      <c r="G40" s="333" t="str">
        <f>IFERROR(__xludf.DUMMYFUNCTION("GOOGLETRANSLATE(A40,""zh-tw"",""zh"")"),"超敏软Q水馒头")</f>
        <v>超敏软Q水馒头</v>
      </c>
      <c r="H40" s="161" t="str">
        <f>IFERROR(__xludf.DUMMYFUNCTION("GOOGLETRANSLATE(B40,""zh-tw"",""zh"")"),"于AKI商店购买
提升敏感度")</f>
        <v>于AKI商店购买
提升敏感度</v>
      </c>
      <c r="I40" s="335" t="str">
        <f>IFERROR(__xludf.DUMMYFUNCTION("GOOGLETRANSLATE(A40,""zh-tw"",""es-MX"")"),"Bollos al vapor súper sensibles, suaves y masticables")</f>
        <v>Bollos al vapor súper sensibles, suaves y masticables</v>
      </c>
      <c r="J40" s="162" t="str">
        <f>IFERROR(__xludf.DUMMYFUNCTION("GOOGLETRANSLATE(B40,""zh-tw"",""es-MX"")"),"Comprado en la tienda AKI.
Aumenta la sensibilidad.")</f>
        <v>Comprado en la tienda AKI.
Aumenta la sensibilidad.</v>
      </c>
      <c r="K40" s="335" t="str">
        <f>IFERROR(__xludf.DUMMYFUNCTION("GOOGLETRANSLATE(A40,""zh-tw"",""KO"")"),"초민감 부드럽고 쫄깃한 찐빵")</f>
        <v>초민감 부드럽고 쫄깃한 찐빵</v>
      </c>
      <c r="L40" s="162" t="str">
        <f>IFERROR(__xludf.DUMMYFUNCTION("GOOGLETRANSLATE(B40,""zh-tw"",""KO"")"),"AKI 스토어에서 구매
민감도 증가")</f>
        <v>AKI 스토어에서 구매
민감도 증가</v>
      </c>
      <c r="M40" s="335"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2" t="str">
        <f>IFERROR(__xludf.DUMMYFUNCTION("GOOGLETRANSLATE(B40,""zh-tw"",""ru"")"),"Куплено в магазине AKI
Повышает чувствительность")</f>
        <v>Куплено в магазине AKI
Повышает чувствительность</v>
      </c>
      <c r="O40" s="333" t="s">
        <v>5955</v>
      </c>
      <c r="P40" s="161" t="s">
        <v>5956</v>
      </c>
      <c r="Q40" s="340" t="s">
        <v>5957</v>
      </c>
      <c r="R40" s="164" t="s">
        <v>5958</v>
      </c>
      <c r="S40" s="17"/>
      <c r="T40" s="17"/>
      <c r="U40" s="17"/>
      <c r="V40" s="17"/>
    </row>
    <row r="41">
      <c r="A41" s="333" t="s">
        <v>5959</v>
      </c>
      <c r="B41" s="161" t="s">
        <v>5960</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5961</v>
      </c>
      <c r="F41" s="161" t="s">
        <v>5962</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5963</v>
      </c>
      <c r="P41" s="317" t="s">
        <v>5964</v>
      </c>
      <c r="Q41" s="354" t="s">
        <v>5965</v>
      </c>
      <c r="R41" s="164" t="s">
        <v>5966</v>
      </c>
      <c r="S41" s="17"/>
      <c r="T41" s="17"/>
      <c r="U41" s="17"/>
      <c r="V41" s="17"/>
    </row>
    <row r="42">
      <c r="A42" s="333" t="s">
        <v>5967</v>
      </c>
      <c r="B42" s="161" t="s">
        <v>5960</v>
      </c>
      <c r="C42" s="333" t="s">
        <v>5968</v>
      </c>
      <c r="D42" s="161" t="s">
        <v>5969</v>
      </c>
      <c r="E42" s="333" t="s">
        <v>5970</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5971</v>
      </c>
      <c r="P42" s="161" t="s">
        <v>5972</v>
      </c>
      <c r="Q42" s="354" t="s">
        <v>5973</v>
      </c>
      <c r="R42" s="164" t="s">
        <v>3201</v>
      </c>
      <c r="S42" s="17"/>
      <c r="T42" s="17"/>
      <c r="U42" s="17"/>
      <c r="V42" s="17"/>
    </row>
    <row r="43">
      <c r="A43" s="339" t="s">
        <v>5974</v>
      </c>
      <c r="B43" s="162" t="s">
        <v>5975</v>
      </c>
      <c r="C43" s="333" t="s">
        <v>5976</v>
      </c>
      <c r="D43" s="161" t="s">
        <v>5977</v>
      </c>
      <c r="E43" s="333" t="s">
        <v>5978</v>
      </c>
      <c r="F43" s="161" t="s">
        <v>5979</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Polaroid de la fiesta del té")</f>
        <v>Colección Polaroid de la fiesta del té</v>
      </c>
      <c r="J43" s="162" t="str">
        <f>IFERROR(__xludf.DUMMYFUNCTION("GOOGLETRANSLATE(B43,""zh-tw"",""es-MX"")"),"Aumenta el valor de la suerte al completarlo")</f>
        <v>Aumenta el valor de la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5980</v>
      </c>
      <c r="P43" s="161" t="s">
        <v>5981</v>
      </c>
      <c r="Q43" s="354" t="s">
        <v>5982</v>
      </c>
      <c r="R43" s="186" t="s">
        <v>5983</v>
      </c>
      <c r="S43" s="17"/>
      <c r="T43" s="17"/>
      <c r="U43" s="17"/>
      <c r="V43" s="17"/>
    </row>
    <row r="44">
      <c r="A44" s="333" t="s">
        <v>5984</v>
      </c>
      <c r="B44" s="161" t="s">
        <v>5985</v>
      </c>
      <c r="C44" s="333" t="s">
        <v>5986</v>
      </c>
      <c r="D44" s="161" t="s">
        <v>5987</v>
      </c>
      <c r="E44" s="333" t="s">
        <v>5988</v>
      </c>
      <c r="F44" s="161" t="s">
        <v>5989</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5988</v>
      </c>
      <c r="P44" s="186" t="s">
        <v>5990</v>
      </c>
      <c r="Q44" s="346" t="s">
        <v>5988</v>
      </c>
      <c r="R44" s="186" t="s">
        <v>5991</v>
      </c>
      <c r="S44" s="17"/>
      <c r="T44" s="17"/>
      <c r="U44" s="17"/>
      <c r="V44" s="17"/>
    </row>
    <row r="45">
      <c r="A45" s="333" t="s">
        <v>5992</v>
      </c>
      <c r="B45" s="161" t="s">
        <v>5993</v>
      </c>
      <c r="C45" s="333" t="s">
        <v>5994</v>
      </c>
      <c r="D45" s="161" t="s">
        <v>5995</v>
      </c>
      <c r="E45" s="333" t="s">
        <v>5996</v>
      </c>
      <c r="F45" s="161" t="s">
        <v>5997</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áreas pueden requerir una conexión a Internet internacional)")</f>
        <v>Consejos de viaje (algunas áreas pueden requerir una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5998</v>
      </c>
      <c r="P45" s="186" t="s">
        <v>5999</v>
      </c>
      <c r="Q45" s="346" t="s">
        <v>6000</v>
      </c>
      <c r="R45" s="186" t="s">
        <v>6001</v>
      </c>
      <c r="S45" s="17"/>
      <c r="T45" s="17"/>
      <c r="U45" s="17"/>
      <c r="V45" s="17"/>
    </row>
    <row r="46">
      <c r="A46" s="333" t="s">
        <v>6002</v>
      </c>
      <c r="B46" s="161" t="s">
        <v>6003</v>
      </c>
      <c r="C46" s="333" t="s">
        <v>6004</v>
      </c>
      <c r="D46" s="161" t="s">
        <v>6005</v>
      </c>
      <c r="E46" s="333" t="s">
        <v>6006</v>
      </c>
      <c r="F46" s="161" t="s">
        <v>6007</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6008</v>
      </c>
      <c r="P46" s="186" t="s">
        <v>6009</v>
      </c>
      <c r="Q46" s="346" t="s">
        <v>6010</v>
      </c>
      <c r="R46" s="186" t="s">
        <v>6011</v>
      </c>
      <c r="S46" s="17"/>
      <c r="T46" s="17"/>
      <c r="U46" s="17"/>
      <c r="V46" s="17"/>
    </row>
    <row r="47">
      <c r="A47" s="333" t="s">
        <v>6012</v>
      </c>
      <c r="B47" s="161" t="s">
        <v>6013</v>
      </c>
      <c r="C47" s="333" t="s">
        <v>6014</v>
      </c>
      <c r="D47" s="161" t="s">
        <v>6015</v>
      </c>
      <c r="E47" s="333" t="s">
        <v>6016</v>
      </c>
      <c r="F47" s="161" t="s">
        <v>6017</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medular rojo")</f>
        <v>Líquido medular rojo</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6018</v>
      </c>
      <c r="R47" s="186" t="s">
        <v>6019</v>
      </c>
      <c r="S47" s="17"/>
      <c r="T47" s="17"/>
      <c r="U47" s="17"/>
      <c r="V47" s="17"/>
    </row>
    <row r="48">
      <c r="A48" s="333" t="s">
        <v>6020</v>
      </c>
      <c r="B48" s="161" t="s">
        <v>6021</v>
      </c>
      <c r="C48" s="333" t="s">
        <v>6022</v>
      </c>
      <c r="D48" s="161" t="s">
        <v>6023</v>
      </c>
      <c r="E48" s="333" t="s">
        <v>6024</v>
      </c>
      <c r="F48" s="161" t="s">
        <v>6025</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6026</v>
      </c>
      <c r="R48" s="186" t="s">
        <v>6027</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6028</v>
      </c>
      <c r="B1" s="366" t="s">
        <v>235</v>
      </c>
      <c r="C1" s="367" t="s">
        <v>6029</v>
      </c>
      <c r="F1" s="365" t="s">
        <v>6030</v>
      </c>
      <c r="G1" s="366" t="s">
        <v>235</v>
      </c>
      <c r="H1" s="368" t="s">
        <v>6031</v>
      </c>
      <c r="K1" s="365" t="s">
        <v>6032</v>
      </c>
      <c r="L1" s="366" t="s">
        <v>235</v>
      </c>
      <c r="M1" s="368" t="s">
        <v>6033</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(extiende la duración de la incursión nocturna)")</f>
        <v>El efecto de estar bien alimentado (extiende la duración de la incursión nocturna)</v>
      </c>
      <c r="V1" s="366" t="s">
        <v>235</v>
      </c>
      <c r="W1" s="36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5" t="str">
        <f>IFERROR(__xludf.DUMMYFUNCTION("GOOGLETRANSLATE(A1,""zh-tw"",""KO"")"),"배불리 먹는 효과 (야간 습격 지속 시간 연장)")</f>
        <v>배불리 먹는 효과 (야간 습격 지속 시간 연장)</v>
      </c>
      <c r="AA1" s="366" t="s">
        <v>235</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235</v>
      </c>
      <c r="AG1" s="369"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0" t="s">
        <v>6034</v>
      </c>
      <c r="AK1" s="366" t="s">
        <v>235</v>
      </c>
      <c r="AL1" s="367" t="s">
        <v>6035</v>
      </c>
      <c r="AO1" s="371" t="s">
        <v>6036</v>
      </c>
      <c r="AP1" s="372" t="s">
        <v>235</v>
      </c>
      <c r="AQ1" s="183" t="s">
        <v>6037</v>
      </c>
    </row>
    <row r="2" ht="75.0" customHeight="1">
      <c r="A2" s="365" t="s">
        <v>6038</v>
      </c>
      <c r="B2" s="366" t="s">
        <v>786</v>
      </c>
      <c r="F2" s="365" t="s">
        <v>6039</v>
      </c>
      <c r="G2" s="366" t="s">
        <v>786</v>
      </c>
      <c r="K2" s="365" t="s">
        <v>6040</v>
      </c>
      <c r="L2" s="366" t="s">
        <v>786</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casual).")</f>
        <v>Mi hermana lloró porque la comida estaba muy picante (desencadenante casual).</v>
      </c>
      <c r="V2" s="366" t="s">
        <v>786</v>
      </c>
      <c r="Z2" s="365" t="str">
        <f>IFERROR(__xludf.DUMMYFUNCTION("GOOGLETRANSLATE(A2,""zh-tw"",""KO"")"),"언니는 음식이 너무 매워서 울었어요(우연에 의한 트리거).")</f>
        <v>언니는 음식이 너무 매워서 울었어요(우연에 의한 트리거).</v>
      </c>
      <c r="AA2" s="366" t="s">
        <v>786</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786</v>
      </c>
      <c r="AJ2" s="370" t="s">
        <v>6041</v>
      </c>
      <c r="AK2" s="366" t="s">
        <v>786</v>
      </c>
      <c r="AO2" s="181" t="s">
        <v>6042</v>
      </c>
      <c r="AP2" s="373" t="s">
        <v>786</v>
      </c>
    </row>
    <row r="3">
      <c r="A3" s="374" t="s">
        <v>6043</v>
      </c>
      <c r="B3" s="375" t="s">
        <v>5569</v>
      </c>
      <c r="F3" s="374" t="str">
        <f>IFERROR(__xludf.DUMMYFUNCTION("GOOGLETRANSLATE(A3,""zh-tw"",""ja"")"),"料理名")</f>
        <v>料理名</v>
      </c>
      <c r="G3" s="375" t="str">
        <f>IFERROR(__xludf.DUMMYFUNCTION("GOOGLETRANSLATE(B3,""zh-tw"",""ja"")"),"効果")</f>
        <v>効果</v>
      </c>
      <c r="K3" s="374" t="s">
        <v>6044</v>
      </c>
      <c r="L3" s="375" t="s">
        <v>6045</v>
      </c>
      <c r="P3" s="67" t="str">
        <f>IFERROR(__xludf.DUMMYFUNCTION("GOOGLETRANSLATE(A3,""zh-tw"",""zh"")"),"料理名")</f>
        <v>料理名</v>
      </c>
      <c r="Q3" s="66" t="str">
        <f>IFERROR(__xludf.DUMMYFUNCTION("GOOGLETRANSLATE(B3,""zh-tw"",""zh"")"),"效果")</f>
        <v>效果</v>
      </c>
      <c r="U3" s="374" t="str">
        <f>IFERROR(__xludf.DUMMYFUNCTION("GOOGLETRANSLATE(A3,""zh-tw"",""es-MX"")"),"Nombre de los platos")</f>
        <v>Nombre de los platos</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6046</v>
      </c>
      <c r="AK3" s="376" t="s">
        <v>6047</v>
      </c>
      <c r="AO3" s="378" t="s">
        <v>6048</v>
      </c>
      <c r="AP3" s="379" t="s">
        <v>4412</v>
      </c>
    </row>
    <row r="4">
      <c r="A4" s="380" t="s">
        <v>6049</v>
      </c>
      <c r="B4" s="381"/>
      <c r="C4" s="163" t="s">
        <v>6050</v>
      </c>
      <c r="D4" s="176"/>
      <c r="E4" s="176"/>
      <c r="F4" s="380" t="s">
        <v>6051</v>
      </c>
      <c r="G4" s="381"/>
      <c r="H4" s="163" t="s">
        <v>6052</v>
      </c>
      <c r="I4" s="176"/>
      <c r="J4" s="176"/>
      <c r="K4" s="103" t="s">
        <v>6053</v>
      </c>
      <c r="L4" s="381"/>
      <c r="M4" s="161" t="s">
        <v>6054</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slime")</f>
        <v>Gelatina de slime</v>
      </c>
      <c r="V4" s="375"/>
      <c r="W4" s="163" t="str">
        <f>IFERROR(__xludf.DUMMYFUNCTION("GOOGLETRANSLATE(C4,""zh-tw"",""es-MX"")"),"limo")</f>
        <v>limo</v>
      </c>
      <c r="X4" s="163"/>
      <c r="Y4" s="163"/>
      <c r="Z4" s="383" t="str">
        <f>IFERROR(__xludf.DUMMYFUNCTION("GOOGLETRANSLATE(A4,""zh-tw"",""KO"")"),"슬라임 젤리")</f>
        <v>슬라임 젤리</v>
      </c>
      <c r="AA4" s="376"/>
      <c r="AB4" s="161" t="s">
        <v>6055</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6056</v>
      </c>
      <c r="AK4" s="376"/>
      <c r="AL4" s="161" t="s">
        <v>6057</v>
      </c>
      <c r="AM4" s="162"/>
      <c r="AN4" s="162"/>
      <c r="AO4" s="180" t="s">
        <v>6058</v>
      </c>
      <c r="AP4" s="190"/>
      <c r="AQ4" s="182" t="s">
        <v>6059</v>
      </c>
      <c r="AR4" s="183"/>
      <c r="AS4" s="183"/>
    </row>
    <row r="5">
      <c r="A5" s="380" t="s">
        <v>6060</v>
      </c>
      <c r="B5" s="381"/>
      <c r="C5" s="163" t="s">
        <v>6061</v>
      </c>
      <c r="D5" s="163" t="s">
        <v>6062</v>
      </c>
      <c r="E5" s="176"/>
      <c r="F5" s="380" t="s">
        <v>6063</v>
      </c>
      <c r="G5" s="381"/>
      <c r="H5" s="163" t="s">
        <v>6064</v>
      </c>
      <c r="I5" s="163" t="s">
        <v>6065</v>
      </c>
      <c r="J5" s="176"/>
      <c r="K5" s="99" t="s">
        <v>6066</v>
      </c>
      <c r="L5" s="381"/>
      <c r="M5" s="161" t="s">
        <v>6067</v>
      </c>
      <c r="N5" s="161" t="s">
        <v>6068</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6069</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6070</v>
      </c>
      <c r="AK5" s="376"/>
      <c r="AL5" s="161" t="s">
        <v>6071</v>
      </c>
      <c r="AM5" s="161" t="s">
        <v>6072</v>
      </c>
      <c r="AN5" s="162"/>
      <c r="AO5" s="180" t="s">
        <v>6073</v>
      </c>
      <c r="AP5" s="190"/>
      <c r="AQ5" s="182" t="s">
        <v>6074</v>
      </c>
      <c r="AR5" s="182" t="s">
        <v>6075</v>
      </c>
      <c r="AS5" s="183"/>
    </row>
    <row r="6">
      <c r="A6" s="380" t="s">
        <v>6076</v>
      </c>
      <c r="B6" s="381"/>
      <c r="C6" s="163" t="s">
        <v>6077</v>
      </c>
      <c r="D6" s="163" t="s">
        <v>6078</v>
      </c>
      <c r="E6" s="176"/>
      <c r="F6" s="380" t="s">
        <v>6079</v>
      </c>
      <c r="G6" s="381"/>
      <c r="H6" s="163" t="s">
        <v>6080</v>
      </c>
      <c r="I6" s="163" t="s">
        <v>6081</v>
      </c>
      <c r="J6" s="176"/>
      <c r="K6" s="103" t="s">
        <v>6082</v>
      </c>
      <c r="L6" s="381"/>
      <c r="M6" s="161" t="s">
        <v>6083</v>
      </c>
      <c r="N6" s="161" t="s">
        <v>6084</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6085</v>
      </c>
      <c r="AK6" s="376"/>
      <c r="AL6" s="161" t="s">
        <v>6086</v>
      </c>
      <c r="AM6" s="161" t="s">
        <v>6087</v>
      </c>
      <c r="AN6" s="162"/>
      <c r="AO6" s="180" t="s">
        <v>6088</v>
      </c>
      <c r="AP6" s="190"/>
      <c r="AQ6" s="182" t="s">
        <v>6089</v>
      </c>
      <c r="AR6" s="182" t="s">
        <v>6090</v>
      </c>
      <c r="AS6" s="183"/>
    </row>
    <row r="7">
      <c r="A7" s="380" t="s">
        <v>6091</v>
      </c>
      <c r="B7" s="381"/>
      <c r="C7" s="163" t="s">
        <v>6077</v>
      </c>
      <c r="D7" s="176"/>
      <c r="E7" s="176"/>
      <c r="F7" s="380" t="s">
        <v>6092</v>
      </c>
      <c r="G7" s="381"/>
      <c r="H7" s="163" t="s">
        <v>6080</v>
      </c>
      <c r="I7" s="176"/>
      <c r="J7" s="176"/>
      <c r="K7" s="103" t="s">
        <v>6093</v>
      </c>
      <c r="L7" s="381"/>
      <c r="M7" s="161" t="s">
        <v>6083</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6094</v>
      </c>
      <c r="AK7" s="376"/>
      <c r="AL7" s="161" t="s">
        <v>6086</v>
      </c>
      <c r="AM7" s="162"/>
      <c r="AN7" s="162"/>
      <c r="AO7" s="180" t="s">
        <v>6095</v>
      </c>
      <c r="AP7" s="190"/>
      <c r="AQ7" s="182" t="s">
        <v>6089</v>
      </c>
      <c r="AR7" s="183"/>
      <c r="AS7" s="183"/>
    </row>
    <row r="8">
      <c r="A8" s="380" t="s">
        <v>6096</v>
      </c>
      <c r="B8" s="381"/>
      <c r="C8" s="163" t="s">
        <v>6097</v>
      </c>
      <c r="F8" s="380" t="s">
        <v>6098</v>
      </c>
      <c r="G8" s="381"/>
      <c r="H8" s="163" t="s">
        <v>592</v>
      </c>
      <c r="I8" s="176"/>
      <c r="J8" s="176"/>
      <c r="K8" s="103" t="s">
        <v>6099</v>
      </c>
      <c r="L8" s="381"/>
      <c r="M8" s="161" t="s">
        <v>6100</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en el río y obtener conchas).")</f>
        <v>Aún no implementado (más adelante, podrás pescar en el río y obtener conchas).</v>
      </c>
      <c r="Z8" s="384" t="s">
        <v>6101</v>
      </c>
      <c r="AA8" s="376"/>
      <c r="AB8" s="161" t="s">
        <v>601</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4" t="s">
        <v>6102</v>
      </c>
      <c r="AK8" s="376"/>
      <c r="AL8" s="161" t="s">
        <v>6103</v>
      </c>
      <c r="AO8" s="180" t="s">
        <v>6104</v>
      </c>
      <c r="AP8" s="190"/>
      <c r="AQ8" s="182" t="s">
        <v>6105</v>
      </c>
      <c r="AR8" s="183"/>
      <c r="AS8" s="183"/>
    </row>
    <row r="9">
      <c r="A9" s="380" t="s">
        <v>6106</v>
      </c>
      <c r="B9" s="381"/>
      <c r="C9" s="163" t="s">
        <v>6107</v>
      </c>
      <c r="D9" s="176"/>
      <c r="E9" s="176"/>
      <c r="F9" s="380" t="s">
        <v>6108</v>
      </c>
      <c r="G9" s="381"/>
      <c r="H9" s="163" t="s">
        <v>6107</v>
      </c>
      <c r="I9" s="176"/>
      <c r="J9" s="176"/>
      <c r="K9" s="103" t="s">
        <v>6109</v>
      </c>
      <c r="L9" s="381"/>
      <c r="M9" s="161" t="s">
        <v>6110</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6111</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6112</v>
      </c>
      <c r="AK9" s="376"/>
      <c r="AL9" s="161" t="s">
        <v>6113</v>
      </c>
      <c r="AM9" s="162"/>
      <c r="AN9" s="162"/>
      <c r="AO9" s="180" t="s">
        <v>6114</v>
      </c>
      <c r="AP9" s="190"/>
      <c r="AQ9" s="182" t="s">
        <v>6115</v>
      </c>
      <c r="AR9" s="183"/>
      <c r="AS9" s="183"/>
    </row>
    <row r="10">
      <c r="A10" s="380" t="s">
        <v>6116</v>
      </c>
      <c r="B10" s="381"/>
      <c r="C10" s="163" t="s">
        <v>4023</v>
      </c>
      <c r="D10" s="163" t="s">
        <v>4023</v>
      </c>
      <c r="E10" s="163" t="s">
        <v>4023</v>
      </c>
      <c r="F10" s="380" t="s">
        <v>6117</v>
      </c>
      <c r="G10" s="381"/>
      <c r="H10" s="163" t="s">
        <v>6118</v>
      </c>
      <c r="I10" s="163" t="s">
        <v>6118</v>
      </c>
      <c r="J10" s="163" t="s">
        <v>6118</v>
      </c>
      <c r="K10" s="103" t="s">
        <v>6119</v>
      </c>
      <c r="L10" s="381"/>
      <c r="M10" s="161" t="s">
        <v>4028</v>
      </c>
      <c r="N10" s="161" t="s">
        <v>4028</v>
      </c>
      <c r="O10" s="161" t="s">
        <v>4028</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6120</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6121</v>
      </c>
      <c r="AK10" s="376"/>
      <c r="AL10" s="161" t="s">
        <v>6122</v>
      </c>
      <c r="AM10" s="161" t="s">
        <v>6122</v>
      </c>
      <c r="AN10" s="161" t="s">
        <v>6122</v>
      </c>
      <c r="AO10" s="180" t="s">
        <v>6123</v>
      </c>
      <c r="AP10" s="190"/>
      <c r="AQ10" s="182" t="s">
        <v>4036</v>
      </c>
      <c r="AR10" s="182" t="s">
        <v>4036</v>
      </c>
      <c r="AS10" s="182" t="s">
        <v>4036</v>
      </c>
    </row>
    <row r="11">
      <c r="A11" s="385" t="s">
        <v>6124</v>
      </c>
      <c r="B11" s="381"/>
      <c r="C11" s="163" t="s">
        <v>6125</v>
      </c>
      <c r="D11" s="163" t="s">
        <v>4220</v>
      </c>
      <c r="E11" s="176"/>
      <c r="F11" s="380" t="s">
        <v>6126</v>
      </c>
      <c r="G11" s="381"/>
      <c r="H11" s="163" t="s">
        <v>6127</v>
      </c>
      <c r="I11" s="163" t="s">
        <v>6128</v>
      </c>
      <c r="J11" s="176"/>
      <c r="K11" s="103" t="s">
        <v>6129</v>
      </c>
      <c r="L11" s="381"/>
      <c r="M11" s="161" t="s">
        <v>6130</v>
      </c>
      <c r="N11" s="161" t="s">
        <v>4222</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6131</v>
      </c>
      <c r="AA11" s="376"/>
      <c r="AB11" s="161" t="s">
        <v>6132</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6133</v>
      </c>
      <c r="AK11" s="376"/>
      <c r="AL11" s="161" t="s">
        <v>6134</v>
      </c>
      <c r="AM11" s="161" t="s">
        <v>4225</v>
      </c>
      <c r="AN11" s="162"/>
      <c r="AO11" s="154" t="s">
        <v>6129</v>
      </c>
      <c r="AP11" s="190"/>
      <c r="AQ11" s="182" t="s">
        <v>6135</v>
      </c>
      <c r="AR11" s="182" t="s">
        <v>4227</v>
      </c>
      <c r="AS11" s="183"/>
    </row>
    <row r="12">
      <c r="A12" s="380" t="s">
        <v>6136</v>
      </c>
      <c r="B12" s="381"/>
      <c r="C12" s="163" t="s">
        <v>6061</v>
      </c>
      <c r="D12" s="176"/>
      <c r="E12" s="176"/>
      <c r="F12" s="380" t="s">
        <v>6137</v>
      </c>
      <c r="G12" s="381"/>
      <c r="H12" s="163" t="s">
        <v>6064</v>
      </c>
      <c r="I12" s="176"/>
      <c r="J12" s="176"/>
      <c r="K12" s="103" t="s">
        <v>6138</v>
      </c>
      <c r="L12" s="381"/>
      <c r="M12" s="161" t="s">
        <v>6067</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6139</v>
      </c>
      <c r="AK12" s="376"/>
      <c r="AL12" s="161" t="s">
        <v>6071</v>
      </c>
      <c r="AM12" s="162"/>
      <c r="AN12" s="162"/>
      <c r="AO12" s="180" t="s">
        <v>6140</v>
      </c>
      <c r="AP12" s="190"/>
      <c r="AQ12" s="182" t="s">
        <v>6074</v>
      </c>
      <c r="AR12" s="183"/>
      <c r="AS12" s="183"/>
    </row>
    <row r="13">
      <c r="A13" s="380" t="s">
        <v>6141</v>
      </c>
      <c r="B13" s="381"/>
      <c r="C13" s="163" t="s">
        <v>6061</v>
      </c>
      <c r="D13" s="163" t="s">
        <v>6062</v>
      </c>
      <c r="E13" s="163" t="s">
        <v>6125</v>
      </c>
      <c r="F13" s="380" t="s">
        <v>6142</v>
      </c>
      <c r="G13" s="381"/>
      <c r="H13" s="163" t="s">
        <v>6064</v>
      </c>
      <c r="I13" s="163" t="s">
        <v>6065</v>
      </c>
      <c r="J13" s="163" t="s">
        <v>6127</v>
      </c>
      <c r="K13" s="99" t="s">
        <v>6143</v>
      </c>
      <c r="L13" s="381"/>
      <c r="M13" s="161" t="s">
        <v>6067</v>
      </c>
      <c r="N13" s="161" t="s">
        <v>6068</v>
      </c>
      <c r="O13" s="161" t="s">
        <v>6130</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chuletas de cerdo")</f>
        <v>Arroz al curry con chuletas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6144</v>
      </c>
      <c r="AA13" s="376"/>
      <c r="AB13" s="162" t="str">
        <f>IFERROR(__xludf.DUMMYFUNCTION("GOOGLETRANSLATE(C13,""zh-tw"",""KO"")"),"흰쌀")</f>
        <v>흰쌀</v>
      </c>
      <c r="AC13" s="161" t="s">
        <v>6069</v>
      </c>
      <c r="AD13" s="161" t="s">
        <v>6132</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6145</v>
      </c>
      <c r="AK13" s="376"/>
      <c r="AL13" s="161" t="s">
        <v>6071</v>
      </c>
      <c r="AM13" s="161" t="s">
        <v>6072</v>
      </c>
      <c r="AN13" s="161" t="s">
        <v>6134</v>
      </c>
      <c r="AO13" s="180" t="s">
        <v>6146</v>
      </c>
      <c r="AP13" s="190"/>
      <c r="AQ13" s="182" t="s">
        <v>6074</v>
      </c>
      <c r="AR13" s="182" t="s">
        <v>6075</v>
      </c>
      <c r="AS13" s="182" t="s">
        <v>6135</v>
      </c>
    </row>
    <row r="14">
      <c r="A14" s="380" t="s">
        <v>6147</v>
      </c>
      <c r="B14" s="366" t="s">
        <v>235</v>
      </c>
      <c r="C14" s="163" t="s">
        <v>6148</v>
      </c>
      <c r="D14" s="176"/>
      <c r="E14" s="176"/>
      <c r="F14" s="380" t="s">
        <v>6149</v>
      </c>
      <c r="G14" s="366" t="s">
        <v>235</v>
      </c>
      <c r="H14" s="163" t="s">
        <v>6150</v>
      </c>
      <c r="I14" s="176"/>
      <c r="J14" s="176"/>
      <c r="K14" s="103" t="s">
        <v>6151</v>
      </c>
      <c r="L14" s="366" t="s">
        <v>235</v>
      </c>
      <c r="M14" s="161" t="s">
        <v>4248</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IFERROR(__xludf.DUMMYFUNCTION("GOOGLETRANSLATE(C14,""zh-tw"",""es-MX"")"),"Pequeños trozos de carne")</f>
        <v>Pequeños trozos de carne</v>
      </c>
      <c r="X14" s="163"/>
      <c r="Y14" s="163"/>
      <c r="Z14" s="384" t="s">
        <v>6152</v>
      </c>
      <c r="AA14" s="376" t="s">
        <v>235</v>
      </c>
      <c r="AB14" s="161" t="s">
        <v>4250</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6153</v>
      </c>
      <c r="AK14" s="376" t="s">
        <v>235</v>
      </c>
      <c r="AL14" s="161" t="s">
        <v>6154</v>
      </c>
      <c r="AM14" s="162"/>
      <c r="AN14" s="162"/>
      <c r="AO14" s="180" t="s">
        <v>6155</v>
      </c>
      <c r="AP14" s="386" t="s">
        <v>235</v>
      </c>
      <c r="AQ14" s="182" t="s">
        <v>4254</v>
      </c>
      <c r="AR14" s="183"/>
      <c r="AS14" s="183"/>
    </row>
    <row r="15">
      <c r="A15" s="380" t="s">
        <v>6156</v>
      </c>
      <c r="B15" s="366" t="s">
        <v>235</v>
      </c>
      <c r="C15" s="163" t="s">
        <v>6125</v>
      </c>
      <c r="D15" s="176"/>
      <c r="E15" s="176"/>
      <c r="F15" s="380" t="s">
        <v>6157</v>
      </c>
      <c r="G15" s="366" t="s">
        <v>235</v>
      </c>
      <c r="H15" s="163" t="s">
        <v>6127</v>
      </c>
      <c r="I15" s="176"/>
      <c r="J15" s="176"/>
      <c r="K15" s="103" t="s">
        <v>6158</v>
      </c>
      <c r="L15" s="366" t="s">
        <v>235</v>
      </c>
      <c r="M15" s="161" t="s">
        <v>6130</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235</v>
      </c>
      <c r="AB15" s="161" t="s">
        <v>6132</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6159</v>
      </c>
      <c r="AK15" s="376" t="s">
        <v>235</v>
      </c>
      <c r="AL15" s="161" t="s">
        <v>6134</v>
      </c>
      <c r="AM15" s="162"/>
      <c r="AN15" s="162"/>
      <c r="AO15" s="180" t="s">
        <v>6160</v>
      </c>
      <c r="AP15" s="386" t="s">
        <v>235</v>
      </c>
      <c r="AQ15" s="182" t="s">
        <v>6135</v>
      </c>
      <c r="AR15" s="183"/>
      <c r="AS15" s="183"/>
    </row>
    <row r="16">
      <c r="A16" s="380" t="s">
        <v>6161</v>
      </c>
      <c r="B16" s="366" t="s">
        <v>235</v>
      </c>
      <c r="C16" s="163" t="s">
        <v>6125</v>
      </c>
      <c r="D16" s="163" t="s">
        <v>6125</v>
      </c>
      <c r="E16" s="176"/>
      <c r="F16" s="380" t="s">
        <v>6162</v>
      </c>
      <c r="G16" s="366" t="s">
        <v>235</v>
      </c>
      <c r="H16" s="163" t="s">
        <v>6127</v>
      </c>
      <c r="I16" s="163" t="s">
        <v>6127</v>
      </c>
      <c r="J16" s="176"/>
      <c r="K16" s="103" t="s">
        <v>6163</v>
      </c>
      <c r="L16" s="366" t="s">
        <v>235</v>
      </c>
      <c r="M16" s="161" t="s">
        <v>6130</v>
      </c>
      <c r="N16" s="161" t="s">
        <v>6130</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6164</v>
      </c>
      <c r="AA16" s="376" t="s">
        <v>235</v>
      </c>
      <c r="AB16" s="161" t="s">
        <v>6132</v>
      </c>
      <c r="AC16" s="161" t="s">
        <v>6132</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6165</v>
      </c>
      <c r="AK16" s="376" t="s">
        <v>235</v>
      </c>
      <c r="AL16" s="161" t="s">
        <v>6134</v>
      </c>
      <c r="AM16" s="161" t="s">
        <v>6134</v>
      </c>
      <c r="AN16" s="162"/>
      <c r="AO16" s="180" t="s">
        <v>6166</v>
      </c>
      <c r="AP16" s="386" t="s">
        <v>235</v>
      </c>
      <c r="AQ16" s="182" t="s">
        <v>6135</v>
      </c>
      <c r="AR16" s="182" t="s">
        <v>6135</v>
      </c>
      <c r="AS16" s="183"/>
    </row>
    <row r="17">
      <c r="A17" s="385" t="s">
        <v>6167</v>
      </c>
      <c r="B17" s="366" t="s">
        <v>235</v>
      </c>
      <c r="C17" s="163" t="s">
        <v>6125</v>
      </c>
      <c r="D17" s="163" t="s">
        <v>6125</v>
      </c>
      <c r="E17" s="163" t="s">
        <v>6125</v>
      </c>
      <c r="F17" s="380" t="s">
        <v>6168</v>
      </c>
      <c r="G17" s="366" t="s">
        <v>235</v>
      </c>
      <c r="H17" s="163" t="s">
        <v>6127</v>
      </c>
      <c r="I17" s="163" t="s">
        <v>6127</v>
      </c>
      <c r="J17" s="163" t="s">
        <v>6127</v>
      </c>
      <c r="K17" s="103" t="s">
        <v>6169</v>
      </c>
      <c r="L17" s="366" t="s">
        <v>235</v>
      </c>
      <c r="M17" s="161" t="s">
        <v>6130</v>
      </c>
      <c r="N17" s="161" t="s">
        <v>6130</v>
      </c>
      <c r="O17" s="161" t="s">
        <v>6130</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6170</v>
      </c>
      <c r="AA17" s="376" t="s">
        <v>235</v>
      </c>
      <c r="AB17" s="161" t="s">
        <v>6132</v>
      </c>
      <c r="AC17" s="317" t="s">
        <v>6132</v>
      </c>
      <c r="AD17" s="317" t="s">
        <v>6132</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6171</v>
      </c>
      <c r="AK17" s="376" t="s">
        <v>235</v>
      </c>
      <c r="AL17" s="161" t="s">
        <v>6134</v>
      </c>
      <c r="AM17" s="161" t="s">
        <v>6134</v>
      </c>
      <c r="AN17" s="161" t="s">
        <v>6134</v>
      </c>
      <c r="AO17" s="154" t="s">
        <v>6172</v>
      </c>
      <c r="AP17" s="386" t="s">
        <v>235</v>
      </c>
      <c r="AQ17" s="182" t="s">
        <v>6135</v>
      </c>
      <c r="AR17" s="182" t="s">
        <v>6135</v>
      </c>
      <c r="AS17" s="182" t="s">
        <v>6135</v>
      </c>
    </row>
    <row r="18">
      <c r="A18" s="380" t="s">
        <v>6173</v>
      </c>
      <c r="B18" s="366" t="s">
        <v>235</v>
      </c>
      <c r="C18" s="163" t="s">
        <v>6061</v>
      </c>
      <c r="D18" s="163" t="s">
        <v>6125</v>
      </c>
      <c r="E18" s="176"/>
      <c r="F18" s="380" t="s">
        <v>6174</v>
      </c>
      <c r="G18" s="366" t="s">
        <v>235</v>
      </c>
      <c r="H18" s="163" t="s">
        <v>6064</v>
      </c>
      <c r="I18" s="163" t="s">
        <v>6127</v>
      </c>
      <c r="J18" s="176"/>
      <c r="K18" s="103" t="s">
        <v>6175</v>
      </c>
      <c r="L18" s="366" t="s">
        <v>235</v>
      </c>
      <c r="M18" s="161" t="s">
        <v>6176</v>
      </c>
      <c r="N18" s="161" t="s">
        <v>6130</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 de res")</f>
        <v>Bola de arroz con carne de res</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6177</v>
      </c>
      <c r="AA18" s="376" t="s">
        <v>235</v>
      </c>
      <c r="AB18" s="162" t="str">
        <f>IFERROR(__xludf.DUMMYFUNCTION("GOOGLETRANSLATE(C18,""zh-tw"",""KO"")"),"흰쌀")</f>
        <v>흰쌀</v>
      </c>
      <c r="AC18" s="161" t="s">
        <v>6132</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6178</v>
      </c>
      <c r="AK18" s="376" t="s">
        <v>235</v>
      </c>
      <c r="AL18" s="161" t="s">
        <v>6071</v>
      </c>
      <c r="AM18" s="161" t="s">
        <v>6134</v>
      </c>
      <c r="AN18" s="162"/>
      <c r="AO18" s="180" t="s">
        <v>6179</v>
      </c>
      <c r="AP18" s="386" t="s">
        <v>235</v>
      </c>
      <c r="AQ18" s="182" t="s">
        <v>6074</v>
      </c>
      <c r="AR18" s="182" t="s">
        <v>6135</v>
      </c>
      <c r="AS18" s="183"/>
    </row>
    <row r="19">
      <c r="A19" s="380" t="s">
        <v>6180</v>
      </c>
      <c r="B19" s="381"/>
      <c r="C19" s="163" t="s">
        <v>6181</v>
      </c>
      <c r="D19" s="176"/>
      <c r="E19" s="176"/>
      <c r="F19" s="380" t="s">
        <v>6182</v>
      </c>
      <c r="G19" s="381"/>
      <c r="H19" s="163" t="s">
        <v>6183</v>
      </c>
      <c r="I19" s="176"/>
      <c r="J19" s="176"/>
      <c r="K19" s="99" t="s">
        <v>6184</v>
      </c>
      <c r="L19" s="381"/>
      <c r="M19" s="161" t="s">
        <v>6185</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de limo extraña (azul)")</f>
        <v>Gelatina de limo extraña (azul)</v>
      </c>
      <c r="V19" s="375"/>
      <c r="W19" s="163" t="str">
        <f>IFERROR(__xludf.DUMMYFUNCTION("GOOGLETRANSLATE(C19,""zh-tw"",""es-MX"")"),"Slime de monstruo de agua")</f>
        <v>Slime de monstruo de agua</v>
      </c>
      <c r="X19" s="163"/>
      <c r="Y19" s="163"/>
      <c r="Z19" s="383" t="str">
        <f>IFERROR(__xludf.DUMMYFUNCTION("GOOGLETRANSLATE(A19,""zh-tw"",""KO"")"),"이상한 슬라임 젤리(파란색)")</f>
        <v>이상한 슬라임 젤리(파란색)</v>
      </c>
      <c r="AA19" s="376"/>
      <c r="AB19" s="161" t="s">
        <v>6186</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6187</v>
      </c>
      <c r="AK19" s="376"/>
      <c r="AL19" s="161" t="s">
        <v>6188</v>
      </c>
      <c r="AM19" s="162"/>
      <c r="AN19" s="162"/>
      <c r="AO19" s="180" t="s">
        <v>6189</v>
      </c>
      <c r="AP19" s="190"/>
      <c r="AQ19" s="182" t="s">
        <v>6190</v>
      </c>
      <c r="AR19" s="183"/>
      <c r="AS19" s="183"/>
    </row>
    <row r="20">
      <c r="A20" s="380" t="s">
        <v>6191</v>
      </c>
      <c r="B20" s="381"/>
      <c r="C20" s="163" t="s">
        <v>6050</v>
      </c>
      <c r="D20" s="163" t="s">
        <v>3865</v>
      </c>
      <c r="E20" s="176"/>
      <c r="F20" s="380" t="s">
        <v>6192</v>
      </c>
      <c r="G20" s="381"/>
      <c r="H20" s="163" t="s">
        <v>6052</v>
      </c>
      <c r="I20" s="163" t="s">
        <v>6193</v>
      </c>
      <c r="J20" s="176"/>
      <c r="K20" s="103" t="s">
        <v>6194</v>
      </c>
      <c r="L20" s="381"/>
      <c r="M20" s="161" t="s">
        <v>6054</v>
      </c>
      <c r="N20" s="161" t="s">
        <v>3867</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IFERROR(__xludf.DUMMYFUNCTION("GOOGLETRANSLATE(A20,""zh-tw"",""es-MX"")"),"Gelatina de baba extraña (rosa)")</f>
        <v>Gelatina de baba extraña (rosa)</v>
      </c>
      <c r="V20" s="375"/>
      <c r="W20" s="163" t="str">
        <f>IFERROR(__xludf.DUMMYFUNCTION("GOOGLETRANSLATE(C20,""zh-tw"",""es-MX"")"),"limo")</f>
        <v>limo</v>
      </c>
      <c r="X20" s="163" t="str">
        <f>IFERROR(__xludf.DUMMYFUNCTION("GOOGLETRANSLATE(D20,""zh-tw"",""es-MX"")"),"Hada de la manzana")</f>
        <v>Hada de la manzana</v>
      </c>
      <c r="Y20" s="163"/>
      <c r="Z20" s="384" t="s">
        <v>6195</v>
      </c>
      <c r="AA20" s="376"/>
      <c r="AB20" s="161" t="s">
        <v>6055</v>
      </c>
      <c r="AC20" s="161" t="s">
        <v>3869</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6196</v>
      </c>
      <c r="AK20" s="376"/>
      <c r="AL20" s="161" t="s">
        <v>6057</v>
      </c>
      <c r="AM20" s="161" t="s">
        <v>3871</v>
      </c>
      <c r="AN20" s="162"/>
      <c r="AO20" s="180" t="s">
        <v>6197</v>
      </c>
      <c r="AP20" s="190"/>
      <c r="AQ20" s="182" t="s">
        <v>6059</v>
      </c>
      <c r="AR20" s="182" t="s">
        <v>6198</v>
      </c>
      <c r="AS20" s="183"/>
    </row>
    <row r="21">
      <c r="A21" s="380" t="s">
        <v>6199</v>
      </c>
      <c r="B21" s="381"/>
      <c r="C21" s="163" t="s">
        <v>6050</v>
      </c>
      <c r="D21" s="163" t="s">
        <v>6200</v>
      </c>
      <c r="E21" s="176"/>
      <c r="F21" s="380" t="s">
        <v>6201</v>
      </c>
      <c r="G21" s="381"/>
      <c r="H21" s="163" t="s">
        <v>6052</v>
      </c>
      <c r="I21" s="163" t="s">
        <v>6202</v>
      </c>
      <c r="J21" s="176"/>
      <c r="K21" s="103" t="s">
        <v>6203</v>
      </c>
      <c r="L21" s="381"/>
      <c r="M21" s="161" t="s">
        <v>6054</v>
      </c>
      <c r="N21" s="161" t="s">
        <v>6204</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IFERROR(__xludf.DUMMYFUNCTION("GOOGLETRANSLATE(A21,""zh-tw"",""es-MX"")"),"Gelatina de baba extraña (negra)")</f>
        <v>Gelatina de baba extraña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젤리(검은색)")</f>
        <v>이상한 슬라임 젤리(검은색)</v>
      </c>
      <c r="AA21" s="376"/>
      <c r="AB21" s="161" t="s">
        <v>6055</v>
      </c>
      <c r="AC21" s="162" t="str">
        <f>IFERROR(__xludf.DUMMYFUNCTION("GOOGLETRANSLATE(D21,""zh-tw"",""KO"")"),"쓰레기")</f>
        <v>쓰레기</v>
      </c>
      <c r="AD21" s="162"/>
      <c r="AE21" s="380" t="str">
        <f>IFERROR(__xludf.DUMMYFUNCTION("GOOGLETRANSLATE(A21,""zh-tw"",""ru"")"),"Странная слизь-желе (черная)")</f>
        <v>Странная слизь-желе (черная)</v>
      </c>
      <c r="AF21" s="375"/>
      <c r="AG21" s="163" t="str">
        <f>IFERROR(__xludf.DUMMYFUNCTION("GOOGLETRANSLATE(C21,""zh-tw"",""ru"")"),"слизь")</f>
        <v>слизь</v>
      </c>
      <c r="AH21" s="163" t="str">
        <f>IFERROR(__xludf.DUMMYFUNCTION("GOOGLETRANSLATE(D21,""zh-tw"",""ru"")"),"Мусор")</f>
        <v>Мусор</v>
      </c>
      <c r="AI21" s="163"/>
      <c r="AJ21" s="384" t="s">
        <v>6205</v>
      </c>
      <c r="AK21" s="376"/>
      <c r="AL21" s="161" t="s">
        <v>6057</v>
      </c>
      <c r="AM21" s="161" t="s">
        <v>6206</v>
      </c>
      <c r="AN21" s="162"/>
      <c r="AO21" s="180" t="s">
        <v>6207</v>
      </c>
      <c r="AP21" s="190"/>
      <c r="AQ21" s="182" t="s">
        <v>6059</v>
      </c>
      <c r="AR21" s="182" t="s">
        <v>6208</v>
      </c>
      <c r="AS21" s="183"/>
    </row>
    <row r="22">
      <c r="A22" s="380" t="s">
        <v>6209</v>
      </c>
      <c r="B22" s="381"/>
      <c r="C22" s="163" t="s">
        <v>6181</v>
      </c>
      <c r="D22" s="163" t="s">
        <v>542</v>
      </c>
      <c r="E22" s="176"/>
      <c r="F22" s="380" t="s">
        <v>6210</v>
      </c>
      <c r="G22" s="381"/>
      <c r="H22" s="163" t="s">
        <v>6052</v>
      </c>
      <c r="I22" s="163" t="s">
        <v>545</v>
      </c>
      <c r="J22" s="176"/>
      <c r="K22" s="103" t="s">
        <v>6211</v>
      </c>
      <c r="L22" s="381"/>
      <c r="M22" s="161" t="s">
        <v>6054</v>
      </c>
      <c r="N22" s="161" t="s">
        <v>6212</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IFERROR(__xludf.DUMMYFUNCTION("GOOGLETRANSLATE(A22,""zh-tw"",""es-MX"")"),"Gelatina de baba extraña (colorida)")</f>
        <v>Gelatina de baba extraña (colorida)</v>
      </c>
      <c r="V22" s="375"/>
      <c r="W22" s="163" t="str">
        <f>IFERROR(__xludf.DUMMYFUNCTION("GOOGLETRANSLATE(C22,""zh-tw"",""es-MX"")"),"Slime de monstruo de agua")</f>
        <v>Slime de monstruo de agua</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6186</v>
      </c>
      <c r="AC22" s="161" t="s">
        <v>554</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6213</v>
      </c>
      <c r="AK22" s="376"/>
      <c r="AL22" s="161" t="s">
        <v>6188</v>
      </c>
      <c r="AM22" s="161" t="s">
        <v>6214</v>
      </c>
      <c r="AN22" s="162"/>
      <c r="AO22" s="180" t="s">
        <v>6215</v>
      </c>
      <c r="AP22" s="190"/>
      <c r="AQ22" s="182" t="s">
        <v>6059</v>
      </c>
      <c r="AR22" s="182" t="s">
        <v>6216</v>
      </c>
      <c r="AS22" s="183"/>
    </row>
    <row r="23">
      <c r="A23" s="380" t="s">
        <v>6217</v>
      </c>
      <c r="B23" s="381"/>
      <c r="C23" s="163" t="s">
        <v>6218</v>
      </c>
      <c r="D23" s="176"/>
      <c r="E23" s="176"/>
      <c r="F23" s="380" t="s">
        <v>6219</v>
      </c>
      <c r="G23" s="381"/>
      <c r="H23" s="163" t="s">
        <v>6220</v>
      </c>
      <c r="I23" s="176"/>
      <c r="J23" s="176"/>
      <c r="K23" s="99" t="s">
        <v>6221</v>
      </c>
      <c r="L23" s="381"/>
      <c r="M23" s="161" t="s">
        <v>6222</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6223</v>
      </c>
      <c r="AK23" s="376"/>
      <c r="AL23" s="161" t="s">
        <v>6224</v>
      </c>
      <c r="AM23" s="162"/>
      <c r="AN23" s="162"/>
      <c r="AO23" s="180" t="s">
        <v>6225</v>
      </c>
      <c r="AP23" s="190"/>
      <c r="AQ23" s="182" t="s">
        <v>6226</v>
      </c>
      <c r="AR23" s="183"/>
      <c r="AS23" s="183"/>
    </row>
    <row r="24">
      <c r="A24" s="380" t="s">
        <v>6227</v>
      </c>
      <c r="B24" s="381"/>
      <c r="C24" s="163" t="s">
        <v>6148</v>
      </c>
      <c r="D24" s="163" t="s">
        <v>4220</v>
      </c>
      <c r="E24" s="163" t="s">
        <v>6228</v>
      </c>
      <c r="F24" s="380" t="s">
        <v>6229</v>
      </c>
      <c r="G24" s="381"/>
      <c r="H24" s="163" t="s">
        <v>6150</v>
      </c>
      <c r="I24" s="163" t="s">
        <v>6230</v>
      </c>
      <c r="J24" s="163" t="s">
        <v>6231</v>
      </c>
      <c r="K24" s="103" t="s">
        <v>6232</v>
      </c>
      <c r="L24" s="381"/>
      <c r="M24" s="161" t="s">
        <v>4248</v>
      </c>
      <c r="N24" s="161" t="s">
        <v>4222</v>
      </c>
      <c r="O24" s="161" t="s">
        <v>6233</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IFERROR(__xludf.DUMMYFUNCTION("GOOGLETRANSLATE(C24,""zh-tw"",""es-MX"")"),"Pequeños trozos de carne")</f>
        <v>Pequeños trozos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4250</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6234</v>
      </c>
      <c r="AK24" s="376"/>
      <c r="AL24" s="161" t="s">
        <v>6154</v>
      </c>
      <c r="AM24" s="161" t="s">
        <v>4225</v>
      </c>
      <c r="AN24" s="161" t="s">
        <v>4225</v>
      </c>
      <c r="AO24" s="180" t="s">
        <v>6235</v>
      </c>
      <c r="AP24" s="190"/>
      <c r="AQ24" s="182" t="s">
        <v>4254</v>
      </c>
      <c r="AR24" s="182" t="s">
        <v>4227</v>
      </c>
      <c r="AS24" s="182" t="s">
        <v>6236</v>
      </c>
    </row>
    <row r="25">
      <c r="A25" s="380" t="s">
        <v>6237</v>
      </c>
      <c r="B25" s="381"/>
      <c r="C25" s="163" t="s">
        <v>6238</v>
      </c>
      <c r="D25" s="176"/>
      <c r="E25" s="176"/>
      <c r="F25" s="380" t="s">
        <v>6239</v>
      </c>
      <c r="G25" s="381"/>
      <c r="H25" s="163" t="s">
        <v>6240</v>
      </c>
      <c r="I25" s="176"/>
      <c r="J25" s="176"/>
      <c r="K25" s="103" t="s">
        <v>6241</v>
      </c>
      <c r="L25" s="381"/>
      <c r="M25" s="161" t="s">
        <v>6242</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plancha")</f>
        <v>Patas de pulpo a la plancha</v>
      </c>
      <c r="V25" s="375"/>
      <c r="W25" s="163" t="str">
        <f>IFERROR(__xludf.DUMMYFUNCTION("GOOGLETRANSLATE(C25,""zh-tw"",""es-MX"")"),"Patas de pulpo")</f>
        <v>Patas de pulpo</v>
      </c>
      <c r="X25" s="163"/>
      <c r="Y25" s="163"/>
      <c r="Z25" s="384" t="s">
        <v>6243</v>
      </c>
      <c r="AA25" s="376"/>
      <c r="AB25" s="161" t="s">
        <v>6244</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6245</v>
      </c>
      <c r="AK25" s="376"/>
      <c r="AL25" s="161" t="s">
        <v>6246</v>
      </c>
      <c r="AM25" s="162"/>
      <c r="AN25" s="162"/>
      <c r="AO25" s="180" t="s">
        <v>6247</v>
      </c>
      <c r="AP25" s="190"/>
      <c r="AQ25" s="182" t="s">
        <v>6248</v>
      </c>
      <c r="AR25" s="183"/>
      <c r="AS25" s="183"/>
    </row>
    <row r="26">
      <c r="A26" s="385" t="s">
        <v>6249</v>
      </c>
      <c r="B26" s="381"/>
      <c r="C26" s="163" t="s">
        <v>6250</v>
      </c>
      <c r="D26" s="163" t="s">
        <v>6250</v>
      </c>
      <c r="E26" s="163" t="s">
        <v>6250</v>
      </c>
      <c r="F26" s="380" t="s">
        <v>6251</v>
      </c>
      <c r="G26" s="381"/>
      <c r="H26" s="163" t="s">
        <v>6231</v>
      </c>
      <c r="I26" s="163" t="s">
        <v>6231</v>
      </c>
      <c r="J26" s="163" t="s">
        <v>6231</v>
      </c>
      <c r="K26" s="99" t="s">
        <v>6252</v>
      </c>
      <c r="L26" s="381"/>
      <c r="M26" s="161" t="s">
        <v>6233</v>
      </c>
      <c r="N26" s="161" t="s">
        <v>6233</v>
      </c>
      <c r="O26" s="161" t="s">
        <v>6233</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6253</v>
      </c>
      <c r="AA26" s="376"/>
      <c r="AB26" s="387" t="s">
        <v>6254</v>
      </c>
      <c r="AC26" s="387" t="s">
        <v>6254</v>
      </c>
      <c r="AD26" s="161" t="s">
        <v>6254</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6255</v>
      </c>
      <c r="AK26" s="376"/>
      <c r="AL26" s="161" t="s">
        <v>6256</v>
      </c>
      <c r="AM26" s="161" t="s">
        <v>6256</v>
      </c>
      <c r="AN26" s="161" t="s">
        <v>6256</v>
      </c>
      <c r="AO26" s="154" t="s">
        <v>6257</v>
      </c>
      <c r="AP26" s="190"/>
      <c r="AQ26" s="182" t="s">
        <v>6236</v>
      </c>
      <c r="AR26" s="182" t="s">
        <v>6236</v>
      </c>
      <c r="AS26" s="182" t="s">
        <v>6236</v>
      </c>
    </row>
    <row r="27">
      <c r="A27" s="380" t="s">
        <v>6258</v>
      </c>
      <c r="B27" s="381"/>
      <c r="C27" s="163" t="s">
        <v>4220</v>
      </c>
      <c r="D27" s="176"/>
      <c r="E27" s="176"/>
      <c r="F27" s="380" t="s">
        <v>6259</v>
      </c>
      <c r="G27" s="381"/>
      <c r="H27" s="163" t="s">
        <v>6230</v>
      </c>
      <c r="I27" s="176"/>
      <c r="J27" s="176"/>
      <c r="K27" s="103" t="s">
        <v>6260</v>
      </c>
      <c r="L27" s="381"/>
      <c r="M27" s="161" t="s">
        <v>4222</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6261</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6262</v>
      </c>
      <c r="AK27" s="376"/>
      <c r="AL27" s="161" t="s">
        <v>4225</v>
      </c>
      <c r="AM27" s="162"/>
      <c r="AN27" s="162"/>
      <c r="AO27" s="180" t="s">
        <v>6263</v>
      </c>
      <c r="AP27" s="190"/>
      <c r="AQ27" s="182" t="s">
        <v>4227</v>
      </c>
      <c r="AR27" s="183"/>
      <c r="AS27" s="183"/>
    </row>
    <row r="28">
      <c r="A28" s="380" t="s">
        <v>6264</v>
      </c>
      <c r="B28" s="381"/>
      <c r="C28" s="163" t="s">
        <v>6228</v>
      </c>
      <c r="D28" s="163" t="s">
        <v>6265</v>
      </c>
      <c r="E28" s="176"/>
      <c r="F28" s="380" t="s">
        <v>6266</v>
      </c>
      <c r="G28" s="381"/>
      <c r="H28" s="163" t="s">
        <v>6231</v>
      </c>
      <c r="I28" s="163" t="s">
        <v>6267</v>
      </c>
      <c r="J28" s="176"/>
      <c r="K28" s="103" t="s">
        <v>6268</v>
      </c>
      <c r="L28" s="381"/>
      <c r="M28" s="161" t="s">
        <v>6233</v>
      </c>
      <c r="N28" s="161" t="s">
        <v>4028</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rábanos y champiñones")</f>
        <v>Sopa de rábanos y champiñones</v>
      </c>
      <c r="V28" s="375"/>
      <c r="W28" s="163" t="str">
        <f>IFERROR(__xludf.DUMMYFUNCTION("GOOGLETRANSLATE(C28,""zh-tw"",""es-MX"")"),"zanahoria")</f>
        <v>zanahoria</v>
      </c>
      <c r="X28" s="163" t="str">
        <f>IFERROR(__xludf.DUMMYFUNCTION("GOOGLETRANSLATE(D28,""zh-tw"",""es-MX"")"),"Hongos")</f>
        <v>Hongos</v>
      </c>
      <c r="Y28" s="163"/>
      <c r="Z28" s="384" t="s">
        <v>6269</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6270</v>
      </c>
      <c r="AK28" s="376"/>
      <c r="AL28" s="161" t="s">
        <v>6271</v>
      </c>
      <c r="AM28" s="162" t="str">
        <f>IFERROR(__xludf.DUMMYFUNCTION("GOOGLETRANSLATE(D28,""zh-tw"",""de"")"),"Pilze")</f>
        <v>Pilze</v>
      </c>
      <c r="AN28" s="162"/>
      <c r="AO28" s="180" t="s">
        <v>6272</v>
      </c>
      <c r="AP28" s="190"/>
      <c r="AQ28" s="182" t="s">
        <v>6236</v>
      </c>
      <c r="AR28" s="182" t="s">
        <v>4036</v>
      </c>
      <c r="AS28" s="183"/>
    </row>
    <row r="29">
      <c r="A29" s="380" t="s">
        <v>6273</v>
      </c>
      <c r="B29" s="381"/>
      <c r="C29" s="163" t="s">
        <v>6274</v>
      </c>
      <c r="D29" s="176"/>
      <c r="E29" s="176"/>
      <c r="F29" s="380" t="s">
        <v>6275</v>
      </c>
      <c r="G29" s="381"/>
      <c r="H29" s="163" t="s">
        <v>6276</v>
      </c>
      <c r="I29" s="176"/>
      <c r="J29" s="176"/>
      <c r="K29" s="103" t="s">
        <v>6277</v>
      </c>
      <c r="L29" s="381"/>
      <c r="M29" s="161" t="s">
        <v>6278</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6279</v>
      </c>
      <c r="AK29" s="376"/>
      <c r="AL29" s="161" t="s">
        <v>6278</v>
      </c>
      <c r="AM29" s="162"/>
      <c r="AN29" s="162"/>
      <c r="AO29" s="180" t="s">
        <v>6277</v>
      </c>
      <c r="AP29" s="190"/>
      <c r="AQ29" s="182" t="s">
        <v>6280</v>
      </c>
      <c r="AR29" s="183"/>
      <c r="AS29" s="183"/>
    </row>
    <row r="30">
      <c r="A30" s="380" t="s">
        <v>6281</v>
      </c>
      <c r="B30" s="381"/>
      <c r="C30" s="163" t="s">
        <v>6274</v>
      </c>
      <c r="D30" s="163" t="s">
        <v>6282</v>
      </c>
      <c r="E30" s="176"/>
      <c r="F30" s="380" t="s">
        <v>6283</v>
      </c>
      <c r="G30" s="381"/>
      <c r="H30" s="163" t="s">
        <v>6276</v>
      </c>
      <c r="I30" s="163" t="s">
        <v>6284</v>
      </c>
      <c r="J30" s="176"/>
      <c r="K30" s="103" t="s">
        <v>6285</v>
      </c>
      <c r="L30" s="381"/>
      <c r="M30" s="161" t="s">
        <v>6278</v>
      </c>
      <c r="N30" s="161" t="s">
        <v>6286</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de tomate")</f>
        <v>Pasta de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6287</v>
      </c>
      <c r="AK30" s="376"/>
      <c r="AL30" s="161" t="s">
        <v>6278</v>
      </c>
      <c r="AM30" s="161" t="s">
        <v>6288</v>
      </c>
      <c r="AN30" s="162"/>
      <c r="AO30" s="180" t="s">
        <v>6289</v>
      </c>
      <c r="AP30" s="190"/>
      <c r="AQ30" s="182" t="s">
        <v>6280</v>
      </c>
      <c r="AR30" s="182" t="s">
        <v>6290</v>
      </c>
      <c r="AS30" s="183"/>
    </row>
    <row r="31">
      <c r="A31" s="380" t="s">
        <v>6291</v>
      </c>
      <c r="B31" s="381"/>
      <c r="C31" s="163" t="s">
        <v>6274</v>
      </c>
      <c r="D31" s="163" t="s">
        <v>6292</v>
      </c>
      <c r="E31" s="176"/>
      <c r="F31" s="380" t="s">
        <v>6293</v>
      </c>
      <c r="G31" s="381"/>
      <c r="H31" s="163" t="s">
        <v>6276</v>
      </c>
      <c r="I31" s="163" t="s">
        <v>6294</v>
      </c>
      <c r="J31" s="176"/>
      <c r="K31" s="103" t="s">
        <v>6295</v>
      </c>
      <c r="L31" s="381"/>
      <c r="M31" s="161" t="s">
        <v>6278</v>
      </c>
      <c r="N31" s="161" t="s">
        <v>6296</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6297</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6298</v>
      </c>
      <c r="AK31" s="376"/>
      <c r="AL31" s="161" t="s">
        <v>6278</v>
      </c>
      <c r="AM31" s="161" t="s">
        <v>6299</v>
      </c>
      <c r="AN31" s="162"/>
      <c r="AO31" s="180" t="s">
        <v>6300</v>
      </c>
      <c r="AP31" s="190"/>
      <c r="AQ31" s="182" t="s">
        <v>6280</v>
      </c>
      <c r="AR31" s="182" t="s">
        <v>6301</v>
      </c>
      <c r="AS31" s="183"/>
    </row>
    <row r="32">
      <c r="A32" s="380" t="s">
        <v>6302</v>
      </c>
      <c r="B32" s="381"/>
      <c r="C32" s="163" t="s">
        <v>6061</v>
      </c>
      <c r="D32" s="163" t="s">
        <v>6062</v>
      </c>
      <c r="E32" s="163" t="s">
        <v>4010</v>
      </c>
      <c r="F32" s="380" t="s">
        <v>6303</v>
      </c>
      <c r="G32" s="381"/>
      <c r="H32" s="163" t="s">
        <v>6064</v>
      </c>
      <c r="I32" s="163" t="s">
        <v>6065</v>
      </c>
      <c r="J32" s="163" t="s">
        <v>6304</v>
      </c>
      <c r="K32" s="99" t="s">
        <v>6305</v>
      </c>
      <c r="L32" s="381"/>
      <c r="M32" s="161" t="s">
        <v>6067</v>
      </c>
      <c r="N32" s="161" t="s">
        <v>6068</v>
      </c>
      <c r="O32" s="161" t="s">
        <v>4013</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6069</v>
      </c>
      <c r="AD32" s="161" t="s">
        <v>4015</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6306</v>
      </c>
      <c r="AK32" s="376"/>
      <c r="AL32" s="161" t="s">
        <v>6071</v>
      </c>
      <c r="AM32" s="161" t="s">
        <v>6072</v>
      </c>
      <c r="AN32" s="161" t="s">
        <v>6307</v>
      </c>
      <c r="AO32" s="180" t="s">
        <v>6308</v>
      </c>
      <c r="AP32" s="190"/>
      <c r="AQ32" s="182" t="s">
        <v>6074</v>
      </c>
      <c r="AR32" s="182" t="s">
        <v>6075</v>
      </c>
      <c r="AS32" s="182" t="s">
        <v>4020</v>
      </c>
    </row>
    <row r="33">
      <c r="A33" s="380" t="s">
        <v>6309</v>
      </c>
      <c r="B33" s="381"/>
      <c r="C33" s="163" t="s">
        <v>6061</v>
      </c>
      <c r="D33" s="163" t="s">
        <v>4010</v>
      </c>
      <c r="E33" s="176"/>
      <c r="F33" s="380" t="s">
        <v>6310</v>
      </c>
      <c r="G33" s="381"/>
      <c r="H33" s="163" t="s">
        <v>6064</v>
      </c>
      <c r="I33" s="163" t="s">
        <v>6304</v>
      </c>
      <c r="J33" s="176"/>
      <c r="K33" s="103" t="s">
        <v>6311</v>
      </c>
      <c r="L33" s="381"/>
      <c r="M33" s="161" t="s">
        <v>6067</v>
      </c>
      <c r="N33" s="161" t="s">
        <v>6312</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para tortilla")</f>
        <v>Arroz para tortilla</v>
      </c>
      <c r="V33" s="375"/>
      <c r="W33" s="163" t="str">
        <f>IFERROR(__xludf.DUMMYFUNCTION("GOOGLETRANSLATE(C33,""zh-tw"",""es-MX"")"),"arroz blanco")</f>
        <v>arroz blanco</v>
      </c>
      <c r="X33" s="163" t="str">
        <f>IFERROR(__xludf.DUMMYFUNCTION("GOOGLETRANSLATE(D33,""zh-tw"",""es-MX"")"),"Un huevo muy grande")</f>
        <v>Un huevo muy grande</v>
      </c>
      <c r="Y33" s="163"/>
      <c r="Z33" s="384" t="s">
        <v>6313</v>
      </c>
      <c r="AA33" s="376"/>
      <c r="AB33" s="162" t="str">
        <f>IFERROR(__xludf.DUMMYFUNCTION("GOOGLETRANSLATE(C33,""zh-tw"",""KO"")"),"흰쌀")</f>
        <v>흰쌀</v>
      </c>
      <c r="AC33" s="317" t="s">
        <v>4015</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6314</v>
      </c>
      <c r="AK33" s="376"/>
      <c r="AL33" s="161" t="s">
        <v>6071</v>
      </c>
      <c r="AM33" s="161" t="s">
        <v>6307</v>
      </c>
      <c r="AN33" s="162"/>
      <c r="AO33" s="180" t="s">
        <v>6311</v>
      </c>
      <c r="AP33" s="190"/>
      <c r="AQ33" s="182" t="s">
        <v>6074</v>
      </c>
      <c r="AR33" s="182" t="s">
        <v>4020</v>
      </c>
      <c r="AS33" s="183"/>
    </row>
    <row r="34">
      <c r="A34" s="380" t="s">
        <v>6315</v>
      </c>
      <c r="B34" s="381"/>
      <c r="C34" s="163" t="s">
        <v>6061</v>
      </c>
      <c r="D34" s="163" t="s">
        <v>4010</v>
      </c>
      <c r="E34" s="163" t="s">
        <v>4229</v>
      </c>
      <c r="F34" s="380" t="s">
        <v>6316</v>
      </c>
      <c r="G34" s="381"/>
      <c r="H34" s="163" t="s">
        <v>6064</v>
      </c>
      <c r="I34" s="163" t="s">
        <v>6304</v>
      </c>
      <c r="J34" s="163" t="s">
        <v>6317</v>
      </c>
      <c r="K34" s="103" t="s">
        <v>6318</v>
      </c>
      <c r="L34" s="381"/>
      <c r="M34" s="161" t="s">
        <v>6067</v>
      </c>
      <c r="N34" s="161" t="s">
        <v>6312</v>
      </c>
      <c r="O34" s="161" t="s">
        <v>4231</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6319</v>
      </c>
      <c r="AA34" s="376"/>
      <c r="AB34" s="162" t="str">
        <f>IFERROR(__xludf.DUMMYFUNCTION("GOOGLETRANSLATE(C34,""zh-tw"",""KO"")"),"흰쌀")</f>
        <v>흰쌀</v>
      </c>
      <c r="AC34" s="317" t="s">
        <v>4015</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6320</v>
      </c>
      <c r="AK34" s="376"/>
      <c r="AL34" s="161" t="s">
        <v>6071</v>
      </c>
      <c r="AM34" s="161" t="s">
        <v>6307</v>
      </c>
      <c r="AN34" s="161" t="s">
        <v>6321</v>
      </c>
      <c r="AO34" s="180" t="s">
        <v>6322</v>
      </c>
      <c r="AP34" s="190"/>
      <c r="AQ34" s="182" t="s">
        <v>6074</v>
      </c>
      <c r="AR34" s="182" t="s">
        <v>4020</v>
      </c>
      <c r="AS34" s="182" t="s">
        <v>4235</v>
      </c>
    </row>
    <row r="35">
      <c r="A35" s="380" t="s">
        <v>6323</v>
      </c>
      <c r="B35" s="381"/>
      <c r="C35" s="163" t="s">
        <v>6061</v>
      </c>
      <c r="D35" s="163" t="s">
        <v>6324</v>
      </c>
      <c r="E35" s="176"/>
      <c r="F35" s="380" t="s">
        <v>6325</v>
      </c>
      <c r="G35" s="381"/>
      <c r="H35" s="163" t="s">
        <v>6064</v>
      </c>
      <c r="I35" s="163" t="s">
        <v>6326</v>
      </c>
      <c r="J35" s="176"/>
      <c r="K35" s="103" t="s">
        <v>6327</v>
      </c>
      <c r="L35" s="381"/>
      <c r="M35" s="161" t="s">
        <v>6067</v>
      </c>
      <c r="N35" s="161" t="s">
        <v>6296</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6328</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6329</v>
      </c>
      <c r="AK35" s="376"/>
      <c r="AL35" s="161" t="s">
        <v>6071</v>
      </c>
      <c r="AM35" s="161" t="s">
        <v>6330</v>
      </c>
      <c r="AN35" s="162"/>
      <c r="AO35" s="180" t="s">
        <v>6331</v>
      </c>
      <c r="AP35" s="190"/>
      <c r="AQ35" s="182" t="s">
        <v>6074</v>
      </c>
      <c r="AR35" s="182" t="s">
        <v>6301</v>
      </c>
      <c r="AS35" s="183"/>
    </row>
    <row r="36">
      <c r="A36" s="380" t="s">
        <v>6332</v>
      </c>
      <c r="B36" s="381"/>
      <c r="C36" s="163" t="s">
        <v>6333</v>
      </c>
      <c r="D36" s="176"/>
      <c r="E36" s="176"/>
      <c r="F36" s="380" t="s">
        <v>6334</v>
      </c>
      <c r="G36" s="381"/>
      <c r="H36" s="163" t="s">
        <v>6335</v>
      </c>
      <c r="I36" s="176"/>
      <c r="J36" s="176"/>
      <c r="K36" s="99" t="s">
        <v>6336</v>
      </c>
      <c r="L36" s="381"/>
      <c r="M36" s="161" t="s">
        <v>6337</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6338</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6339</v>
      </c>
      <c r="AK36" s="376"/>
      <c r="AL36" s="161" t="s">
        <v>6340</v>
      </c>
      <c r="AM36" s="162"/>
      <c r="AN36" s="162"/>
      <c r="AO36" s="180" t="s">
        <v>6341</v>
      </c>
      <c r="AP36" s="190"/>
      <c r="AQ36" s="182" t="s">
        <v>6342</v>
      </c>
      <c r="AR36" s="183"/>
      <c r="AS36" s="183"/>
    </row>
    <row r="37">
      <c r="A37" s="385" t="s">
        <v>6343</v>
      </c>
      <c r="B37" s="381"/>
      <c r="C37" s="163" t="s">
        <v>6250</v>
      </c>
      <c r="D37" s="163" t="s">
        <v>6250</v>
      </c>
      <c r="E37" s="176"/>
      <c r="F37" s="380" t="s">
        <v>6344</v>
      </c>
      <c r="G37" s="381"/>
      <c r="H37" s="163" t="s">
        <v>6345</v>
      </c>
      <c r="I37" s="163" t="s">
        <v>6345</v>
      </c>
      <c r="J37" s="176"/>
      <c r="K37" s="103" t="s">
        <v>6346</v>
      </c>
      <c r="L37" s="381"/>
      <c r="M37" s="161" t="s">
        <v>6347</v>
      </c>
      <c r="N37" s="161" t="s">
        <v>6347</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6348</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6349</v>
      </c>
      <c r="AK37" s="376"/>
      <c r="AL37" s="161" t="s">
        <v>6256</v>
      </c>
      <c r="AM37" s="161" t="s">
        <v>6256</v>
      </c>
      <c r="AN37" s="162"/>
      <c r="AO37" s="154" t="s">
        <v>6350</v>
      </c>
      <c r="AP37" s="190"/>
      <c r="AQ37" s="182" t="s">
        <v>6351</v>
      </c>
      <c r="AR37" s="182" t="s">
        <v>6351</v>
      </c>
      <c r="AS37" s="183"/>
    </row>
    <row r="38">
      <c r="A38" s="380" t="s">
        <v>6352</v>
      </c>
      <c r="B38" s="366" t="s">
        <v>235</v>
      </c>
      <c r="C38" s="163" t="s">
        <v>6353</v>
      </c>
      <c r="D38" s="163" t="s">
        <v>6353</v>
      </c>
      <c r="E38" s="163" t="s">
        <v>6078</v>
      </c>
      <c r="F38" s="380" t="s">
        <v>6354</v>
      </c>
      <c r="G38" s="366" t="s">
        <v>235</v>
      </c>
      <c r="H38" s="163" t="s">
        <v>6355</v>
      </c>
      <c r="I38" s="163" t="s">
        <v>6355</v>
      </c>
      <c r="J38" s="163" t="s">
        <v>6081</v>
      </c>
      <c r="K38" s="99" t="s">
        <v>6356</v>
      </c>
      <c r="L38" s="366" t="s">
        <v>235</v>
      </c>
      <c r="M38" s="161" t="s">
        <v>6357</v>
      </c>
      <c r="N38" s="161" t="s">
        <v>6357</v>
      </c>
      <c r="O38" s="161" t="s">
        <v>6084</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6358</v>
      </c>
      <c r="AA38" s="388" t="s">
        <v>235</v>
      </c>
      <c r="AB38" s="161" t="s">
        <v>6359</v>
      </c>
      <c r="AC38" s="161" t="s">
        <v>6359</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6360</v>
      </c>
      <c r="AK38" s="376" t="s">
        <v>235</v>
      </c>
      <c r="AL38" s="161" t="s">
        <v>6361</v>
      </c>
      <c r="AM38" s="161" t="s">
        <v>6361</v>
      </c>
      <c r="AN38" s="161" t="s">
        <v>6087</v>
      </c>
      <c r="AO38" s="180" t="s">
        <v>6362</v>
      </c>
      <c r="AP38" s="386" t="s">
        <v>235</v>
      </c>
      <c r="AQ38" s="182" t="s">
        <v>6363</v>
      </c>
      <c r="AR38" s="182" t="s">
        <v>6363</v>
      </c>
      <c r="AS38" s="182" t="s">
        <v>6090</v>
      </c>
    </row>
    <row r="39">
      <c r="A39" s="385" t="s">
        <v>6364</v>
      </c>
      <c r="B39" s="366" t="s">
        <v>235</v>
      </c>
      <c r="C39" s="163" t="s">
        <v>6353</v>
      </c>
      <c r="D39" s="176"/>
      <c r="E39" s="176"/>
      <c r="F39" s="380" t="s">
        <v>6365</v>
      </c>
      <c r="G39" s="366" t="s">
        <v>235</v>
      </c>
      <c r="H39" s="163" t="s">
        <v>6355</v>
      </c>
      <c r="I39" s="176"/>
      <c r="J39" s="176"/>
      <c r="K39" s="103" t="s">
        <v>6366</v>
      </c>
      <c r="L39" s="366" t="s">
        <v>235</v>
      </c>
      <c r="M39" s="161" t="s">
        <v>6357</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IFERROR(__xludf.DUMMYFUNCTION("GOOGLETRANSLATE(A39,""zh-tw"",""es-MX"")"),"Piernas de pollo fritas")</f>
        <v>Piernas de pollo fritas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235</v>
      </c>
      <c r="AB39" s="161" t="s">
        <v>6359</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6367</v>
      </c>
      <c r="AK39" s="376" t="s">
        <v>235</v>
      </c>
      <c r="AL39" s="161" t="s">
        <v>6361</v>
      </c>
      <c r="AM39" s="162"/>
      <c r="AN39" s="162"/>
      <c r="AO39" s="154" t="s">
        <v>6368</v>
      </c>
      <c r="AP39" s="386" t="s">
        <v>235</v>
      </c>
      <c r="AQ39" s="182" t="s">
        <v>6363</v>
      </c>
      <c r="AR39" s="183"/>
      <c r="AS39" s="183"/>
    </row>
    <row r="40">
      <c r="A40" s="380" t="s">
        <v>6369</v>
      </c>
      <c r="B40" s="366" t="s">
        <v>235</v>
      </c>
      <c r="C40" s="163" t="s">
        <v>6061</v>
      </c>
      <c r="D40" s="163" t="s">
        <v>6353</v>
      </c>
      <c r="E40" s="176"/>
      <c r="F40" s="380" t="s">
        <v>6370</v>
      </c>
      <c r="G40" s="366" t="s">
        <v>235</v>
      </c>
      <c r="H40" s="163" t="s">
        <v>6064</v>
      </c>
      <c r="I40" s="163" t="s">
        <v>6355</v>
      </c>
      <c r="J40" s="176"/>
      <c r="K40" s="103" t="s">
        <v>6371</v>
      </c>
      <c r="L40" s="366" t="s">
        <v>235</v>
      </c>
      <c r="M40" s="161" t="s">
        <v>6176</v>
      </c>
      <c r="N40" s="161" t="s">
        <v>6357</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6372</v>
      </c>
      <c r="AA40" s="388" t="s">
        <v>235</v>
      </c>
      <c r="AB40" s="162" t="str">
        <f>IFERROR(__xludf.DUMMYFUNCTION("GOOGLETRANSLATE(C40,""zh-tw"",""KO"")"),"흰쌀")</f>
        <v>흰쌀</v>
      </c>
      <c r="AC40" s="161" t="s">
        <v>6359</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6373</v>
      </c>
      <c r="AK40" s="376" t="s">
        <v>235</v>
      </c>
      <c r="AL40" s="161" t="s">
        <v>6071</v>
      </c>
      <c r="AM40" s="161" t="s">
        <v>6361</v>
      </c>
      <c r="AN40" s="162"/>
      <c r="AO40" s="180" t="s">
        <v>6371</v>
      </c>
      <c r="AP40" s="386" t="s">
        <v>235</v>
      </c>
      <c r="AQ40" s="182" t="s">
        <v>6074</v>
      </c>
      <c r="AR40" s="182" t="s">
        <v>6363</v>
      </c>
      <c r="AS40" s="183"/>
    </row>
    <row r="41">
      <c r="A41" s="380" t="s">
        <v>6374</v>
      </c>
      <c r="B41" s="381"/>
      <c r="C41" s="163" t="s">
        <v>6375</v>
      </c>
      <c r="D41" s="163" t="s">
        <v>6375</v>
      </c>
      <c r="E41" s="163" t="s">
        <v>6375</v>
      </c>
      <c r="F41" s="380" t="s">
        <v>6376</v>
      </c>
      <c r="G41" s="389"/>
      <c r="H41" s="163" t="s">
        <v>6326</v>
      </c>
      <c r="I41" s="163" t="s">
        <v>6326</v>
      </c>
      <c r="J41" s="163" t="s">
        <v>6326</v>
      </c>
      <c r="K41" s="103" t="s">
        <v>6377</v>
      </c>
      <c r="L41" s="381"/>
      <c r="M41" s="161" t="s">
        <v>6378</v>
      </c>
      <c r="N41" s="161" t="s">
        <v>6378</v>
      </c>
      <c r="O41" s="161" t="s">
        <v>6378</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6379</v>
      </c>
      <c r="AA41" s="376"/>
      <c r="AB41" s="161" t="s">
        <v>6328</v>
      </c>
      <c r="AC41" s="161" t="s">
        <v>6328</v>
      </c>
      <c r="AD41" s="161" t="s">
        <v>6328</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6380</v>
      </c>
      <c r="AK41" s="376"/>
      <c r="AL41" s="161" t="s">
        <v>6330</v>
      </c>
      <c r="AM41" s="161" t="s">
        <v>6330</v>
      </c>
      <c r="AN41" s="161" t="s">
        <v>6330</v>
      </c>
      <c r="AO41" s="180" t="s">
        <v>6381</v>
      </c>
      <c r="AP41" s="190"/>
      <c r="AQ41" s="182" t="s">
        <v>6382</v>
      </c>
      <c r="AR41" s="182" t="s">
        <v>6382</v>
      </c>
      <c r="AS41" s="182" t="s">
        <v>6382</v>
      </c>
    </row>
    <row r="42">
      <c r="A42" s="380" t="s">
        <v>6383</v>
      </c>
      <c r="B42" s="381"/>
      <c r="C42" s="163" t="s">
        <v>6384</v>
      </c>
      <c r="D42" s="163" t="s">
        <v>6384</v>
      </c>
      <c r="E42" s="163" t="s">
        <v>6384</v>
      </c>
      <c r="F42" s="380" t="s">
        <v>6385</v>
      </c>
      <c r="G42" s="389"/>
      <c r="H42" s="163" t="s">
        <v>6386</v>
      </c>
      <c r="I42" s="163" t="s">
        <v>6386</v>
      </c>
      <c r="J42" s="163" t="s">
        <v>6386</v>
      </c>
      <c r="K42" s="103" t="s">
        <v>6387</v>
      </c>
      <c r="L42" s="381"/>
      <c r="M42" s="161" t="s">
        <v>6388</v>
      </c>
      <c r="N42" s="161" t="s">
        <v>6388</v>
      </c>
      <c r="O42" s="161" t="s">
        <v>6388</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6389</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6390</v>
      </c>
      <c r="AK42" s="376"/>
      <c r="AL42" s="161" t="s">
        <v>6391</v>
      </c>
      <c r="AM42" s="161" t="s">
        <v>6391</v>
      </c>
      <c r="AN42" s="161" t="s">
        <v>6391</v>
      </c>
      <c r="AO42" s="180" t="s">
        <v>6392</v>
      </c>
      <c r="AP42" s="190"/>
      <c r="AQ42" s="182" t="s">
        <v>6393</v>
      </c>
      <c r="AR42" s="182" t="s">
        <v>6393</v>
      </c>
      <c r="AS42" s="182" t="s">
        <v>6393</v>
      </c>
    </row>
    <row r="43">
      <c r="A43" s="385" t="s">
        <v>6394</v>
      </c>
      <c r="B43" s="381"/>
      <c r="C43" s="163" t="s">
        <v>6395</v>
      </c>
      <c r="D43" s="176"/>
      <c r="E43" s="176"/>
      <c r="F43" s="380" t="s">
        <v>6396</v>
      </c>
      <c r="G43" s="389"/>
      <c r="H43" s="163" t="s">
        <v>6397</v>
      </c>
      <c r="I43" s="176"/>
      <c r="J43" s="176"/>
      <c r="K43" s="103" t="s">
        <v>6398</v>
      </c>
      <c r="L43" s="381"/>
      <c r="M43" s="161" t="s">
        <v>6399</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6400</v>
      </c>
      <c r="AK43" s="376"/>
      <c r="AL43" s="161" t="s">
        <v>6401</v>
      </c>
      <c r="AM43" s="162"/>
      <c r="AN43" s="162"/>
      <c r="AO43" s="154" t="s">
        <v>6402</v>
      </c>
      <c r="AP43" s="190"/>
      <c r="AQ43" s="182" t="s">
        <v>6403</v>
      </c>
      <c r="AR43" s="182" t="s">
        <v>6090</v>
      </c>
      <c r="AS43" s="183"/>
    </row>
    <row r="44">
      <c r="A44" s="380" t="s">
        <v>6404</v>
      </c>
      <c r="B44" s="389"/>
      <c r="C44" s="163" t="s">
        <v>6238</v>
      </c>
      <c r="D44" s="163" t="s">
        <v>6078</v>
      </c>
      <c r="E44" s="176"/>
      <c r="F44" s="380" t="s">
        <v>6405</v>
      </c>
      <c r="G44" s="389"/>
      <c r="H44" s="163" t="s">
        <v>6240</v>
      </c>
      <c r="I44" s="163" t="s">
        <v>6081</v>
      </c>
      <c r="J44" s="176"/>
      <c r="K44" s="103" t="s">
        <v>6406</v>
      </c>
      <c r="L44" s="381"/>
      <c r="M44" s="161" t="s">
        <v>6242</v>
      </c>
      <c r="N44" s="161" t="s">
        <v>6084</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6407</v>
      </c>
      <c r="AA44" s="376"/>
      <c r="AB44" s="161" t="s">
        <v>6244</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6408</v>
      </c>
      <c r="AK44" s="376"/>
      <c r="AL44" s="161" t="s">
        <v>6246</v>
      </c>
      <c r="AM44" s="161" t="s">
        <v>6087</v>
      </c>
      <c r="AN44" s="162"/>
      <c r="AO44" s="180" t="s">
        <v>6406</v>
      </c>
      <c r="AP44" s="190"/>
      <c r="AQ44" s="182" t="s">
        <v>6248</v>
      </c>
      <c r="AR44" s="183"/>
      <c r="AS44" s="183"/>
    </row>
    <row r="45">
      <c r="A45" s="380" t="s">
        <v>6409</v>
      </c>
      <c r="B45" s="389"/>
      <c r="C45" s="163" t="s">
        <v>6125</v>
      </c>
      <c r="D45" s="176"/>
      <c r="E45" s="176"/>
      <c r="F45" s="380" t="s">
        <v>6157</v>
      </c>
      <c r="G45" s="389"/>
      <c r="H45" s="163" t="s">
        <v>6127</v>
      </c>
      <c r="I45" s="176"/>
      <c r="J45" s="176"/>
      <c r="K45" s="103" t="s">
        <v>6410</v>
      </c>
      <c r="L45" s="381"/>
      <c r="M45" s="161" t="s">
        <v>6130</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6411</v>
      </c>
      <c r="AA45" s="376"/>
      <c r="AB45" s="161" t="s">
        <v>6132</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6412</v>
      </c>
      <c r="AK45" s="376"/>
      <c r="AL45" s="161" t="s">
        <v>6134</v>
      </c>
      <c r="AM45" s="162"/>
      <c r="AN45" s="162"/>
      <c r="AO45" s="180" t="s">
        <v>6413</v>
      </c>
      <c r="AP45" s="190"/>
      <c r="AQ45" s="182" t="s">
        <v>6135</v>
      </c>
      <c r="AR45" s="183"/>
      <c r="AS45" s="183"/>
    </row>
    <row r="46">
      <c r="A46" s="380" t="s">
        <v>6414</v>
      </c>
      <c r="B46" s="366" t="s">
        <v>786</v>
      </c>
      <c r="C46" s="163" t="s">
        <v>4220</v>
      </c>
      <c r="D46" s="163" t="s">
        <v>4237</v>
      </c>
      <c r="E46" s="176"/>
      <c r="F46" s="380" t="s">
        <v>6415</v>
      </c>
      <c r="G46" s="366" t="s">
        <v>786</v>
      </c>
      <c r="H46" s="163" t="s">
        <v>6230</v>
      </c>
      <c r="I46" s="163" t="s">
        <v>6416</v>
      </c>
      <c r="J46" s="176"/>
      <c r="K46" s="103" t="s">
        <v>6417</v>
      </c>
      <c r="L46" s="366" t="s">
        <v>786</v>
      </c>
      <c r="M46" s="161" t="s">
        <v>4222</v>
      </c>
      <c r="N46" s="161" t="s">
        <v>4239</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6418</v>
      </c>
      <c r="AA46" s="388" t="s">
        <v>786</v>
      </c>
      <c r="AB46" s="162" t="str">
        <f>IFERROR(__xludf.DUMMYFUNCTION("GOOGLETRANSLATE(C46,""zh-tw"",""KO"")"),"감자")</f>
        <v>감자</v>
      </c>
      <c r="AC46" s="317" t="s">
        <v>6419</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6420</v>
      </c>
      <c r="AK46" s="376" t="s">
        <v>786</v>
      </c>
      <c r="AL46" s="161" t="s">
        <v>4225</v>
      </c>
      <c r="AM46" s="161" t="s">
        <v>6421</v>
      </c>
      <c r="AN46" s="162"/>
      <c r="AO46" s="180" t="s">
        <v>6422</v>
      </c>
      <c r="AP46" s="386" t="s">
        <v>786</v>
      </c>
      <c r="AQ46" s="182" t="s">
        <v>4227</v>
      </c>
      <c r="AR46" s="182" t="s">
        <v>4243</v>
      </c>
      <c r="AS46" s="183"/>
    </row>
    <row r="47">
      <c r="A47" s="380" t="s">
        <v>6423</v>
      </c>
      <c r="B47" s="366" t="s">
        <v>786</v>
      </c>
      <c r="C47" s="163" t="s">
        <v>4237</v>
      </c>
      <c r="D47" s="176"/>
      <c r="E47" s="176"/>
      <c r="F47" s="380" t="s">
        <v>6424</v>
      </c>
      <c r="G47" s="366" t="s">
        <v>786</v>
      </c>
      <c r="H47" s="163" t="s">
        <v>6416</v>
      </c>
      <c r="I47" s="176"/>
      <c r="J47" s="176"/>
      <c r="K47" s="103" t="s">
        <v>6425</v>
      </c>
      <c r="L47" s="366" t="s">
        <v>786</v>
      </c>
      <c r="M47" s="161" t="s">
        <v>4239</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6426</v>
      </c>
      <c r="AA47" s="388" t="s">
        <v>786</v>
      </c>
      <c r="AB47" s="317" t="s">
        <v>6419</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6427</v>
      </c>
      <c r="AK47" s="376" t="s">
        <v>786</v>
      </c>
      <c r="AL47" s="161" t="s">
        <v>6421</v>
      </c>
      <c r="AM47" s="162"/>
      <c r="AN47" s="162"/>
      <c r="AO47" s="180" t="s">
        <v>6428</v>
      </c>
      <c r="AP47" s="386" t="s">
        <v>786</v>
      </c>
      <c r="AQ47" s="182" t="s">
        <v>4243</v>
      </c>
      <c r="AR47" s="183"/>
      <c r="AS47" s="183"/>
    </row>
    <row r="48">
      <c r="A48" s="380" t="s">
        <v>6429</v>
      </c>
      <c r="B48" s="389"/>
      <c r="C48" s="163" t="s">
        <v>6050</v>
      </c>
      <c r="D48" s="163" t="s">
        <v>6181</v>
      </c>
      <c r="E48" s="176"/>
      <c r="F48" s="380" t="s">
        <v>6430</v>
      </c>
      <c r="G48" s="389"/>
      <c r="H48" s="163" t="s">
        <v>6052</v>
      </c>
      <c r="I48" s="163" t="s">
        <v>6183</v>
      </c>
      <c r="J48" s="176"/>
      <c r="K48" s="103" t="s">
        <v>6431</v>
      </c>
      <c r="L48" s="381"/>
      <c r="M48" s="161" t="s">
        <v>6054</v>
      </c>
      <c r="N48" s="161" t="s">
        <v>6185</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IFERROR(__xludf.DUMMYFUNCTION("GOOGLETRANSLATE(A48,""zh-tw"",""es-MX"")"),"Gomitas de monstruo de agua")</f>
        <v>Gomitas de monstruo de agua</v>
      </c>
      <c r="V48" s="375"/>
      <c r="W48" s="163" t="str">
        <f>IFERROR(__xludf.DUMMYFUNCTION("GOOGLETRANSLATE(C48,""zh-tw"",""es-MX"")"),"limo")</f>
        <v>limo</v>
      </c>
      <c r="X48" s="163" t="str">
        <f>IFERROR(__xludf.DUMMYFUNCTION("GOOGLETRANSLATE(D48,""zh-tw"",""es-MX"")"),"Slime de monstruo de agua")</f>
        <v>Slime de monstruo de agua</v>
      </c>
      <c r="Y48" s="163"/>
      <c r="Z48" s="384" t="s">
        <v>6432</v>
      </c>
      <c r="AA48" s="376"/>
      <c r="AB48" s="317" t="s">
        <v>6055</v>
      </c>
      <c r="AC48" s="161" t="s">
        <v>6186</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6433</v>
      </c>
      <c r="AK48" s="376"/>
      <c r="AL48" s="161" t="s">
        <v>6057</v>
      </c>
      <c r="AM48" s="161" t="s">
        <v>6188</v>
      </c>
      <c r="AN48" s="162"/>
      <c r="AO48" s="180" t="s">
        <v>6434</v>
      </c>
      <c r="AP48" s="190"/>
      <c r="AQ48" s="182" t="s">
        <v>6059</v>
      </c>
      <c r="AR48" s="182" t="s">
        <v>6190</v>
      </c>
      <c r="AS48" s="183"/>
    </row>
    <row r="49">
      <c r="A49" s="380" t="s">
        <v>6435</v>
      </c>
      <c r="B49" s="389"/>
      <c r="C49" s="163" t="s">
        <v>6050</v>
      </c>
      <c r="D49" s="163" t="s">
        <v>6181</v>
      </c>
      <c r="E49" s="176"/>
      <c r="F49" s="380" t="s">
        <v>6436</v>
      </c>
      <c r="G49" s="389"/>
      <c r="H49" s="163" t="s">
        <v>6052</v>
      </c>
      <c r="I49" s="163" t="s">
        <v>6183</v>
      </c>
      <c r="J49" s="176"/>
      <c r="K49" s="103" t="s">
        <v>6437</v>
      </c>
      <c r="L49" s="381"/>
      <c r="M49" s="161" t="s">
        <v>6054</v>
      </c>
      <c r="N49" s="161" t="s">
        <v>6185</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Water Monster")</f>
        <v>Hielo raspado Water Monster</v>
      </c>
      <c r="V49" s="375"/>
      <c r="W49" s="163" t="str">
        <f>IFERROR(__xludf.DUMMYFUNCTION("GOOGLETRANSLATE(C49,""zh-tw"",""es-MX"")"),"limo")</f>
        <v>limo</v>
      </c>
      <c r="X49" s="163" t="str">
        <f>IFERROR(__xludf.DUMMYFUNCTION("GOOGLETRANSLATE(D49,""zh-tw"",""es-MX"")"),"Slime de monstruo de agua")</f>
        <v>Slime de monstruo de agua</v>
      </c>
      <c r="Y49" s="163"/>
      <c r="Z49" s="384" t="s">
        <v>6438</v>
      </c>
      <c r="AA49" s="376"/>
      <c r="AB49" s="317" t="s">
        <v>6055</v>
      </c>
      <c r="AC49" s="317" t="s">
        <v>6186</v>
      </c>
      <c r="AD49" s="162"/>
      <c r="AE49" s="380" t="str">
        <f>IFERROR(__xludf.DUMMYFUNCTION("GOOGLETRANSLATE(A49,""zh-tw"",""ru"")"),"Водяной монстр, стругающийся лед")</f>
        <v>Водяной монстр, стругающийся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6439</v>
      </c>
      <c r="AK49" s="376"/>
      <c r="AL49" s="161" t="s">
        <v>6057</v>
      </c>
      <c r="AM49" s="161" t="s">
        <v>6188</v>
      </c>
      <c r="AN49" s="162"/>
      <c r="AO49" s="180" t="s">
        <v>6440</v>
      </c>
      <c r="AP49" s="190"/>
      <c r="AQ49" s="182" t="s">
        <v>6059</v>
      </c>
      <c r="AR49" s="182" t="s">
        <v>6190</v>
      </c>
      <c r="AS49" s="183"/>
    </row>
    <row r="50">
      <c r="A50" s="380" t="s">
        <v>6441</v>
      </c>
      <c r="B50" s="390" t="s">
        <v>6442</v>
      </c>
      <c r="C50" s="163" t="s">
        <v>6050</v>
      </c>
      <c r="D50" s="163" t="s">
        <v>6181</v>
      </c>
      <c r="E50" s="163" t="s">
        <v>6443</v>
      </c>
      <c r="F50" s="380" t="s">
        <v>6444</v>
      </c>
      <c r="G50" s="390" t="s">
        <v>6445</v>
      </c>
      <c r="H50" s="163" t="s">
        <v>6052</v>
      </c>
      <c r="I50" s="163" t="s">
        <v>6183</v>
      </c>
      <c r="J50" s="163" t="s">
        <v>6446</v>
      </c>
      <c r="K50" s="103" t="s">
        <v>6447</v>
      </c>
      <c r="L50" s="172" t="s">
        <v>6448</v>
      </c>
      <c r="M50" s="161" t="s">
        <v>6054</v>
      </c>
      <c r="N50" s="161" t="s">
        <v>6185</v>
      </c>
      <c r="O50" s="161" t="s">
        <v>6449</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Water Monster (rojas)")</f>
        <v>Gomitas Water Monster (rojas)</v>
      </c>
      <c r="V50" s="375" t="str">
        <f>IFERROR(__xludf.DUMMYFUNCTION("GOOGLETRANSLATE(B50,""zh-tw"",""es-MX"")"),"(B) Chiles")</f>
        <v>(B) Chiles</v>
      </c>
      <c r="W50" s="163" t="str">
        <f>IFERROR(__xludf.DUMMYFUNCTION("GOOGLETRANSLATE(C50,""zh-tw"",""es-MX"")"),"limo")</f>
        <v>limo</v>
      </c>
      <c r="X50" s="163" t="str">
        <f>IFERROR(__xludf.DUMMYFUNCTION("GOOGLETRANSLATE(D50,""zh-tw"",""es-MX"")"),"Slime de monstruo de agua")</f>
        <v>Slime de monstruo de agua</v>
      </c>
      <c r="Y50" s="163" t="str">
        <f>IFERROR(__xludf.DUMMYFUNCTION("GOOGLETRANSLATE(E50,""zh-tw"",""es-MX"")"),"Tomates/Pimientos")</f>
        <v>Tomates/Pimientos</v>
      </c>
      <c r="Z50" s="384" t="s">
        <v>6450</v>
      </c>
      <c r="AA50" s="388" t="s">
        <v>6451</v>
      </c>
      <c r="AB50" s="161" t="s">
        <v>6055</v>
      </c>
      <c r="AC50" s="317" t="s">
        <v>6186</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6452</v>
      </c>
      <c r="AK50" s="376" t="s">
        <v>786</v>
      </c>
      <c r="AL50" s="161" t="s">
        <v>6057</v>
      </c>
      <c r="AM50" s="161" t="s">
        <v>6188</v>
      </c>
      <c r="AN50" s="162" t="str">
        <f>IFERROR(__xludf.DUMMYFUNCTION("GOOGLETRANSLATE(E50,""zh-tw"",""de"")"),"Tomaten/Paprika")</f>
        <v>Tomaten/Paprika</v>
      </c>
      <c r="AO50" s="180" t="s">
        <v>6453</v>
      </c>
      <c r="AP50" s="73" t="s">
        <v>6454</v>
      </c>
      <c r="AQ50" s="182" t="s">
        <v>6059</v>
      </c>
      <c r="AR50" s="182" t="s">
        <v>6190</v>
      </c>
      <c r="AS50" s="182" t="s">
        <v>6455</v>
      </c>
    </row>
    <row r="51">
      <c r="A51" s="380" t="s">
        <v>6456</v>
      </c>
      <c r="B51" s="389"/>
      <c r="C51" s="163" t="s">
        <v>6078</v>
      </c>
      <c r="D51" s="176"/>
      <c r="E51" s="176"/>
      <c r="F51" s="380" t="s">
        <v>6457</v>
      </c>
      <c r="G51" s="389"/>
      <c r="H51" s="163" t="s">
        <v>6081</v>
      </c>
      <c r="I51" s="176"/>
      <c r="J51" s="176"/>
      <c r="K51" s="103" t="s">
        <v>6458</v>
      </c>
      <c r="L51" s="381"/>
      <c r="M51" s="161" t="s">
        <v>6084</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6459</v>
      </c>
      <c r="AK51" s="376"/>
      <c r="AL51" s="161" t="s">
        <v>6087</v>
      </c>
      <c r="AM51" s="162"/>
      <c r="AN51" s="162"/>
      <c r="AO51" s="180" t="s">
        <v>6460</v>
      </c>
      <c r="AP51" s="190"/>
      <c r="AQ51" s="182" t="s">
        <v>6090</v>
      </c>
      <c r="AR51" s="183"/>
      <c r="AS51" s="183"/>
    </row>
    <row r="52">
      <c r="A52" s="380" t="s">
        <v>6461</v>
      </c>
      <c r="B52" s="389"/>
      <c r="C52" s="163" t="s">
        <v>4210</v>
      </c>
      <c r="D52" s="163" t="s">
        <v>6078</v>
      </c>
      <c r="E52" s="176"/>
      <c r="F52" s="380" t="s">
        <v>6462</v>
      </c>
      <c r="G52" s="389"/>
      <c r="H52" s="163" t="s">
        <v>6463</v>
      </c>
      <c r="I52" s="163" t="s">
        <v>6081</v>
      </c>
      <c r="J52" s="176"/>
      <c r="K52" s="103" t="s">
        <v>6464</v>
      </c>
      <c r="L52" s="381"/>
      <c r="M52" s="161" t="s">
        <v>4212</v>
      </c>
      <c r="N52" s="161" t="s">
        <v>6084</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IFERROR(__xludf.DUMMYFUNCTION("GOOGLETRANSLATE(A52,""zh-tw"",""es-MX"")"),"Panqueques de fresa")</f>
        <v>Panqueques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6465</v>
      </c>
      <c r="AK52" s="376"/>
      <c r="AL52" s="161" t="s">
        <v>6466</v>
      </c>
      <c r="AM52" s="161" t="s">
        <v>6087</v>
      </c>
      <c r="AN52" s="162"/>
      <c r="AO52" s="180" t="s">
        <v>6467</v>
      </c>
      <c r="AP52" s="190"/>
      <c r="AQ52" s="182" t="s">
        <v>4218</v>
      </c>
      <c r="AR52" s="182" t="s">
        <v>6090</v>
      </c>
      <c r="AS52" s="183"/>
    </row>
    <row r="53">
      <c r="A53" s="380" t="s">
        <v>6468</v>
      </c>
      <c r="B53" s="389"/>
      <c r="C53" s="163" t="s">
        <v>4229</v>
      </c>
      <c r="D53" s="176"/>
      <c r="E53" s="176"/>
      <c r="F53" s="380" t="s">
        <v>6469</v>
      </c>
      <c r="G53" s="389"/>
      <c r="H53" s="163" t="s">
        <v>6317</v>
      </c>
      <c r="I53" s="176"/>
      <c r="J53" s="176"/>
      <c r="K53" s="103" t="s">
        <v>6470</v>
      </c>
      <c r="L53" s="381"/>
      <c r="M53" s="161" t="s">
        <v>4231</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6471</v>
      </c>
      <c r="AK53" s="376"/>
      <c r="AL53" s="161" t="s">
        <v>6321</v>
      </c>
      <c r="AM53" s="162"/>
      <c r="AN53" s="162"/>
      <c r="AO53" s="180" t="s">
        <v>6472</v>
      </c>
      <c r="AP53" s="190"/>
      <c r="AQ53" s="182" t="s">
        <v>4227</v>
      </c>
      <c r="AR53" s="183"/>
      <c r="AS53" s="183"/>
    </row>
    <row r="54">
      <c r="A54" s="380" t="s">
        <v>4210</v>
      </c>
      <c r="B54" s="389"/>
      <c r="C54" s="163" t="s">
        <v>4210</v>
      </c>
      <c r="D54" s="176"/>
      <c r="E54" s="176"/>
      <c r="F54" s="380" t="s">
        <v>6473</v>
      </c>
      <c r="G54" s="389"/>
      <c r="H54" s="163" t="s">
        <v>6463</v>
      </c>
      <c r="I54" s="176"/>
      <c r="J54" s="176"/>
      <c r="K54" s="103" t="s">
        <v>4212</v>
      </c>
      <c r="L54" s="381"/>
      <c r="M54" s="161" t="s">
        <v>4212</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6466</v>
      </c>
      <c r="AK54" s="376"/>
      <c r="AL54" s="161" t="s">
        <v>6466</v>
      </c>
      <c r="AM54" s="162"/>
      <c r="AN54" s="162"/>
      <c r="AO54" s="180" t="s">
        <v>4218</v>
      </c>
      <c r="AP54" s="190"/>
      <c r="AQ54" s="182" t="s">
        <v>4218</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211</v>
      </c>
      <c r="E1" s="57"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I1" s="57" t="s">
        <v>6474</v>
      </c>
      <c r="M1" s="57"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Q1" s="5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U1" s="5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AG1" s="299" t="s">
        <v>6475</v>
      </c>
      <c r="AK1" s="57"/>
      <c r="AL1" s="57"/>
      <c r="AM1" s="57"/>
    </row>
    <row r="2" ht="45.0" customHeight="1">
      <c r="AK2" s="57"/>
      <c r="AL2" s="57"/>
      <c r="AM2" s="57"/>
    </row>
    <row r="3" ht="55.5" customHeight="1">
      <c r="A3" s="392" t="s">
        <v>6476</v>
      </c>
      <c r="B3" s="14" t="s">
        <v>6477</v>
      </c>
      <c r="C3" s="309" t="s">
        <v>6478</v>
      </c>
      <c r="D3" s="143" t="s">
        <v>6479</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6480</v>
      </c>
      <c r="J3" s="14" t="s">
        <v>6481</v>
      </c>
      <c r="K3" s="309" t="s">
        <v>6482</v>
      </c>
      <c r="L3" s="143" t="s">
        <v>6483</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6484</v>
      </c>
      <c r="AH3" s="310" t="s">
        <v>6485</v>
      </c>
      <c r="AI3" s="394" t="s">
        <v>6486</v>
      </c>
      <c r="AJ3" s="395" t="s">
        <v>3853</v>
      </c>
      <c r="AK3" s="143"/>
      <c r="AL3" s="143"/>
      <c r="AM3" s="143"/>
    </row>
    <row r="4" ht="26.25" customHeight="1">
      <c r="A4" s="174" t="s">
        <v>6487</v>
      </c>
      <c r="B4" s="317" t="s">
        <v>6488</v>
      </c>
      <c r="C4" s="319" t="s">
        <v>722</v>
      </c>
      <c r="D4" s="396" t="s">
        <v>6489</v>
      </c>
      <c r="E4" s="174" t="s">
        <v>6490</v>
      </c>
      <c r="F4" s="315" t="str">
        <f>IFERROR(__xludf.DUMMYFUNCTION("GOOGLETRANSLATE(B4,""zh-tw"",""ja"")"),"少し落ち着かない気分です")</f>
        <v>少し落ち着かない気分です</v>
      </c>
      <c r="G4" s="316" t="str">
        <f>IFERROR(__xludf.DUMMYFUNCTION("GOOGLETRANSLATE(C4,""zh-tw"",""ja"")"),"-")</f>
        <v>-</v>
      </c>
      <c r="H4" s="396" t="s">
        <v>6491</v>
      </c>
      <c r="I4" s="174" t="s">
        <v>6492</v>
      </c>
      <c r="J4" s="317" t="s">
        <v>6493</v>
      </c>
      <c r="K4" s="316" t="str">
        <f>IFERROR(__xludf.DUMMYFUNCTION("GOOGLETRANSLATE(C4,""zh-tw"",""en"")"),"-")</f>
        <v>-</v>
      </c>
      <c r="L4" s="396" t="s">
        <v>6494</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algún deseo sexual.")</f>
        <v>Mi hermano tiene algún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6495</v>
      </c>
      <c r="AH4" s="164" t="s">
        <v>6496</v>
      </c>
      <c r="AI4" s="320" t="s">
        <v>722</v>
      </c>
      <c r="AJ4" s="398" t="s">
        <v>6497</v>
      </c>
      <c r="AK4" s="396"/>
      <c r="AL4" s="396"/>
      <c r="AM4" s="396"/>
    </row>
    <row r="5" ht="26.25" customHeight="1">
      <c r="A5" s="174" t="s">
        <v>6487</v>
      </c>
      <c r="B5" s="317" t="s">
        <v>6498</v>
      </c>
      <c r="C5" s="319" t="s">
        <v>722</v>
      </c>
      <c r="D5" s="396" t="s">
        <v>6499</v>
      </c>
      <c r="E5" s="174" t="s">
        <v>6490</v>
      </c>
      <c r="F5" s="315" t="str">
        <f>IFERROR(__xludf.DUMMYFUNCTION("GOOGLETRANSLATE(B5,""zh-tw"",""ja"")"),"体全体が何らかの刺激を求めている。")</f>
        <v>体全体が何らかの刺激を求めている。</v>
      </c>
      <c r="G5" s="319" t="s">
        <v>722</v>
      </c>
      <c r="H5" s="396" t="s">
        <v>6500</v>
      </c>
      <c r="I5" s="174" t="s">
        <v>6492</v>
      </c>
      <c r="J5" s="317" t="s">
        <v>6501</v>
      </c>
      <c r="K5" s="319" t="s">
        <v>722</v>
      </c>
      <c r="L5" s="396" t="s">
        <v>6502</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6495</v>
      </c>
      <c r="AH5" s="164" t="s">
        <v>6503</v>
      </c>
      <c r="AI5" s="320" t="s">
        <v>722</v>
      </c>
      <c r="AJ5" s="398" t="s">
        <v>6504</v>
      </c>
      <c r="AK5" s="396"/>
      <c r="AL5" s="396"/>
      <c r="AM5" s="396"/>
    </row>
    <row r="6" ht="26.25" customHeight="1">
      <c r="A6" s="174" t="s">
        <v>6487</v>
      </c>
      <c r="B6" s="317" t="s">
        <v>6505</v>
      </c>
      <c r="C6" s="319" t="s">
        <v>722</v>
      </c>
      <c r="D6" s="396" t="s">
        <v>6506</v>
      </c>
      <c r="E6" s="174" t="s">
        <v>6490</v>
      </c>
      <c r="F6" s="315" t="str">
        <f>IFERROR(__xludf.DUMMYFUNCTION("GOOGLETRANSLATE(B6,""zh-tw"",""ja"")"),"もう自分をコントロールできない。")</f>
        <v>もう自分をコントロールできない。</v>
      </c>
      <c r="G6" s="319" t="s">
        <v>722</v>
      </c>
      <c r="H6" s="396" t="s">
        <v>6507</v>
      </c>
      <c r="I6" s="174" t="s">
        <v>6492</v>
      </c>
      <c r="J6" s="317" t="s">
        <v>6508</v>
      </c>
      <c r="K6" s="319" t="s">
        <v>722</v>
      </c>
      <c r="L6" s="396" t="s">
        <v>6509</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 más.")</f>
        <v>Ya no puedo controlarme más.</v>
      </c>
      <c r="S6" s="318" t="str">
        <f>IFERROR(__xludf.DUMMYFUNCTION("GOOGLETRANSLATE(C6,""zh-tw"",""es-MX"")"),"-")</f>
        <v>-</v>
      </c>
      <c r="T6" s="175" t="str">
        <f>IFERROR(__xludf.DUMMYFUNCTION("GOOGLETRANSLATE(D6,""zh-tw"",""es-MX"")"),"El hermano mayor tiene un mayor deseo sexual.")</f>
        <v>El hermano mayor tiene un mayor deseo sexual.</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6495</v>
      </c>
      <c r="AH6" s="164" t="s">
        <v>6510</v>
      </c>
      <c r="AI6" s="320" t="s">
        <v>722</v>
      </c>
      <c r="AJ6" s="398" t="s">
        <v>6511</v>
      </c>
      <c r="AK6" s="396"/>
      <c r="AL6" s="396"/>
      <c r="AM6" s="396"/>
    </row>
    <row r="7">
      <c r="A7" s="174" t="s">
        <v>6512</v>
      </c>
      <c r="B7" s="317" t="s">
        <v>6513</v>
      </c>
      <c r="C7" s="319" t="s">
        <v>6514</v>
      </c>
      <c r="D7" s="396" t="s">
        <v>6515</v>
      </c>
      <c r="E7" s="174" t="s">
        <v>6516</v>
      </c>
      <c r="F7" s="315" t="str">
        <f>IFERROR(__xludf.DUMMYFUNCTION("GOOGLETRANSLATE(B7,""zh-tw"",""ja"")"),"うーん…")</f>
        <v>うーん…</v>
      </c>
      <c r="G7" s="319" t="s">
        <v>6517</v>
      </c>
      <c r="H7" s="396" t="s">
        <v>6518</v>
      </c>
      <c r="I7" s="174" t="s">
        <v>6519</v>
      </c>
      <c r="J7" s="317" t="s">
        <v>6520</v>
      </c>
      <c r="K7" s="319" t="s">
        <v>6521</v>
      </c>
      <c r="L7" s="396" t="s">
        <v>6522</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IFERROR(__xludf.DUMMYFUNCTION("GOOGLETRANSLATE(C7,""zh-tw"",""es-MX"")"),"¡Se ha transformado en una Bestia cuya mente está llena de deseo!")</f>
        <v>¡Se ha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6519</v>
      </c>
      <c r="AH7" s="164" t="s">
        <v>6520</v>
      </c>
      <c r="AI7" s="320" t="s">
        <v>6523</v>
      </c>
      <c r="AJ7" s="398" t="s">
        <v>6524</v>
      </c>
      <c r="AK7" s="396"/>
      <c r="AL7" s="396"/>
      <c r="AM7" s="396"/>
    </row>
    <row r="8">
      <c r="A8" s="174" t="s">
        <v>6525</v>
      </c>
      <c r="B8" s="317" t="s">
        <v>6526</v>
      </c>
      <c r="C8" s="319" t="s">
        <v>6527</v>
      </c>
      <c r="D8" s="396" t="s">
        <v>6528</v>
      </c>
      <c r="E8" s="174" t="s">
        <v>6529</v>
      </c>
      <c r="F8" s="317" t="s">
        <v>6530</v>
      </c>
      <c r="G8" s="316" t="str">
        <f>IFERROR(__xludf.DUMMYFUNCTION("GOOGLETRANSLATE(C8,""zh-tw"",""ja"")"),"賢者モードに入ると、すべての属性が上昇します。")</f>
        <v>賢者モードに入ると、すべての属性が上昇します。</v>
      </c>
      <c r="H8" s="396" t="s">
        <v>6531</v>
      </c>
      <c r="I8" s="174" t="s">
        <v>6532</v>
      </c>
      <c r="J8" s="317" t="s">
        <v>6533</v>
      </c>
      <c r="K8" s="319" t="s">
        <v>6534</v>
      </c>
      <c r="L8" s="396" t="s">
        <v>6535</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puedo hacer cualquier cosa ahora mismo.")</f>
        <v>Siento que puedo hacer cualquier cosa ahora mismo.</v>
      </c>
      <c r="S8" s="318" t="str">
        <f>IFERROR(__xludf.DUMMYFUNCTION("GOOGLETRANSLATE(C8,""zh-tw"",""es-MX"")"),"Al ingresar al modo sabio, todos los atributos aumentan.")</f>
        <v>Al ingresar al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6536</v>
      </c>
      <c r="AH8" s="164" t="s">
        <v>6537</v>
      </c>
      <c r="AI8" s="320" t="s">
        <v>6538</v>
      </c>
      <c r="AJ8" s="398" t="s">
        <v>6539</v>
      </c>
      <c r="AK8" s="396"/>
      <c r="AL8" s="396"/>
      <c r="AM8" s="396"/>
    </row>
    <row r="9">
      <c r="A9" s="174" t="s">
        <v>6540</v>
      </c>
      <c r="B9" s="317" t="s">
        <v>722</v>
      </c>
      <c r="C9" s="319" t="s">
        <v>6541</v>
      </c>
      <c r="D9" s="396" t="s">
        <v>6542</v>
      </c>
      <c r="E9" s="314" t="str">
        <f>IFERROR(__xludf.DUMMYFUNCTION("GOOGLETRANSLATE(A9,""zh-tw"",""ja"")"),"集中")</f>
        <v>集中</v>
      </c>
      <c r="F9" s="315" t="str">
        <f>IFERROR(__xludf.DUMMYFUNCTION("GOOGLETRANSLATE(B9,""zh-tw"",""ja"")"),"-")</f>
        <v>-</v>
      </c>
      <c r="G9" s="319" t="s">
        <v>6543</v>
      </c>
      <c r="H9" s="396" t="s">
        <v>6544</v>
      </c>
      <c r="I9" s="174" t="s">
        <v>6545</v>
      </c>
      <c r="J9" s="315" t="str">
        <f>IFERROR(__xludf.DUMMYFUNCTION("GOOGLETRANSLATE(B9,""zh-tw"",""en"")"),"-")</f>
        <v>-</v>
      </c>
      <c r="K9" s="319" t="s">
        <v>6546</v>
      </c>
      <c r="L9" s="396" t="s">
        <v>6547</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 cuerpo a cuerpo")</f>
        <v>Botón derecho del ratón para arma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6548</v>
      </c>
      <c r="AH9" s="164" t="s">
        <v>722</v>
      </c>
      <c r="AI9" s="320" t="s">
        <v>6549</v>
      </c>
      <c r="AJ9" s="398" t="s">
        <v>6550</v>
      </c>
      <c r="AK9" s="396"/>
      <c r="AL9" s="396"/>
      <c r="AM9" s="396"/>
    </row>
    <row r="10">
      <c r="A10" s="174" t="s">
        <v>6551</v>
      </c>
      <c r="B10" s="317" t="s">
        <v>6552</v>
      </c>
      <c r="C10" s="319" t="s">
        <v>722</v>
      </c>
      <c r="D10" s="396" t="s">
        <v>6553</v>
      </c>
      <c r="E10" s="174" t="s">
        <v>6554</v>
      </c>
      <c r="F10" s="317" t="s">
        <v>6555</v>
      </c>
      <c r="G10" s="316" t="str">
        <f>IFERROR(__xludf.DUMMYFUNCTION("GOOGLETRANSLATE(C10,""zh-tw"",""ja"")"),"-")</f>
        <v>-</v>
      </c>
      <c r="H10" s="396" t="s">
        <v>6556</v>
      </c>
      <c r="I10" s="174" t="s">
        <v>6557</v>
      </c>
      <c r="J10" s="317" t="s">
        <v>6558</v>
      </c>
      <c r="K10" s="316" t="str">
        <f>IFERROR(__xludf.DUMMYFUNCTION("GOOGLETRANSLATE(C10,""zh-tw"",""en"")"),"-")</f>
        <v>-</v>
      </c>
      <c r="L10" s="396" t="s">
        <v>6559</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rápido")</f>
        <v>Paso rápido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6557</v>
      </c>
      <c r="AH10" s="164" t="s">
        <v>6560</v>
      </c>
      <c r="AI10" s="320" t="s">
        <v>722</v>
      </c>
      <c r="AJ10" s="398" t="s">
        <v>6561</v>
      </c>
      <c r="AK10" s="396"/>
      <c r="AL10" s="396"/>
      <c r="AM10" s="396"/>
    </row>
    <row r="11">
      <c r="A11" s="174" t="s">
        <v>6562</v>
      </c>
      <c r="B11" s="317" t="s">
        <v>722</v>
      </c>
      <c r="C11" s="319" t="s">
        <v>6563</v>
      </c>
      <c r="D11" s="396" t="s">
        <v>6564</v>
      </c>
      <c r="E11" s="174" t="s">
        <v>6565</v>
      </c>
      <c r="F11" s="315" t="str">
        <f>IFERROR(__xludf.DUMMYFUNCTION("GOOGLETRANSLATE(B11,""zh-tw"",""ja"")"),"-")</f>
        <v>-</v>
      </c>
      <c r="G11" s="319" t="s">
        <v>6566</v>
      </c>
      <c r="H11" s="396" t="s">
        <v>6567</v>
      </c>
      <c r="I11" s="174" t="s">
        <v>6568</v>
      </c>
      <c r="J11" s="315" t="str">
        <f>IFERROR(__xludf.DUMMYFUNCTION("GOOGLETRANSLATE(B11,""zh-tw"",""en"")"),"-")</f>
        <v>-</v>
      </c>
      <c r="K11" s="319" t="s">
        <v>6569</v>
      </c>
      <c r="L11" s="396" t="s">
        <v>6570</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de flash prohibido")</f>
        <v>Paso de flash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IFERROR(__xludf.DUMMYFUNCTION("GOOGLETRANSLATE(D11,""zh-tw"",""es-MX"")"),"Tiempo de reutilización de Paso relámpago")</f>
        <v>Tiempo de reutilización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6571</v>
      </c>
      <c r="AH11" s="164" t="s">
        <v>722</v>
      </c>
      <c r="AI11" s="320" t="s">
        <v>6572</v>
      </c>
      <c r="AJ11" s="398" t="s">
        <v>6573</v>
      </c>
      <c r="AK11" s="396"/>
      <c r="AL11" s="396"/>
      <c r="AM11" s="396"/>
    </row>
    <row r="12">
      <c r="A12" s="174" t="s">
        <v>6574</v>
      </c>
      <c r="B12" s="317" t="s">
        <v>722</v>
      </c>
      <c r="C12" s="319" t="s">
        <v>6575</v>
      </c>
      <c r="D12" s="396" t="s">
        <v>6576</v>
      </c>
      <c r="E12" s="174" t="s">
        <v>6577</v>
      </c>
      <c r="F12" s="315" t="str">
        <f>IFERROR(__xludf.DUMMYFUNCTION("GOOGLETRANSLATE(B12,""zh-tw"",""ja"")"),"-")</f>
        <v>-</v>
      </c>
      <c r="G12" s="319" t="s">
        <v>6578</v>
      </c>
      <c r="H12" s="396" t="s">
        <v>6579</v>
      </c>
      <c r="I12" s="174" t="s">
        <v>6580</v>
      </c>
      <c r="J12" s="315" t="str">
        <f>IFERROR(__xludf.DUMMYFUNCTION("GOOGLETRANSLATE(B12,""zh-tw"",""en"")"),"-")</f>
        <v>-</v>
      </c>
      <c r="K12" s="319" t="s">
        <v>6581</v>
      </c>
      <c r="L12" s="396" t="s">
        <v>6582</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IFERROR(__xludf.DUMMYFUNCTION("GOOGLETRANSLATE(C12,""zh-tw"",""es-MX"")"),"Estoy mareado de dar vueltas.")</f>
        <v>Estoy mareado de dar vueltas.</v>
      </c>
      <c r="T12" s="175" t="str">
        <f>IFERROR(__xludf.DUMMYFUNCTION("GOOGLETRANSLATE(D12,""zh-tw"",""es-MX"")"),"Después de hacer clic derecho en el arma cuerpo a cuerpo...")</f>
        <v>Después de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6583</v>
      </c>
      <c r="AH12" s="164" t="s">
        <v>722</v>
      </c>
      <c r="AI12" s="320" t="s">
        <v>6584</v>
      </c>
      <c r="AJ12" s="398" t="s">
        <v>6585</v>
      </c>
      <c r="AK12" s="396"/>
      <c r="AL12" s="396"/>
      <c r="AM12" s="396"/>
    </row>
    <row r="13">
      <c r="A13" s="174" t="s">
        <v>6586</v>
      </c>
      <c r="B13" s="317" t="s">
        <v>722</v>
      </c>
      <c r="C13" s="319" t="s">
        <v>6587</v>
      </c>
      <c r="D13" s="396" t="s">
        <v>6588</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6589</v>
      </c>
      <c r="J13" s="315" t="str">
        <f>IFERROR(__xludf.DUMMYFUNCTION("GOOGLETRANSLATE(B13,""zh-tw"",""en"")"),"-")</f>
        <v>-</v>
      </c>
      <c r="K13" s="319" t="s">
        <v>6590</v>
      </c>
      <c r="L13" s="396" t="s">
        <v>6591</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del bastón.")</f>
        <v>Haz clic derecho en el arma del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6592</v>
      </c>
      <c r="AH13" s="164" t="s">
        <v>722</v>
      </c>
      <c r="AI13" s="320" t="s">
        <v>6593</v>
      </c>
      <c r="AJ13" s="398" t="s">
        <v>6594</v>
      </c>
      <c r="AK13" s="396"/>
      <c r="AL13" s="396"/>
      <c r="AM13" s="396"/>
    </row>
    <row r="14">
      <c r="A14" s="174" t="s">
        <v>6595</v>
      </c>
      <c r="B14" s="317" t="s">
        <v>6596</v>
      </c>
      <c r="C14" s="319" t="s">
        <v>6597</v>
      </c>
      <c r="D14" s="396" t="s">
        <v>6598</v>
      </c>
      <c r="E14" s="174" t="s">
        <v>6595</v>
      </c>
      <c r="F14" s="317" t="s">
        <v>6599</v>
      </c>
      <c r="G14" s="319" t="s">
        <v>6600</v>
      </c>
      <c r="H14" s="396" t="s">
        <v>6601</v>
      </c>
      <c r="I14" s="174" t="s">
        <v>6602</v>
      </c>
      <c r="J14" s="317" t="s">
        <v>6603</v>
      </c>
      <c r="K14" s="319" t="s">
        <v>6604</v>
      </c>
      <c r="L14" s="396" t="s">
        <v>6605</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con toxinas")</f>
        <v>Infección con toxinas</v>
      </c>
      <c r="S14" s="318" t="str">
        <f>IFERROR(__xludf.DUMMYFUNCTION("GOOGLETRANSLATE(C14,""zh-tw"",""es-MX"")"),"Más daños con el tiempo")</f>
        <v>Más daños con el tiempo</v>
      </c>
      <c r="T14" s="175" t="str">
        <f>IFERROR(__xludf.DUMMYFUNCTION("GOOGLETRANSLATE(D14,""zh-tw"",""es-MX"")"),"Atacado por zombies")</f>
        <v>Atacado por zombies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6606</v>
      </c>
      <c r="AH14" s="164" t="s">
        <v>6607</v>
      </c>
      <c r="AI14" s="320" t="s">
        <v>6608</v>
      </c>
      <c r="AJ14" s="398" t="s">
        <v>6609</v>
      </c>
      <c r="AK14" s="396"/>
      <c r="AL14" s="396"/>
      <c r="AM14" s="396"/>
    </row>
    <row r="15">
      <c r="A15" s="174" t="s">
        <v>6610</v>
      </c>
      <c r="B15" s="317" t="s">
        <v>6611</v>
      </c>
      <c r="C15" s="319" t="s">
        <v>6612</v>
      </c>
      <c r="D15" s="396" t="s">
        <v>6613</v>
      </c>
      <c r="E15" s="314" t="str">
        <f>IFERROR(__xludf.DUMMYFUNCTION("GOOGLETRANSLATE(A15,""zh-tw"",""ja"")"),"出血")</f>
        <v>出血</v>
      </c>
      <c r="F15" s="317" t="s">
        <v>6614</v>
      </c>
      <c r="G15" s="316" t="str">
        <f>IFERROR(__xludf.DUMMYFUNCTION("GOOGLETRANSLATE(C15,""zh-tw"",""ja"")"),"受けるダメージは最大スタミナに基づいて決まります。")</f>
        <v>受けるダメージは最大スタミナに基づいて決まります。</v>
      </c>
      <c r="H15" s="396" t="s">
        <v>6615</v>
      </c>
      <c r="I15" s="314" t="str">
        <f>IFERROR(__xludf.DUMMYFUNCTION("GOOGLETRANSLATE(A15,""zh-tw"",""en"")"),"Bleeding")</f>
        <v>Bleeding</v>
      </c>
      <c r="J15" s="317" t="s">
        <v>6616</v>
      </c>
      <c r="K15" s="319" t="s">
        <v>6617</v>
      </c>
      <c r="L15" s="396" t="s">
        <v>6618</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IFERROR(__xludf.DUMMYFUNCTION("GOOGLETRANSLATE(B15,""zh-tw"",""es-MX"")"),"El sangrado no se detenía.")</f>
        <v>El sangrado no se detenía.</v>
      </c>
      <c r="S15" s="318" t="str">
        <f>IFERROR(__xludf.DUMMYFUNCTION("GOOGLETRANSLATE(C15,""zh-tw"",""es-MX"")"),"Daño recibido según la resistencia máxima.")</f>
        <v>Daño recibido según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6619</v>
      </c>
      <c r="AH15" s="164" t="s">
        <v>6620</v>
      </c>
      <c r="AI15" s="320" t="s">
        <v>6621</v>
      </c>
      <c r="AJ15" s="398" t="s">
        <v>6622</v>
      </c>
      <c r="AK15" s="396"/>
      <c r="AL15" s="396"/>
      <c r="AM15" s="396"/>
    </row>
    <row r="16">
      <c r="A16" s="174" t="s">
        <v>6623</v>
      </c>
      <c r="B16" s="317" t="s">
        <v>6624</v>
      </c>
      <c r="C16" s="319" t="s">
        <v>6625</v>
      </c>
      <c r="D16" s="396" t="s">
        <v>6626</v>
      </c>
      <c r="E16" s="174" t="s">
        <v>6627</v>
      </c>
      <c r="F16" s="315" t="str">
        <f>IFERROR(__xludf.DUMMYFUNCTION("GOOGLETRANSLATE(B16,""zh-tw"",""ja"")"),"見て、この男は雷に打たれたんだ！")</f>
        <v>見て、この男は雷に打たれたんだ！</v>
      </c>
      <c r="G16" s="319" t="s">
        <v>6628</v>
      </c>
      <c r="H16" s="396" t="s">
        <v>6629</v>
      </c>
      <c r="I16" s="174" t="s">
        <v>6630</v>
      </c>
      <c r="J16" s="317" t="s">
        <v>6631</v>
      </c>
      <c r="K16" s="319" t="s">
        <v>6632</v>
      </c>
      <c r="L16" s="396" t="s">
        <v>6633</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pierden electricidad; limo Bilibili")</f>
        <v>Productos defectuosos que pierden electricidad; limo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6634</v>
      </c>
      <c r="AH16" s="164" t="s">
        <v>6635</v>
      </c>
      <c r="AI16" s="320" t="s">
        <v>6636</v>
      </c>
      <c r="AJ16" s="398" t="s">
        <v>6637</v>
      </c>
      <c r="AK16" s="396"/>
      <c r="AL16" s="396"/>
      <c r="AM16" s="396"/>
    </row>
    <row r="17">
      <c r="A17" s="174" t="s">
        <v>6638</v>
      </c>
      <c r="B17" s="317" t="s">
        <v>6639</v>
      </c>
      <c r="C17" s="319" t="s">
        <v>6640</v>
      </c>
      <c r="D17" s="396" t="s">
        <v>6641</v>
      </c>
      <c r="E17" s="174" t="s">
        <v>6638</v>
      </c>
      <c r="F17" s="315" t="str">
        <f>IFERROR(__xludf.DUMMYFUNCTION("GOOGLETRANSLATE(B17,""zh-tw"",""ja"")"),"暑い！暑い！暑い！暑い！")</f>
        <v>暑い！暑い！暑い！暑い！</v>
      </c>
      <c r="G17" s="319" t="s">
        <v>6642</v>
      </c>
      <c r="H17" s="396" t="s">
        <v>6643</v>
      </c>
      <c r="I17" s="174" t="s">
        <v>6644</v>
      </c>
      <c r="J17" s="317" t="s">
        <v>6645</v>
      </c>
      <c r="K17" s="319" t="s">
        <v>6646</v>
      </c>
      <c r="L17" s="396" t="s">
        <v>6647</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IFERROR(__xludf.DUMMYFUNCTION("GOOGLETRANSLATE(C17,""zh-tw"",""es-MX"")"),"Quema continua de todas las unidades dentro de su alcance.")</f>
        <v>Quema continua de todas las unidades dentro de su alcance.</v>
      </c>
      <c r="T17" s="175" t="str">
        <f>IFERROR(__xludf.DUMMYFUNCTION("GOOGLETRANSLATE(D17,""zh-tw"",""es-MX"")"),"Atacado por el fuego")</f>
        <v>Atacado por el fuego</v>
      </c>
      <c r="U17" s="149" t="str">
        <f>IFERROR(__xludf.DUMMYFUNCTION("GOOGLETRANSLATE(A17,""zh-tw"",""KO"")"),"얀 샹")</f>
        <v>얀 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6648</v>
      </c>
      <c r="AH17" s="164" t="s">
        <v>6649</v>
      </c>
      <c r="AI17" s="320" t="s">
        <v>6650</v>
      </c>
      <c r="AJ17" s="398" t="s">
        <v>6651</v>
      </c>
      <c r="AK17" s="396"/>
      <c r="AL17" s="396"/>
      <c r="AM17" s="396"/>
    </row>
    <row r="18">
      <c r="A18" s="174" t="s">
        <v>6652</v>
      </c>
      <c r="B18" s="317" t="s">
        <v>6653</v>
      </c>
      <c r="C18" s="319" t="s">
        <v>6654</v>
      </c>
      <c r="D18" s="396" t="s">
        <v>3896</v>
      </c>
      <c r="E18" s="174" t="s">
        <v>6655</v>
      </c>
      <c r="F18" s="315" t="str">
        <f>IFERROR(__xludf.DUMMYFUNCTION("GOOGLETRANSLATE(B18,""zh-tw"",""ja"")"),"アイスキャンディーにしちゃおう！")</f>
        <v>アイスキャンディーにしちゃおう！</v>
      </c>
      <c r="G18" s="319" t="s">
        <v>6656</v>
      </c>
      <c r="H18" s="396" t="s">
        <v>6657</v>
      </c>
      <c r="I18" s="174" t="s">
        <v>6658</v>
      </c>
      <c r="J18" s="317" t="s">
        <v>6659</v>
      </c>
      <c r="K18" s="319" t="s">
        <v>6660</v>
      </c>
      <c r="L18" s="396" t="s">
        <v>3900</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IFERROR(__xludf.DUMMYFUNCTION("GOOGLETRANSLATE(B18,""zh-tw"",""es-MX"")"),"¡Deja que se convierta en una paleta helada!")</f>
        <v>¡Deja que se convierta en una paleta helada!</v>
      </c>
      <c r="S18" s="318" t="str">
        <f>IFERROR(__xludf.DUMMYFUNCTION("GOOGLETRANSLATE(C18,""zh-tw"",""es-MX"")"),"¡Está completamente congelado!")</f>
        <v>¡Está completamente congelado!</v>
      </c>
      <c r="T18" s="175" t="str">
        <f>IFERROR(__xludf.DUMMYFUNCTION("GOOGLETRANSLATE(D18,""zh-tw"",""es-MX"")"),"Slime congelado")</f>
        <v>Slime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IFERROR(__xludf.DUMMYFUNCTION("GOOGLETRANSLATE(B18,""zh-tw"",""RU"")"),"Пусть он превратится в фруктовый лед!")</f>
        <v>Пусть он превратится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IFERROR(__xludf.DUMMYFUNCTION("GOOGLETRANSLATE(B18,""zh-tw"",""DE"")"),"Lass es zu einem Eis am Stiel werden!")</f>
        <v>Lass es zu einem Eis am Stiel werden!</v>
      </c>
      <c r="AE18" s="316" t="str">
        <f>IFERROR(__xludf.DUMMYFUNCTION("GOOGLETRANSLATE(C18,""zh-tw"",""DE"")"),"Es ist komplett durchgefroren!")</f>
        <v>Es ist komplett durchgefroren!</v>
      </c>
      <c r="AF18" s="397" t="str">
        <f>IFERROR(__xludf.DUMMYFUNCTION("GOOGLETRANSLATE(D18,""zh-tw"",""DE"")"),"Gefrorener Schleim")</f>
        <v>Gefrorener Schleim</v>
      </c>
      <c r="AG18" s="154" t="s">
        <v>6661</v>
      </c>
      <c r="AH18" s="164" t="s">
        <v>6662</v>
      </c>
      <c r="AI18" s="320" t="s">
        <v>6663</v>
      </c>
      <c r="AJ18" s="398" t="s">
        <v>3906</v>
      </c>
      <c r="AK18" s="396"/>
      <c r="AL18" s="396"/>
      <c r="AM18" s="396"/>
    </row>
    <row r="19">
      <c r="A19" s="174" t="s">
        <v>6664</v>
      </c>
      <c r="B19" s="317" t="s">
        <v>6665</v>
      </c>
      <c r="C19" s="319" t="s">
        <v>6666</v>
      </c>
      <c r="D19" s="396" t="s">
        <v>6667</v>
      </c>
      <c r="E19" s="174" t="s">
        <v>6668</v>
      </c>
      <c r="F19" s="315" t="str">
        <f>IFERROR(__xludf.DUMMYFUNCTION("GOOGLETRANSLATE(B19,""zh-tw"",""ja"")"),"ふふ、私に反抗するとこうなるのね～♡")</f>
        <v>ふふ、私に反抗するとこうなるのね～♡</v>
      </c>
      <c r="G19" s="319" t="s">
        <v>6669</v>
      </c>
      <c r="H19" s="397" t="str">
        <f>IFERROR(__xludf.DUMMYFUNCTION("GOOGLETRANSLATE(D19,""zh-tw"",""ja"")"),"ミステリーショップでは魚はもらえません。")</f>
        <v>ミステリーショップでは魚はもらえません。</v>
      </c>
      <c r="I19" s="174" t="s">
        <v>6670</v>
      </c>
      <c r="J19" s="317" t="s">
        <v>6671</v>
      </c>
      <c r="K19" s="319" t="s">
        <v>6672</v>
      </c>
      <c r="L19" s="396" t="s">
        <v>6673</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del demonio")</f>
        <v>Maldición del demonio</v>
      </c>
      <c r="R19" s="162" t="str">
        <f>IFERROR(__xludf.DUMMYFUNCTION("GOOGLETRANSLATE(B19,""zh-tw"",""es-MX"")"),"Fufu, esto es lo que pasa cuando te rebelas contra mí~♡")</f>
        <v>Fufu, esto es lo que pasa cuando te rebelas contra mí~♡</v>
      </c>
      <c r="S19" s="318" t="str">
        <f>IFERROR(__xludf.DUMMYFUNCTION("GOOGLETRANSLATE(C19,""zh-tw"",""es-MX"")"),"Maldecido por el extraño y diablillo tendero")</f>
        <v>Maldecido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6674</v>
      </c>
      <c r="AH19" s="164" t="s">
        <v>6675</v>
      </c>
      <c r="AI19" s="320" t="s">
        <v>6676</v>
      </c>
      <c r="AJ19" s="398" t="s">
        <v>6677</v>
      </c>
      <c r="AK19" s="396"/>
      <c r="AL19" s="396"/>
      <c r="AM19" s="396"/>
    </row>
    <row r="20">
      <c r="A20" s="174" t="s">
        <v>6678</v>
      </c>
      <c r="B20" s="317" t="s">
        <v>6679</v>
      </c>
      <c r="C20" s="319" t="s">
        <v>6680</v>
      </c>
      <c r="D20" s="396" t="s">
        <v>6681</v>
      </c>
      <c r="E20" s="174" t="s">
        <v>6682</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6683</v>
      </c>
      <c r="J20" s="317" t="s">
        <v>6684</v>
      </c>
      <c r="K20" s="319" t="s">
        <v>6685</v>
      </c>
      <c r="L20" s="396" t="s">
        <v>6686</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¡no puedes hacer nada malo aquí!♡")</f>
        <v>Este es mi territorio, ¡no puedes hacer nada malo aquí!♡</v>
      </c>
      <c r="S20" s="318" t="str">
        <f>IFERROR(__xludf.DUMMYFUNCTION("GOOGLETRANSLATE(C20,""zh-tw"",""es-MX"")"),"Conducta de ataque prohibida")</f>
        <v>Conducta de ataque prohibida</v>
      </c>
      <c r="T20" s="175" t="str">
        <f>IFERROR(__xludf.DUMMYFUNCTION("GOOGLETRANSLATE(D20,""zh-tw"",""es-MX"")"),"Cerca de la tienda misteriosa")</f>
        <v>Cerca de la tienda misteriosa</v>
      </c>
      <c r="U20" s="149" t="str">
        <f>IFERROR(__xludf.DUMMYFUNCTION("GOOGLETRANSLATE(A20,""zh-tw"",""KO"")"),"공격하지 마십시오")</f>
        <v>공격하지 마십시오</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6687</v>
      </c>
      <c r="AH20" s="164" t="s">
        <v>6688</v>
      </c>
      <c r="AI20" s="320" t="s">
        <v>6689</v>
      </c>
      <c r="AJ20" s="398" t="s">
        <v>6690</v>
      </c>
      <c r="AK20" s="396"/>
      <c r="AL20" s="396"/>
      <c r="AM20" s="396"/>
    </row>
    <row r="21">
      <c r="A21" s="174" t="s">
        <v>6691</v>
      </c>
      <c r="B21" s="317" t="s">
        <v>6692</v>
      </c>
      <c r="C21" s="319" t="s">
        <v>6693</v>
      </c>
      <c r="D21" s="396" t="s">
        <v>6694</v>
      </c>
      <c r="E21" s="174" t="s">
        <v>6695</v>
      </c>
      <c r="F21" s="317" t="s">
        <v>6696</v>
      </c>
      <c r="G21" s="319" t="s">
        <v>6697</v>
      </c>
      <c r="H21" s="397" t="str">
        <f>IFERROR(__xludf.DUMMYFUNCTION("GOOGLETRANSLATE(D21,""zh-tw"",""ja"")"),"妹にいたずらをすると怒る")</f>
        <v>妹にいたずらをすると怒る</v>
      </c>
      <c r="I21" s="174" t="s">
        <v>6698</v>
      </c>
      <c r="J21" s="317" t="s">
        <v>6699</v>
      </c>
      <c r="K21" s="319" t="s">
        <v>6700</v>
      </c>
      <c r="L21" s="396" t="s">
        <v>6701</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mi importante promesa a mi hermana.")</f>
        <v>Debo cumplir mi importante promesa a mi hermana.</v>
      </c>
      <c r="S21" s="318" t="str">
        <f>IFERROR(__xludf.DUMMYFUNCTION("GOOGLETRANSLATE(C21,""zh-tw"",""es-MX"")"),"No regrese a casa con heridas graves.")</f>
        <v>No regrese a casa con heridas graves.</v>
      </c>
      <c r="T21" s="175" t="str">
        <f>IFERROR(__xludf.DUMMYFUNCTION("GOOGLETRANSLATE(D21,""zh-tw"",""es-MX"")"),"Me enojo cuando le hago bromas a mi hermana menor.")</f>
        <v>Me enojo cuando le hago bromas a mi hermana menor.</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6702</v>
      </c>
      <c r="AH21" s="164" t="s">
        <v>6703</v>
      </c>
      <c r="AI21" s="320" t="s">
        <v>6702</v>
      </c>
      <c r="AJ21" s="398" t="s">
        <v>6704</v>
      </c>
      <c r="AK21" s="396"/>
      <c r="AL21" s="396"/>
      <c r="AM21" s="396"/>
    </row>
    <row r="22">
      <c r="A22" s="174" t="s">
        <v>6705</v>
      </c>
      <c r="B22" s="317" t="s">
        <v>6692</v>
      </c>
      <c r="C22" s="319" t="s">
        <v>6706</v>
      </c>
      <c r="D22" s="396" t="s">
        <v>6694</v>
      </c>
      <c r="E22" s="174" t="s">
        <v>6707</v>
      </c>
      <c r="F22" s="317" t="s">
        <v>6696</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6708</v>
      </c>
      <c r="J22" s="317" t="s">
        <v>6699</v>
      </c>
      <c r="K22" s="316" t="str">
        <f>IFERROR(__xludf.DUMMYFUNCTION("GOOGLETRANSLATE(C22,""zh-tw"",""en"")"),"Making meat dishes")</f>
        <v>Making meat dishes</v>
      </c>
      <c r="L22" s="396" t="s">
        <v>6701</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mi importante promesa a mi hermana.")</f>
        <v>Debo cumplir mi importante promesa a mi hermana.</v>
      </c>
      <c r="S22" s="318" t="str">
        <f>IFERROR(__xludf.DUMMYFUNCTION("GOOGLETRANSLATE(C22,""zh-tw"",""es-MX"")"),"Preparación de platos de carne")</f>
        <v>Preparación de platos de carne</v>
      </c>
      <c r="T22" s="175" t="str">
        <f>IFERROR(__xludf.DUMMYFUNCTION("GOOGLETRANSLATE(D22,""zh-tw"",""es-MX"")"),"Me enojo cuando le hago bromas a mi hermana menor.")</f>
        <v>Me enojo cuando le hago bromas a mi hermana menor.</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6709</v>
      </c>
      <c r="AH22" s="164" t="s">
        <v>6703</v>
      </c>
      <c r="AI22" s="320" t="s">
        <v>6710</v>
      </c>
      <c r="AJ22" s="398" t="s">
        <v>6704</v>
      </c>
      <c r="AK22" s="396"/>
      <c r="AL22" s="396"/>
      <c r="AM22" s="396"/>
    </row>
    <row r="23">
      <c r="A23" s="174" t="s">
        <v>6711</v>
      </c>
      <c r="B23" s="317" t="s">
        <v>6712</v>
      </c>
      <c r="C23" s="319" t="s">
        <v>6713</v>
      </c>
      <c r="D23" s="396" t="s">
        <v>244</v>
      </c>
      <c r="E23" s="174" t="s">
        <v>300</v>
      </c>
      <c r="F23" s="315" t="str">
        <f>IFERROR(__xludf.DUMMYFUNCTION("GOOGLETRANSLATE(B23,""zh-tw"",""ja"")"),"...")</f>
        <v>...</v>
      </c>
      <c r="G23" s="319" t="s">
        <v>6714</v>
      </c>
      <c r="H23" s="396" t="s">
        <v>247</v>
      </c>
      <c r="I23" s="174" t="s">
        <v>6715</v>
      </c>
      <c r="J23" s="315" t="str">
        <f>IFERROR(__xludf.DUMMYFUNCTION("GOOGLETRANSLATE(B23,""zh-tw"",""en"")"),"...")</f>
        <v>...</v>
      </c>
      <c r="K23" s="319" t="s">
        <v>6716</v>
      </c>
      <c r="L23" s="396" t="s">
        <v>249</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IFERROR(__xludf.DUMMYFUNCTION("GOOGLETRANSLATE(C23,""zh-tw"",""es-MX"")"),"Siento que he olvidado algo importante. Lo recordaré algún día, ¿verdad?")</f>
        <v>Siento que he olvidado algo importante. Lo recordaré algún día, ¿verdad?</v>
      </c>
      <c r="T23" s="175" t="str">
        <f>IFERROR(__xludf.DUMMYFUNCTION("GOOGLETRANSLATE(D23,""zh-tw"",""es-MX"")"),"Opciones de inicio")</f>
        <v>Opciones de inicio</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6717</v>
      </c>
      <c r="AH23" s="164" t="s">
        <v>6718</v>
      </c>
      <c r="AI23" s="320" t="s">
        <v>6719</v>
      </c>
      <c r="AJ23" s="398" t="s">
        <v>264</v>
      </c>
      <c r="AK23" s="396"/>
      <c r="AL23" s="396"/>
      <c r="AM23" s="396"/>
    </row>
    <row r="24">
      <c r="A24" s="174" t="s">
        <v>6720</v>
      </c>
      <c r="B24" s="317" t="s">
        <v>6721</v>
      </c>
      <c r="C24" s="319" t="s">
        <v>6722</v>
      </c>
      <c r="D24" s="396" t="s">
        <v>4493</v>
      </c>
      <c r="E24" s="174" t="s">
        <v>6723</v>
      </c>
      <c r="F24" s="317" t="s">
        <v>6724</v>
      </c>
      <c r="G24" s="316" t="str">
        <f>IFERROR(__xludf.DUMMYFUNCTION("GOOGLETRANSLATE(C24,""zh-tw"",""ja"")"),"彼の体は常に悪臭を放っていた")</f>
        <v>彼の体は常に悪臭を放っていた</v>
      </c>
      <c r="H24" s="396" t="s">
        <v>4495</v>
      </c>
      <c r="I24" s="174" t="s">
        <v>6725</v>
      </c>
      <c r="J24" s="317" t="s">
        <v>6726</v>
      </c>
      <c r="K24" s="319" t="s">
        <v>6727</v>
      </c>
      <c r="L24" s="396" t="s">
        <v>4496</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el cuerpo olía asqueroso.")</f>
        <v>Todo el cuerpo olía asqueroso.</v>
      </c>
      <c r="R24" s="162" t="str">
        <f>IFERROR(__xludf.DUMMYFUNCTION("GOOGLETRANSLATE(B24,""zh-tw"",""es-MX"")"),"Olía horrible.")</f>
        <v>Olía horrible.</v>
      </c>
      <c r="S24" s="318" t="str">
        <f>IFERROR(__xludf.DUMMYFUNCTION("GOOGLETRANSLATE(C24,""zh-tw"",""es-MX"")"),"Su cuerpo emitía constantemente un hedor nauseabundo.")</f>
        <v>Su cuerpo emitía constantemente un hedor nauseabundo.</v>
      </c>
      <c r="T24" s="175" t="str">
        <f>IFERROR(__xludf.DUMMYFUNCTION("GOOGLETRANSLATE(D24,""zh-tw"",""es-MX"")"),"Huesos de pescado apestosos")</f>
        <v>Huesos de pescado apestosos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6728</v>
      </c>
      <c r="AH24" s="164" t="s">
        <v>6729</v>
      </c>
      <c r="AI24" s="320" t="s">
        <v>6730</v>
      </c>
      <c r="AJ24" s="398" t="s">
        <v>4501</v>
      </c>
      <c r="AK24" s="396"/>
      <c r="AL24" s="396"/>
      <c r="AM24" s="396"/>
    </row>
    <row r="25">
      <c r="A25" s="174" t="s">
        <v>6731</v>
      </c>
      <c r="B25" s="317" t="s">
        <v>6732</v>
      </c>
      <c r="C25" s="319" t="s">
        <v>6733</v>
      </c>
      <c r="D25" s="396" t="s">
        <v>6734</v>
      </c>
      <c r="E25" s="314" t="str">
        <f>IFERROR(__xludf.DUMMYFUNCTION("GOOGLETRANSLATE(A25,""zh-tw"",""ja"")"),"美味しい")</f>
        <v>美味しい</v>
      </c>
      <c r="F25" s="315" t="str">
        <f>IFERROR(__xludf.DUMMYFUNCTION("GOOGLETRANSLATE(B25,""zh-tw"",""ja"")"),"美味しいものを食べてお腹も温まりました〜")</f>
        <v>美味しいものを食べてお腹も温まりました〜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6735</v>
      </c>
      <c r="J25" s="317" t="s">
        <v>6736</v>
      </c>
      <c r="K25" s="319" t="s">
        <v>6737</v>
      </c>
      <c r="L25" s="396" t="s">
        <v>6738</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calor en el estómago.")</f>
        <v>Comí algo delicioso y siento calor en el estómago.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IFERROR(__xludf.DUMMYFUNCTION("GOOGLETRANSLATE(B25,""zh-tw"",""KO"")"),"맛있는거 먹고 나니 배가 따뜻해졌어요~")</f>
        <v>맛있는거 먹고 나니 배가 따뜻해졌어요~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съела что-то вкусненькое, и у меня внутри тепло~")</f>
        <v>Я съела что-то вкусненькое, и у меня внутри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Bauch fühlt sich warm an.")</f>
        <v>Ich habe etwas Leckeres gegessen und mein Bauch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6739</v>
      </c>
      <c r="AH25" s="164" t="s">
        <v>6740</v>
      </c>
      <c r="AI25" s="320" t="s">
        <v>6741</v>
      </c>
      <c r="AJ25" s="398" t="s">
        <v>6742</v>
      </c>
      <c r="AK25" s="396"/>
      <c r="AL25" s="396"/>
      <c r="AM25" s="396"/>
    </row>
    <row r="26">
      <c r="A26" s="174" t="s">
        <v>6743</v>
      </c>
      <c r="B26" s="317" t="s">
        <v>6744</v>
      </c>
      <c r="C26" s="319" t="s">
        <v>6745</v>
      </c>
      <c r="D26" s="396" t="s">
        <v>6746</v>
      </c>
      <c r="E26" s="174" t="s">
        <v>6747</v>
      </c>
      <c r="F26" s="317" t="s">
        <v>6748</v>
      </c>
      <c r="G26" s="316" t="str">
        <f>IFERROR(__xludf.DUMMYFUNCTION("GOOGLETRANSLATE(C26,""zh-tw"",""ja"")"),"攻撃力+50%")</f>
        <v>攻撃力+50%</v>
      </c>
      <c r="H26" s="397" t="str">
        <f>IFERROR(__xludf.DUMMYFUNCTION("GOOGLETRANSLATE(D26,""zh-tw"",""ja"")"),"食べ物")</f>
        <v>食べ物</v>
      </c>
      <c r="I26" s="174" t="s">
        <v>6749</v>
      </c>
      <c r="J26" s="317" t="s">
        <v>6750</v>
      </c>
      <c r="K26" s="319" t="s">
        <v>6751</v>
      </c>
      <c r="L26" s="396" t="s">
        <v>6752</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IFERROR(__xludf.DUMMYFUNCTION("GOOGLETRANSLATE(B26,""zh-tw"",""es-MX"")"),"El poder... ¡aumentó!")</f>
        <v>El poder... ¡aumentó!</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6753</v>
      </c>
      <c r="AH26" s="164" t="s">
        <v>6754</v>
      </c>
      <c r="AI26" s="320" t="s">
        <v>6755</v>
      </c>
      <c r="AJ26" s="398" t="s">
        <v>6756</v>
      </c>
      <c r="AK26" s="396"/>
      <c r="AL26" s="396"/>
      <c r="AM26" s="396"/>
    </row>
    <row r="27">
      <c r="A27" s="174" t="s">
        <v>6757</v>
      </c>
      <c r="B27" s="317" t="s">
        <v>6758</v>
      </c>
      <c r="C27" s="319" t="s">
        <v>6759</v>
      </c>
      <c r="D27" s="396" t="s">
        <v>6746</v>
      </c>
      <c r="E27" s="174" t="s">
        <v>6760</v>
      </c>
      <c r="F27" s="317" t="s">
        <v>6761</v>
      </c>
      <c r="G27" s="316" t="str">
        <f>IFERROR(__xludf.DUMMYFUNCTION("GOOGLETRANSLATE(C27,""zh-tw"",""ja"")"),"魔法力+50%")</f>
        <v>魔法力+50%</v>
      </c>
      <c r="H27" s="397" t="str">
        <f>IFERROR(__xludf.DUMMYFUNCTION("GOOGLETRANSLATE(D27,""zh-tw"",""ja"")"),"食べ物")</f>
        <v>食べ物</v>
      </c>
      <c r="I27" s="174" t="s">
        <v>6762</v>
      </c>
      <c r="J27" s="317" t="s">
        <v>6763</v>
      </c>
      <c r="K27" s="319" t="s">
        <v>6764</v>
      </c>
      <c r="L27" s="396" t="s">
        <v>6752</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6765</v>
      </c>
      <c r="AH27" s="164" t="s">
        <v>6766</v>
      </c>
      <c r="AI27" s="320" t="s">
        <v>6767</v>
      </c>
      <c r="AJ27" s="398" t="s">
        <v>6756</v>
      </c>
      <c r="AK27" s="396"/>
      <c r="AL27" s="396"/>
      <c r="AM27" s="396"/>
    </row>
    <row r="28">
      <c r="A28" s="174" t="s">
        <v>6768</v>
      </c>
      <c r="B28" s="317" t="s">
        <v>6769</v>
      </c>
      <c r="C28" s="319" t="s">
        <v>6770</v>
      </c>
      <c r="D28" s="396" t="s">
        <v>6746</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6771</v>
      </c>
      <c r="J28" s="317" t="s">
        <v>6772</v>
      </c>
      <c r="K28" s="319" t="s">
        <v>6773</v>
      </c>
      <c r="L28" s="396" t="s">
        <v>6752</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IFERROR(__xludf.DUMMYFUNCTION("GOOGLETRANSLATE(B28,""zh-tw"",""es-MX"")"),"¿Puedo seguir el ritmo...? ¡Mi velocidad!")</f>
        <v>¿Puedo seguir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6774</v>
      </c>
      <c r="AH28" s="164" t="s">
        <v>6775</v>
      </c>
      <c r="AI28" s="320" t="s">
        <v>6776</v>
      </c>
      <c r="AJ28" s="398" t="s">
        <v>6756</v>
      </c>
      <c r="AK28" s="396"/>
      <c r="AL28" s="396"/>
      <c r="AM28" s="396"/>
    </row>
    <row r="29">
      <c r="A29" s="174" t="s">
        <v>6777</v>
      </c>
      <c r="B29" s="317" t="s">
        <v>6778</v>
      </c>
      <c r="C29" s="319" t="s">
        <v>6779</v>
      </c>
      <c r="D29" s="396" t="s">
        <v>6780</v>
      </c>
      <c r="E29" s="314" t="str">
        <f>IFERROR(__xludf.DUMMYFUNCTION("GOOGLETRANSLATE(A29,""zh-tw"",""ja"")"),"巨神兵")</f>
        <v>巨神兵</v>
      </c>
      <c r="F29" s="317" t="s">
        <v>6781</v>
      </c>
      <c r="G29" s="319" t="s">
        <v>6782</v>
      </c>
      <c r="H29" s="397" t="str">
        <f>IFERROR(__xludf.DUMMYFUNCTION("GOOGLETRANSLATE(D29,""zh-tw"",""ja"")"),"タロットカード")</f>
        <v>タロットカード</v>
      </c>
      <c r="I29" s="174" t="s">
        <v>6783</v>
      </c>
      <c r="J29" s="317" t="s">
        <v>6784</v>
      </c>
      <c r="K29" s="319" t="s">
        <v>6785</v>
      </c>
      <c r="L29" s="396" t="s">
        <v>6786</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daño.")</f>
        <v>Durante la duración del efecto, el arma crece, aumentando su alcance de ataque y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4" t="s">
        <v>6787</v>
      </c>
      <c r="AH29" s="164" t="s">
        <v>6788</v>
      </c>
      <c r="AI29" s="320" t="s">
        <v>6789</v>
      </c>
      <c r="AJ29" s="398" t="s">
        <v>6790</v>
      </c>
      <c r="AK29" s="396"/>
      <c r="AL29" s="396"/>
      <c r="AM29" s="396"/>
    </row>
    <row r="30">
      <c r="A30" s="174" t="s">
        <v>6791</v>
      </c>
      <c r="B30" s="317" t="s">
        <v>6792</v>
      </c>
      <c r="C30" s="319" t="s">
        <v>6793</v>
      </c>
      <c r="D30" s="396" t="s">
        <v>6780</v>
      </c>
      <c r="E30" s="174" t="s">
        <v>6794</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6795</v>
      </c>
      <c r="J30" s="317" t="s">
        <v>6796</v>
      </c>
      <c r="K30" s="316" t="str">
        <f>IFERROR(__xludf.DUMMYFUNCTION("GOOGLETRANSLATE(C30,""zh-tw"",""en"")"),"With the blessing of fate, it's easier to encounter happy things!")</f>
        <v>With the blessing of fate, it's easier to encounter happy things!</v>
      </c>
      <c r="L30" s="396" t="s">
        <v>6797</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IFERROR(__xludf.DUMMYFUNCTION("GOOGLETRANSLATE(A30,""zh-tw"",""es-MX"")"),"Rueda de la fortuna - Derecha")</f>
        <v>Rueda de la fortuna - Derecha</v>
      </c>
      <c r="R30" s="162" t="str">
        <f>IFERROR(__xludf.DUMMYFUNCTION("GOOGLETRANSLATE(B30,""zh-tw"",""es-MX"")"),"El flujo del destino...")</f>
        <v>El flujo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6798</v>
      </c>
      <c r="AH30" s="164" t="s">
        <v>6799</v>
      </c>
      <c r="AI30" s="320" t="s">
        <v>6800</v>
      </c>
      <c r="AJ30" s="398" t="s">
        <v>6801</v>
      </c>
      <c r="AK30" s="396"/>
      <c r="AL30" s="396"/>
      <c r="AM30" s="396"/>
    </row>
    <row r="31">
      <c r="A31" s="174" t="s">
        <v>6802</v>
      </c>
      <c r="B31" s="317" t="s">
        <v>6803</v>
      </c>
      <c r="C31" s="319" t="s">
        <v>6804</v>
      </c>
      <c r="D31" s="396" t="s">
        <v>6780</v>
      </c>
      <c r="E31" s="174" t="s">
        <v>6805</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6806</v>
      </c>
      <c r="J31" s="317" t="s">
        <v>6807</v>
      </c>
      <c r="K31" s="316" t="str">
        <f>IFERROR(__xludf.DUMMYFUNCTION("GOOGLETRANSLATE(C31,""zh-tw"",""en"")"),"Being blessed by fate makes it easier to encounter difficult things!")</f>
        <v>Being blessed by fate makes it easier to encounter difficult things!</v>
      </c>
      <c r="L31" s="396" t="s">
        <v>6797</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IFERROR(__xludf.DUMMYFUNCTION("GOOGLETRANSLATE(C31,""zh-tw"",""es-MX"")"),"¡Ser bendecido por el destino hace que sea más fácil enfrentar cosas difíciles!")</f>
        <v>¡Ser bendecido por el destino hace que sea más fácil enfrentar cosas difíciles!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6808</v>
      </c>
      <c r="AH31" s="164" t="s">
        <v>6809</v>
      </c>
      <c r="AI31" s="320" t="s">
        <v>6810</v>
      </c>
      <c r="AJ31" s="398" t="s">
        <v>6801</v>
      </c>
      <c r="AK31" s="396"/>
      <c r="AL31" s="396"/>
      <c r="AM31" s="396"/>
    </row>
    <row r="32">
      <c r="A32" s="174" t="s">
        <v>6811</v>
      </c>
      <c r="B32" s="317" t="s">
        <v>6812</v>
      </c>
      <c r="C32" s="319" t="s">
        <v>6813</v>
      </c>
      <c r="D32" s="396" t="s">
        <v>5682</v>
      </c>
      <c r="E32" s="174" t="s">
        <v>6814</v>
      </c>
      <c r="F32" s="317" t="s">
        <v>6815</v>
      </c>
      <c r="G32" s="319" t="s">
        <v>6816</v>
      </c>
      <c r="H32" s="396" t="s">
        <v>5684</v>
      </c>
      <c r="I32" s="174" t="s">
        <v>6817</v>
      </c>
      <c r="J32" s="317" t="s">
        <v>6818</v>
      </c>
      <c r="K32" s="319" t="s">
        <v>6819</v>
      </c>
      <c r="L32" s="396" t="s">
        <v>5686</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realmente sabía horrible...")</f>
        <v>Pero realmente sabía horrible...</v>
      </c>
      <c r="S32" s="318" t="str">
        <f>IFERROR(__xludf.DUMMYFUNCTION("GOOGLETRANSLATE(C32,""zh-tw"",""es-MX"")"),"Mi cuerpo está lleno de vitalidad y mi fuerza física ha aumentado.")</f>
        <v>Mi cuerpo está lleno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6820</v>
      </c>
      <c r="AH32" s="164" t="s">
        <v>6821</v>
      </c>
      <c r="AI32" s="320" t="s">
        <v>6822</v>
      </c>
      <c r="AJ32" s="398" t="s">
        <v>5691</v>
      </c>
      <c r="AK32" s="396"/>
      <c r="AL32" s="396"/>
      <c r="AM32" s="396"/>
    </row>
    <row r="33">
      <c r="A33" s="174" t="s">
        <v>6823</v>
      </c>
      <c r="B33" s="317" t="s">
        <v>6824</v>
      </c>
      <c r="C33" s="319" t="s">
        <v>6825</v>
      </c>
      <c r="D33" s="396" t="s">
        <v>6826</v>
      </c>
      <c r="E33" s="174" t="s">
        <v>6827</v>
      </c>
      <c r="F33" s="317" t="s">
        <v>6828</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6829</v>
      </c>
      <c r="I33" s="174" t="s">
        <v>6830</v>
      </c>
      <c r="J33" s="317" t="s">
        <v>6831</v>
      </c>
      <c r="K33" s="319" t="s">
        <v>6832</v>
      </c>
      <c r="L33" s="396" t="s">
        <v>6833</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IFERROR(__xludf.DUMMYFUNCTION("GOOGLETRANSLATE(A33,""zh-tw"",""es-MX"")"),"Sentirse impotente")</f>
        <v>Sentirse impotente</v>
      </c>
      <c r="R33" s="162" t="str">
        <f>IFERROR(__xludf.DUMMYFUNCTION("GOOGLETRANSLATE(B33,""zh-tw"",""es-MX"")"),"Ya no puedo levantarlo más")</f>
        <v>Ya no puedo levantarlo más</v>
      </c>
      <c r="S33" s="318"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Silver Sword para cumplir las condiciones.")</f>
        <v>Se requiere Silver Sword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6834</v>
      </c>
      <c r="AH33" s="164" t="s">
        <v>6835</v>
      </c>
      <c r="AI33" s="320" t="s">
        <v>6836</v>
      </c>
      <c r="AJ33" s="398" t="s">
        <v>6837</v>
      </c>
      <c r="AK33" s="396"/>
      <c r="AL33" s="396"/>
      <c r="AM33" s="396"/>
    </row>
    <row r="34">
      <c r="A34" s="174" t="s">
        <v>6838</v>
      </c>
      <c r="B34" s="317" t="s">
        <v>6839</v>
      </c>
      <c r="C34" s="319" t="s">
        <v>6840</v>
      </c>
      <c r="D34" s="396" t="s">
        <v>5065</v>
      </c>
      <c r="E34" s="174" t="s">
        <v>6841</v>
      </c>
      <c r="F34" s="315" t="str">
        <f>IFERROR(__xludf.DUMMYFUNCTION("GOOGLETRANSLATE(B34,""zh-tw"",""ja"")"),"祝福を享受できますように")</f>
        <v>祝福を享受できますように</v>
      </c>
      <c r="G34" s="319" t="s">
        <v>6842</v>
      </c>
      <c r="H34" s="396" t="s">
        <v>5067</v>
      </c>
      <c r="I34" s="174" t="s">
        <v>6843</v>
      </c>
      <c r="J34" s="317" t="s">
        <v>6844</v>
      </c>
      <c r="K34" s="319" t="s">
        <v>6845</v>
      </c>
      <c r="L34" s="396" t="s">
        <v>5068</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disfrutes de bendiciones")</f>
        <v>Que disfrutes de bendiciones</v>
      </c>
      <c r="S34" s="318" t="str">
        <f>IFERROR(__xludf.DUMMYFUNCTION("GOOGLETRANSLATE(C34,""zh-tw"",""es-MX"")"),"Al recibir la bendición del Santo Grial, su dinero se duplicará.")</f>
        <v>Al recibir la bendición del Santo Grial, su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6846</v>
      </c>
      <c r="AH34" s="164" t="s">
        <v>6847</v>
      </c>
      <c r="AI34" s="320" t="s">
        <v>6848</v>
      </c>
      <c r="AJ34" s="398" t="s">
        <v>6849</v>
      </c>
      <c r="AK34" s="396"/>
      <c r="AL34" s="396"/>
      <c r="AM34" s="396"/>
    </row>
    <row r="35">
      <c r="A35" s="174" t="s">
        <v>6850</v>
      </c>
      <c r="B35" s="317" t="s">
        <v>722</v>
      </c>
      <c r="C35" s="319" t="s">
        <v>722</v>
      </c>
      <c r="D35" s="396" t="s">
        <v>6851</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6852</v>
      </c>
      <c r="J35" s="315" t="str">
        <f>IFERROR(__xludf.DUMMYFUNCTION("GOOGLETRANSLATE(B35,""zh-tw"",""en"")"),"-")</f>
        <v>-</v>
      </c>
      <c r="K35" s="316" t="str">
        <f>IFERROR(__xludf.DUMMYFUNCTION("GOOGLETRANSLATE(C35,""zh-tw"",""en"")"),"-")</f>
        <v>-</v>
      </c>
      <c r="L35" s="396" t="s">
        <v>6853</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6854</v>
      </c>
      <c r="AH35" s="164" t="s">
        <v>722</v>
      </c>
      <c r="AI35" s="320" t="s">
        <v>722</v>
      </c>
      <c r="AJ35" s="398" t="s">
        <v>6855</v>
      </c>
      <c r="AK35" s="396"/>
      <c r="AL35" s="396"/>
      <c r="AM35" s="396"/>
    </row>
    <row r="36">
      <c r="A36" s="174" t="s">
        <v>6856</v>
      </c>
      <c r="B36" s="317" t="s">
        <v>6857</v>
      </c>
      <c r="C36" s="319" t="s">
        <v>6858</v>
      </c>
      <c r="D36" s="396" t="s">
        <v>4630</v>
      </c>
      <c r="E36" s="174" t="s">
        <v>4632</v>
      </c>
      <c r="F36" s="317" t="s">
        <v>6859</v>
      </c>
      <c r="G36" s="316" t="str">
        <f>IFERROR(__xludf.DUMMYFUNCTION("GOOGLETRANSLATE(C36,""zh-tw"",""ja"")"),"全属性が上昇し、一時的に無敵になる。")</f>
        <v>全属性が上昇し、一時的に無敵になる。</v>
      </c>
      <c r="H36" s="396" t="s">
        <v>4632</v>
      </c>
      <c r="I36" s="174" t="s">
        <v>4634</v>
      </c>
      <c r="J36" s="317" t="s">
        <v>6860</v>
      </c>
      <c r="K36" s="319" t="s">
        <v>6861</v>
      </c>
      <c r="L36" s="396" t="s">
        <v>4634</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aumentados, temporalmente invencible.")</f>
        <v>Todos los atributos aumentados, temporalmente invencible.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6862</v>
      </c>
      <c r="AH36" s="164" t="s">
        <v>6863</v>
      </c>
      <c r="AI36" s="320" t="s">
        <v>6864</v>
      </c>
      <c r="AJ36" s="398" t="s">
        <v>6862</v>
      </c>
      <c r="AK36" s="396"/>
      <c r="AL36" s="396"/>
      <c r="AM36" s="396"/>
    </row>
    <row r="37">
      <c r="A37" s="174" t="s">
        <v>2696</v>
      </c>
      <c r="B37" s="317" t="s">
        <v>6865</v>
      </c>
      <c r="C37" s="319" t="s">
        <v>6866</v>
      </c>
      <c r="D37" s="396" t="s">
        <v>6867</v>
      </c>
      <c r="E37" s="174" t="s">
        <v>2699</v>
      </c>
      <c r="F37" s="317" t="s">
        <v>6868</v>
      </c>
      <c r="G37" s="316" t="str">
        <f>IFERROR(__xludf.DUMMYFUNCTION("GOOGLETRANSLATE(C37,""zh-tw"",""ja"")"),"スタミナを回復できない")</f>
        <v>スタミナを回復できない</v>
      </c>
      <c r="H37" s="396" t="s">
        <v>4257</v>
      </c>
      <c r="I37" s="174" t="s">
        <v>4259</v>
      </c>
      <c r="J37" s="317" t="s">
        <v>6869</v>
      </c>
      <c r="K37" s="319" t="s">
        <v>6870</v>
      </c>
      <c r="L37" s="396" t="s">
        <v>4259</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del espantapájaros inmortal")</f>
        <v>El corazón del espantapájaros inmortal</v>
      </c>
      <c r="S37" s="318" t="str">
        <f>IFERROR(__xludf.DUMMYFUNCTION("GOOGLETRANSLATE(C37,""zh-tw"",""es-MX"")"),"No se puede restaurar la resistencia")</f>
        <v>No se puede restaurar la resistencia</v>
      </c>
      <c r="T37" s="175" t="str">
        <f>IFERROR(__xludf.DUMMYFUNCTION("GOOGLETRANSLATE(D37,""zh-tw"",""es-MX"")"),"Corazón de espantapájaros")</f>
        <v>Corazón de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4265</v>
      </c>
      <c r="AH37" s="186" t="s">
        <v>6871</v>
      </c>
      <c r="AI37" s="320" t="s">
        <v>6872</v>
      </c>
      <c r="AJ37" s="398" t="s">
        <v>4265</v>
      </c>
      <c r="AK37" s="396"/>
      <c r="AL37" s="396"/>
      <c r="AM37" s="396"/>
    </row>
    <row r="38">
      <c r="A38" s="174" t="s">
        <v>6873</v>
      </c>
      <c r="B38" s="317" t="s">
        <v>722</v>
      </c>
      <c r="C38" s="319" t="s">
        <v>6874</v>
      </c>
      <c r="D38" s="396" t="s">
        <v>6875</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6876</v>
      </c>
      <c r="J38" s="315" t="str">
        <f>IFERROR(__xludf.DUMMYFUNCTION("GOOGLETRANSLATE(B38,""zh-tw"",""en"")"),"-")</f>
        <v>-</v>
      </c>
      <c r="K38" s="319" t="s">
        <v>6877</v>
      </c>
      <c r="L38" s="396" t="s">
        <v>6878</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IFERROR(__xludf.DUMMYFUNCTION("GOOGLETRANSLATE(C38,""zh-tw"",""es-MX"")"),"Flotando en el agua, la velocidad de movimiento disminuye y los ataques se vuelven imposibles.")</f>
        <v>Flotando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6879</v>
      </c>
      <c r="AH38" s="164" t="s">
        <v>722</v>
      </c>
      <c r="AI38" s="320" t="s">
        <v>6880</v>
      </c>
      <c r="AJ38" s="398" t="s">
        <v>6881</v>
      </c>
      <c r="AK38" s="396"/>
      <c r="AL38" s="396"/>
      <c r="AM38" s="396"/>
    </row>
    <row r="39">
      <c r="A39" s="174" t="s">
        <v>6882</v>
      </c>
      <c r="B39" s="317" t="s">
        <v>6883</v>
      </c>
      <c r="C39" s="319" t="s">
        <v>6884</v>
      </c>
      <c r="D39" s="396" t="s">
        <v>4454</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6885</v>
      </c>
      <c r="J39" s="317" t="s">
        <v>6886</v>
      </c>
      <c r="K39" s="319" t="s">
        <v>6887</v>
      </c>
      <c r="L39" s="396" t="s">
        <v>4002</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IFERROR(__xludf.DUMMYFUNCTION("GOOGLETRANSLATE(B39,""zh-tw"",""es-MX"")"),"Nosotros somos los guardianes.")</f>
        <v>Nosotros 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6888</v>
      </c>
      <c r="AH39" s="164" t="s">
        <v>6889</v>
      </c>
      <c r="AI39" s="320" t="s">
        <v>6890</v>
      </c>
      <c r="AJ39" s="398" t="s">
        <v>4009</v>
      </c>
      <c r="AK39" s="396"/>
      <c r="AL39" s="396"/>
      <c r="AM39" s="396"/>
    </row>
    <row r="40">
      <c r="A40" s="174" t="s">
        <v>6891</v>
      </c>
      <c r="B40" s="317" t="s">
        <v>6892</v>
      </c>
      <c r="C40" s="319" t="s">
        <v>6893</v>
      </c>
      <c r="D40" s="396" t="s">
        <v>4837</v>
      </c>
      <c r="E40" s="174" t="s">
        <v>6894</v>
      </c>
      <c r="F40" s="317" t="s">
        <v>6895</v>
      </c>
      <c r="G40" s="316" t="str">
        <f>IFERROR(__xludf.DUMMYFUNCTION("GOOGLETRANSLATE(C40,""zh-tw"",""ja"")"),"スタミナは自動的に回復します。")</f>
        <v>スタミナは自動的に回復します。</v>
      </c>
      <c r="H40" s="396" t="s">
        <v>6896</v>
      </c>
      <c r="I40" s="174" t="s">
        <v>6897</v>
      </c>
      <c r="J40" s="317" t="s">
        <v>6898</v>
      </c>
      <c r="K40" s="319" t="s">
        <v>6899</v>
      </c>
      <c r="L40" s="396" t="s">
        <v>6900</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a mi lado...")</f>
        <v>Siento como si mi hermana estuviera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6901</v>
      </c>
      <c r="AH40" s="164" t="s">
        <v>6902</v>
      </c>
      <c r="AI40" s="320" t="s">
        <v>6903</v>
      </c>
      <c r="AJ40" s="398" t="s">
        <v>6904</v>
      </c>
      <c r="AK40" s="396"/>
      <c r="AL40" s="396"/>
      <c r="AM40" s="396"/>
    </row>
    <row r="41">
      <c r="A41" s="174" t="s">
        <v>6905</v>
      </c>
      <c r="B41" s="317" t="s">
        <v>6906</v>
      </c>
      <c r="C41" s="319" t="s">
        <v>6907</v>
      </c>
      <c r="D41" s="396" t="s">
        <v>6908</v>
      </c>
      <c r="E41" s="174" t="s">
        <v>6909</v>
      </c>
      <c r="F41" s="317" t="s">
        <v>6910</v>
      </c>
      <c r="G41" s="319" t="s">
        <v>6911</v>
      </c>
      <c r="H41" s="396" t="s">
        <v>6912</v>
      </c>
      <c r="I41" s="174" t="s">
        <v>6913</v>
      </c>
      <c r="J41" s="317" t="s">
        <v>6914</v>
      </c>
      <c r="K41" s="319" t="s">
        <v>6915</v>
      </c>
      <c r="L41" s="396" t="s">
        <v>6916</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IFERROR(__xludf.DUMMYFUNCTION("GOOGLETRANSLATE(B41,""zh-tw"",""es-MX"")"),"Tengo un malestar estomacal...")</f>
        <v>Tengo un malestar estomacal...</v>
      </c>
      <c r="S41" s="318" t="str">
        <f>IFERROR(__xludf.DUMMYFUNCTION("GOOGLETRANSLATE(C41,""zh-tw"",""es-MX"")"),"¡Mi dolor de estómago no para!")</f>
        <v>¡Mi dolor de estómago no para!</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6917</v>
      </c>
      <c r="AH41" s="164" t="s">
        <v>6918</v>
      </c>
      <c r="AI41" s="320" t="s">
        <v>6919</v>
      </c>
      <c r="AJ41" s="398" t="s">
        <v>6920</v>
      </c>
      <c r="AK41" s="396"/>
      <c r="AL41" s="396"/>
      <c r="AM41" s="396"/>
    </row>
    <row r="42">
      <c r="A42" s="174" t="s">
        <v>6921</v>
      </c>
      <c r="B42" s="317" t="s">
        <v>6922</v>
      </c>
      <c r="C42" s="319" t="s">
        <v>6923</v>
      </c>
      <c r="D42" s="396" t="s">
        <v>6924</v>
      </c>
      <c r="E42" s="174" t="s">
        <v>6925</v>
      </c>
      <c r="F42" s="317" t="s">
        <v>6926</v>
      </c>
      <c r="G42" s="319" t="s">
        <v>6927</v>
      </c>
      <c r="H42" s="396" t="s">
        <v>6928</v>
      </c>
      <c r="I42" s="174" t="s">
        <v>6929</v>
      </c>
      <c r="J42" s="317" t="s">
        <v>6930</v>
      </c>
      <c r="K42" s="319" t="s">
        <v>6931</v>
      </c>
      <c r="L42" s="396" t="s">
        <v>6932</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IFERROR(__xludf.DUMMYFUNCTION("GOOGLETRANSLATE(B42,""zh-tw"",""es-MX"")"),"Crisantemos marchitos, heridas esparcidas por el suelo...")</f>
        <v>Crisantemos marchitos, heridas esparcidas por el suelo...</v>
      </c>
      <c r="S42" s="318" t="str">
        <f>IFERROR(__xludf.DUMMYFUNCTION("GOOGLETRANSLATE(C42,""zh-tw"",""es-MX"")"),"¡No puedo correr ni esprintar por el dolor en los glúteos!")</f>
        <v>¡No puedo correr ni esprintar por el dolor en los glúteos!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6933</v>
      </c>
      <c r="AH42" s="164" t="s">
        <v>6934</v>
      </c>
      <c r="AI42" s="320" t="s">
        <v>6935</v>
      </c>
      <c r="AJ42" s="398" t="s">
        <v>6936</v>
      </c>
      <c r="AK42" s="396"/>
      <c r="AL42" s="396"/>
      <c r="AM42" s="396"/>
    </row>
    <row r="43">
      <c r="A43" s="174" t="s">
        <v>6937</v>
      </c>
      <c r="B43" s="317" t="s">
        <v>6938</v>
      </c>
      <c r="C43" s="319" t="s">
        <v>6939</v>
      </c>
      <c r="D43" s="396" t="s">
        <v>6940</v>
      </c>
      <c r="E43" s="174" t="s">
        <v>6941</v>
      </c>
      <c r="F43" s="317" t="s">
        <v>6942</v>
      </c>
      <c r="G43" s="319" t="s">
        <v>6943</v>
      </c>
      <c r="H43" s="396" t="s">
        <v>6944</v>
      </c>
      <c r="I43" s="174" t="s">
        <v>6945</v>
      </c>
      <c r="J43" s="317" t="s">
        <v>6946</v>
      </c>
      <c r="K43" s="319" t="s">
        <v>6947</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IFERROR(__xludf.DUMMYFUNCTION("GOOGLETRANSLATE(A43,""zh-tw"",""es-MX"")"),"Vete a casa temprano.")</f>
        <v>Vete a casa temprano.</v>
      </c>
      <c r="R43" s="162" t="str">
        <f>IFERROR(__xludf.DUMMYFUNCTION("GOOGLETRANSLATE(B43,""zh-tw"",""es-MX"")"),"Hace mucho calor.....")</f>
        <v>Hace mucho calor.....</v>
      </c>
      <c r="S43" s="318" t="str">
        <f>IFERROR(__xludf.DUMMYFUNCTION("GOOGLETRANSLATE(C43,""zh-tw"",""es-MX"")"),"Me siento débil por todas partes por el calor...")</f>
        <v>Me siento débil por todas partes por el calor...</v>
      </c>
      <c r="T43" s="175" t="str">
        <f>IFERROR(__xludf.DUMMYFUNCTION("GOOGLETRANSLATE(D43,""zh-tw"",""es-MX"")"),"clima caluroso")</f>
        <v>clima caluroso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6948</v>
      </c>
      <c r="AI43" s="320" t="s">
        <v>6949</v>
      </c>
      <c r="AJ43" s="399"/>
      <c r="AK43" s="396"/>
      <c r="AL43" s="396"/>
      <c r="AM43" s="396"/>
    </row>
    <row r="44">
      <c r="A44" s="174" t="s">
        <v>6950</v>
      </c>
      <c r="B44" s="317" t="s">
        <v>6951</v>
      </c>
      <c r="C44" s="319" t="s">
        <v>6952</v>
      </c>
      <c r="D44" s="396" t="s">
        <v>6953</v>
      </c>
      <c r="E44" s="174" t="s">
        <v>6954</v>
      </c>
      <c r="F44" s="317" t="s">
        <v>6955</v>
      </c>
      <c r="G44" s="319" t="s">
        <v>6956</v>
      </c>
      <c r="H44" s="396" t="s">
        <v>6957</v>
      </c>
      <c r="I44" s="174" t="s">
        <v>6958</v>
      </c>
      <c r="J44" s="317" t="s">
        <v>6959</v>
      </c>
      <c r="K44" s="319" t="s">
        <v>6960</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Misceláneos")</f>
        <v>Hermano Peces Misceláneos</v>
      </c>
      <c r="R44" s="162" t="str">
        <f>IFERROR(__xludf.DUMMYFUNCTION("GOOGLETRANSLATE(B44,""zh-tw"",""es-MX"")"),"¿Ni siquiera sabes jugar a un juego tan simple? ¡Eres un novato!")</f>
        <v>¿Ni siquiera sabes jugar a un juego tan simple? ¡Eres un novato!</v>
      </c>
      <c r="S44" s="318" t="str">
        <f>IFERROR(__xludf.DUMMYFUNCTION("GOOGLETRANSLATE(C44,""zh-tw"",""es-MX"")"),"¡Obtuvo la certificación de ""pez pequeño"" haciendo trampa!")</f>
        <v>¡Obtuvo la certificación de "pez pequeño" haciendo trampa!</v>
      </c>
      <c r="T44" s="175" t="str">
        <f>IFERROR(__xludf.DUMMYFUNCTION("GOOGLETRANSLATE(D44,""zh-tw"",""es-MX"")"),"Utilice códigos de trucos")</f>
        <v>Utilice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6961</v>
      </c>
      <c r="AH44" s="164" t="s">
        <v>6962</v>
      </c>
      <c r="AI44" s="320" t="s">
        <v>6963</v>
      </c>
      <c r="AJ44" s="399"/>
      <c r="AK44" s="396"/>
      <c r="AL44" s="396"/>
      <c r="AM44" s="396"/>
    </row>
    <row r="45">
      <c r="A45" s="174" t="s">
        <v>6964</v>
      </c>
      <c r="B45" s="317" t="s">
        <v>6965</v>
      </c>
      <c r="C45" s="319" t="s">
        <v>722</v>
      </c>
      <c r="D45" s="396" t="s">
        <v>5389</v>
      </c>
      <c r="E45" s="174" t="s">
        <v>6966</v>
      </c>
      <c r="F45" s="317" t="s">
        <v>6967</v>
      </c>
      <c r="G45" s="319" t="s">
        <v>722</v>
      </c>
      <c r="H45" s="396" t="s">
        <v>6968</v>
      </c>
      <c r="I45" s="174" t="s">
        <v>5393</v>
      </c>
      <c r="J45" s="317" t="s">
        <v>6969</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IFERROR(__xludf.DUMMYFUNCTION("GOOGLETRANSLATE(A45,""zh-tw"",""es-MX"")"),"Héroes del mundo")</f>
        <v>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카넬리안 펜던트")</f>
        <v>붉은 카넬리안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IFERROR(__xludf.DUMMYFUNCTION("GOOGLETRANSLATE(A45,""zh-tw"",""DE"")"),"Helden der Welt")</f>
        <v>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6970</v>
      </c>
      <c r="AH45" s="164" t="s">
        <v>6971</v>
      </c>
      <c r="AI45" s="400"/>
      <c r="AJ45" s="399"/>
      <c r="AK45" s="396"/>
      <c r="AL45" s="396"/>
      <c r="AM45" s="396"/>
    </row>
    <row r="46">
      <c r="A46" s="174" t="s">
        <v>6972</v>
      </c>
      <c r="B46" s="317" t="s">
        <v>6973</v>
      </c>
      <c r="C46" s="319" t="s">
        <v>6974</v>
      </c>
      <c r="D46" s="396" t="s">
        <v>5332</v>
      </c>
      <c r="E46" s="174" t="s">
        <v>6975</v>
      </c>
      <c r="F46" s="317" t="s">
        <v>6976</v>
      </c>
      <c r="G46" s="319" t="s">
        <v>6977</v>
      </c>
      <c r="H46" s="397"/>
      <c r="I46" s="174" t="s">
        <v>6978</v>
      </c>
      <c r="J46" s="317" t="s">
        <v>6979</v>
      </c>
      <c r="K46" s="319" t="s">
        <v>6980</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fin tarde o temprano pondrá sus miras en ti también.")</f>
        <v>La codicia sin fin tarde o temprano pondrá sus miras en ti también.</v>
      </c>
      <c r="S46" s="318" t="str">
        <f>IFERROR(__xludf.DUMMYFUNCTION("GOOGLETRANSLATE(C46,""zh-tw"",""es-MX"")"),"Obligado a dejar caer monedas de oro cuando estaba herido")</f>
        <v>Obligado a dejar caer monedas de oro cuando estaba herido</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401" t="s">
        <v>6981</v>
      </c>
      <c r="AH46" s="160" t="s">
        <v>6982</v>
      </c>
      <c r="AI46" s="402" t="s">
        <v>6983</v>
      </c>
      <c r="AJ46" s="403"/>
      <c r="AK46" s="397"/>
      <c r="AL46" s="397"/>
      <c r="AM46" s="397"/>
    </row>
    <row r="47">
      <c r="A47" s="174" t="s">
        <v>6984</v>
      </c>
      <c r="B47" s="317" t="s">
        <v>6985</v>
      </c>
      <c r="C47" s="319" t="s">
        <v>6986</v>
      </c>
      <c r="D47" s="396" t="s">
        <v>5250</v>
      </c>
      <c r="E47" s="174" t="s">
        <v>6987</v>
      </c>
      <c r="F47" s="317" t="s">
        <v>6988</v>
      </c>
      <c r="G47" s="319" t="s">
        <v>6989</v>
      </c>
      <c r="H47" s="397"/>
      <c r="I47" s="174" t="s">
        <v>6990</v>
      </c>
      <c r="J47" s="317" t="s">
        <v>6991</v>
      </c>
      <c r="K47" s="319" t="s">
        <v>6992</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DENTRO DE MIS OJOS MALVADOS Y VES ALGO DENTRO!")</f>
        <v>¡MIRA DENTRO DE MIS OJOS MALVADOS Y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niebla nocturna")</f>
        <v>Fantasma de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6993</v>
      </c>
      <c r="AH47" s="186" t="s">
        <v>6994</v>
      </c>
      <c r="AI47" s="402" t="s">
        <v>6995</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6996</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6997</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6998</v>
      </c>
      <c r="B3" s="30" t="s">
        <v>6998</v>
      </c>
      <c r="C3" s="416" t="s">
        <v>6998</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6999</v>
      </c>
      <c r="B5" s="30" t="str">
        <f>IFERROR(__xludf.DUMMYFUNCTION("GOOGLETRANSLATE(A5,""zh-tw"",""ja"")"),"公式YouTubeチャンネル")</f>
        <v>公式YouTubeチャンネル</v>
      </c>
      <c r="C5" s="416" t="str">
        <f>IFERROR(__xludf.DUMMYFUNCTION("GOOGLETRANSLATE(A5,""zh-tw"",""en"")"),"Official YouTube channel")</f>
        <v>Official YouTube channel</v>
      </c>
      <c r="D5" s="142" t="s">
        <v>7000</v>
      </c>
      <c r="E5" s="123"/>
      <c r="F5" s="123"/>
      <c r="G5" s="123"/>
      <c r="H5" s="123"/>
      <c r="I5" s="123"/>
      <c r="J5" s="123"/>
      <c r="K5" s="123"/>
      <c r="L5" s="123"/>
      <c r="M5" s="123"/>
      <c r="N5" s="123"/>
      <c r="O5" s="123"/>
      <c r="P5" s="123"/>
      <c r="Q5" s="123"/>
      <c r="R5" s="123"/>
      <c r="S5" s="123"/>
      <c r="T5" s="123"/>
      <c r="U5" s="123"/>
      <c r="V5" s="123"/>
      <c r="W5" s="123"/>
      <c r="X5" s="123"/>
      <c r="Y5" s="123"/>
      <c r="Z5" s="123"/>
    </row>
    <row r="6">
      <c r="A6" s="415" t="s">
        <v>7001</v>
      </c>
      <c r="B6" s="30" t="str">
        <f>IFERROR(__xludf.DUMMYFUNCTION("GOOGLETRANSLATE(A6,""zh-tw"",""ja"")"),"公式法案")</f>
        <v>公式法案</v>
      </c>
      <c r="C6" s="416" t="str">
        <f>IFERROR(__xludf.DUMMYFUNCTION("GOOGLETRANSLATE(A6,""zh-tw"",""en"")"),"Official bill")</f>
        <v>Official bill</v>
      </c>
      <c r="D6" s="142" t="s">
        <v>7000</v>
      </c>
      <c r="E6" s="123"/>
      <c r="F6" s="123"/>
      <c r="G6" s="123"/>
      <c r="H6" s="123"/>
      <c r="I6" s="123"/>
      <c r="J6" s="123"/>
      <c r="K6" s="123"/>
      <c r="L6" s="123"/>
      <c r="M6" s="123"/>
      <c r="N6" s="123"/>
      <c r="O6" s="123"/>
      <c r="P6" s="123"/>
      <c r="Q6" s="123"/>
      <c r="R6" s="123"/>
      <c r="S6" s="123"/>
      <c r="T6" s="123"/>
      <c r="U6" s="123"/>
      <c r="V6" s="123"/>
      <c r="W6" s="123"/>
      <c r="X6" s="123"/>
      <c r="Y6" s="123"/>
      <c r="Z6" s="123"/>
    </row>
    <row r="7">
      <c r="A7" s="415" t="s">
        <v>7002</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7003</v>
      </c>
      <c r="E7" s="123"/>
      <c r="F7" s="123"/>
      <c r="G7" s="123"/>
      <c r="H7" s="123"/>
      <c r="I7" s="123"/>
      <c r="J7" s="123"/>
      <c r="K7" s="123"/>
      <c r="L7" s="123"/>
      <c r="M7" s="123"/>
      <c r="N7" s="123"/>
      <c r="O7" s="123"/>
      <c r="P7" s="123"/>
      <c r="Q7" s="123"/>
      <c r="R7" s="123"/>
      <c r="S7" s="123"/>
      <c r="T7" s="123"/>
      <c r="U7" s="123"/>
      <c r="V7" s="123"/>
      <c r="W7" s="123"/>
      <c r="X7" s="123"/>
      <c r="Y7" s="123"/>
      <c r="Z7" s="123"/>
    </row>
    <row r="8">
      <c r="A8" s="415" t="s">
        <v>7004</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7003</v>
      </c>
      <c r="E8" s="123"/>
      <c r="F8" s="123"/>
      <c r="G8" s="123"/>
      <c r="H8" s="123"/>
      <c r="I8" s="123"/>
      <c r="J8" s="123"/>
      <c r="K8" s="123"/>
      <c r="L8" s="123"/>
      <c r="M8" s="123"/>
      <c r="N8" s="123"/>
      <c r="O8" s="123"/>
      <c r="P8" s="123"/>
      <c r="Q8" s="123"/>
      <c r="R8" s="123"/>
      <c r="S8" s="123"/>
      <c r="T8" s="123"/>
      <c r="U8" s="123"/>
      <c r="V8" s="123"/>
      <c r="W8" s="123"/>
      <c r="X8" s="123"/>
      <c r="Y8" s="123"/>
      <c r="Z8" s="123"/>
    </row>
    <row r="9">
      <c r="A9" s="415" t="s">
        <v>7005</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7006</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7007</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7008</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7009</v>
      </c>
      <c r="B1" s="301" t="str">
        <f>IFERROR(__xludf.DUMMYFUNCTION("GOOGLETRANSLATE(A1,""zh-tw"",""ja"")"),"このチュートリアルは、モバイルデバイス向けの公式クラウドセーブシステムが完成する前に、モバイルセーブデータを移行したい方向けです。
※英語チュートリアル動画提供：Gabriel B※")</f>
        <v>このチュートリアルは、モバイルデバイス向けの公式クラウドセーブシステムが完成する前に、モバイルセーブデータを移行したい方向けです。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cloud save system for mobile devices is complete.
※English tutorial video provided by Gabriel B※")</f>
        <v>This tutorial is for those who want to transfer their mobile save data before the official cloud save system for mobile devices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7010</v>
      </c>
      <c r="G1" s="429"/>
      <c r="H1" s="429"/>
      <c r="I1" s="429"/>
      <c r="J1" s="429"/>
      <c r="K1" s="429"/>
      <c r="L1" s="429"/>
      <c r="M1" s="429"/>
      <c r="N1" s="429"/>
      <c r="O1" s="429"/>
      <c r="P1" s="429"/>
      <c r="Q1" s="429"/>
      <c r="R1" s="429"/>
    </row>
    <row r="2">
      <c r="A2" s="430" t="s">
        <v>7011</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7012</v>
      </c>
      <c r="F2" s="190" t="s">
        <v>7013</v>
      </c>
      <c r="G2" s="135"/>
      <c r="H2" s="135"/>
      <c r="I2" s="135"/>
      <c r="J2" s="135"/>
      <c r="K2" s="135"/>
      <c r="L2" s="135"/>
      <c r="M2" s="135"/>
      <c r="N2" s="135"/>
      <c r="O2" s="135"/>
      <c r="P2" s="135"/>
      <c r="Q2" s="135"/>
      <c r="R2" s="135"/>
    </row>
    <row r="3">
      <c r="A3" s="430" t="s">
        <v>7014</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7015</v>
      </c>
      <c r="F3" s="190" t="s">
        <v>7016</v>
      </c>
      <c r="G3" s="135"/>
      <c r="H3" s="135"/>
      <c r="I3" s="135"/>
      <c r="J3" s="135"/>
      <c r="K3" s="135"/>
      <c r="L3" s="135"/>
      <c r="M3" s="135"/>
      <c r="N3" s="135"/>
      <c r="O3" s="135"/>
      <c r="P3" s="135"/>
      <c r="Q3" s="135"/>
      <c r="R3" s="135"/>
    </row>
    <row r="4">
      <c r="A4" s="430" t="s">
        <v>7017</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7018</v>
      </c>
      <c r="F4" s="190" t="s">
        <v>7019</v>
      </c>
      <c r="G4" s="135"/>
      <c r="H4" s="135"/>
      <c r="I4" s="135"/>
      <c r="J4" s="135"/>
      <c r="K4" s="135"/>
      <c r="L4" s="135"/>
      <c r="M4" s="135"/>
      <c r="N4" s="135"/>
      <c r="O4" s="135"/>
      <c r="P4" s="135"/>
      <c r="Q4" s="135"/>
      <c r="R4" s="135"/>
    </row>
    <row r="5">
      <c r="A5" s="430" t="s">
        <v>7020</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7021</v>
      </c>
      <c r="F5" s="190" t="s">
        <v>7022</v>
      </c>
      <c r="G5" s="135"/>
      <c r="H5" s="135"/>
      <c r="I5" s="135"/>
      <c r="J5" s="135"/>
      <c r="K5" s="135"/>
      <c r="L5" s="135"/>
      <c r="M5" s="135"/>
      <c r="N5" s="135"/>
      <c r="O5" s="135"/>
      <c r="P5" s="135"/>
      <c r="Q5" s="135"/>
      <c r="R5" s="135"/>
    </row>
    <row r="6">
      <c r="A6" s="433" t="s">
        <v>7023</v>
      </c>
      <c r="B6" s="434" t="s">
        <v>7024</v>
      </c>
      <c r="C6" s="435" t="s">
        <v>7025</v>
      </c>
      <c r="D6" s="436" t="s">
        <v>7026</v>
      </c>
      <c r="E6" s="437" t="s">
        <v>7027</v>
      </c>
      <c r="F6" s="438" t="s">
        <v>7028</v>
      </c>
      <c r="G6" s="135"/>
      <c r="H6" s="135"/>
      <c r="I6" s="135"/>
      <c r="J6" s="135"/>
      <c r="K6" s="135"/>
      <c r="L6" s="135"/>
      <c r="M6" s="135"/>
      <c r="N6" s="135"/>
      <c r="O6" s="135"/>
      <c r="P6" s="135"/>
      <c r="Q6" s="135"/>
      <c r="R6" s="135"/>
    </row>
    <row r="7">
      <c r="A7" s="439"/>
      <c r="B7" s="135"/>
      <c r="C7" s="439"/>
      <c r="D7" s="135"/>
      <c r="E7" s="440"/>
      <c r="F7" s="200"/>
      <c r="G7" s="135"/>
      <c r="H7" s="135"/>
      <c r="I7" s="135"/>
      <c r="J7" s="135"/>
      <c r="K7" s="135"/>
      <c r="L7" s="135"/>
      <c r="M7" s="135"/>
      <c r="N7" s="135"/>
      <c r="O7" s="135"/>
      <c r="P7" s="135"/>
      <c r="Q7" s="135"/>
      <c r="R7" s="135"/>
    </row>
    <row r="8">
      <c r="A8" s="439"/>
      <c r="B8" s="135"/>
      <c r="C8" s="135"/>
      <c r="D8" s="135"/>
      <c r="E8" s="135"/>
      <c r="F8" s="200"/>
      <c r="G8" s="135"/>
      <c r="H8" s="135"/>
      <c r="I8" s="135"/>
      <c r="J8" s="135"/>
      <c r="K8" s="135"/>
      <c r="L8" s="135"/>
      <c r="M8" s="135"/>
      <c r="N8" s="135"/>
      <c r="O8" s="135"/>
      <c r="P8" s="135"/>
      <c r="Q8" s="135"/>
      <c r="R8" s="135"/>
    </row>
    <row r="9">
      <c r="A9" s="439"/>
      <c r="B9" s="135"/>
      <c r="C9" s="135"/>
      <c r="D9" s="135"/>
      <c r="E9" s="135"/>
      <c r="F9" s="200"/>
      <c r="G9" s="135"/>
      <c r="H9" s="135"/>
      <c r="I9" s="135"/>
      <c r="J9" s="135"/>
      <c r="K9" s="135"/>
      <c r="L9" s="135"/>
      <c r="M9" s="135"/>
      <c r="N9" s="135"/>
      <c r="O9" s="135"/>
      <c r="P9" s="135"/>
      <c r="Q9" s="135"/>
      <c r="R9" s="135"/>
    </row>
    <row r="10">
      <c r="A10" s="439"/>
      <c r="B10" s="135"/>
      <c r="C10" s="135"/>
      <c r="D10" s="135"/>
      <c r="E10" s="135"/>
      <c r="F10" s="200"/>
      <c r="G10" s="135"/>
      <c r="H10" s="135"/>
      <c r="I10" s="135"/>
      <c r="J10" s="135"/>
      <c r="K10" s="135"/>
      <c r="L10" s="135"/>
      <c r="M10" s="135"/>
      <c r="N10" s="135"/>
      <c r="O10" s="135"/>
      <c r="P10" s="135"/>
      <c r="Q10" s="135"/>
      <c r="R10" s="135"/>
    </row>
    <row r="11">
      <c r="A11" s="439"/>
      <c r="B11" s="135"/>
      <c r="C11" s="135"/>
      <c r="D11" s="135"/>
      <c r="E11" s="135"/>
      <c r="F11" s="200"/>
      <c r="G11" s="135"/>
      <c r="H11" s="135"/>
      <c r="I11" s="135"/>
      <c r="J11" s="135"/>
      <c r="K11" s="135"/>
      <c r="L11" s="135"/>
      <c r="M11" s="135"/>
      <c r="N11" s="135"/>
      <c r="O11" s="135"/>
      <c r="P11" s="135"/>
      <c r="Q11" s="135"/>
      <c r="R11" s="135"/>
    </row>
    <row r="12">
      <c r="A12" s="439"/>
      <c r="B12" s="135"/>
      <c r="C12" s="135"/>
      <c r="D12" s="135"/>
      <c r="E12" s="135"/>
      <c r="F12" s="200"/>
      <c r="G12" s="135"/>
      <c r="H12" s="135"/>
      <c r="I12" s="135"/>
      <c r="J12" s="135"/>
      <c r="K12" s="135"/>
      <c r="L12" s="135"/>
      <c r="M12" s="135"/>
      <c r="N12" s="135"/>
      <c r="O12" s="135"/>
      <c r="P12" s="135"/>
      <c r="Q12" s="135"/>
      <c r="R12" s="135"/>
    </row>
    <row r="13">
      <c r="A13" s="439"/>
      <c r="B13" s="135"/>
      <c r="C13" s="135"/>
      <c r="D13" s="135"/>
      <c r="E13" s="135"/>
      <c r="F13" s="200"/>
      <c r="G13" s="135"/>
      <c r="H13" s="135"/>
      <c r="I13" s="135"/>
      <c r="J13" s="135"/>
      <c r="K13" s="135"/>
      <c r="L13" s="135"/>
      <c r="M13" s="135"/>
      <c r="N13" s="135"/>
      <c r="O13" s="135"/>
      <c r="P13" s="135"/>
      <c r="Q13" s="135"/>
      <c r="R13" s="135"/>
    </row>
    <row r="14">
      <c r="A14" s="439"/>
      <c r="B14" s="135"/>
      <c r="C14" s="135"/>
      <c r="D14" s="135"/>
      <c r="E14" s="135"/>
      <c r="F14" s="200"/>
      <c r="G14" s="135"/>
      <c r="H14" s="135"/>
      <c r="I14" s="135"/>
      <c r="J14" s="135"/>
      <c r="K14" s="135"/>
      <c r="L14" s="135"/>
      <c r="M14" s="135"/>
      <c r="N14" s="135"/>
      <c r="O14" s="135"/>
      <c r="P14" s="135"/>
      <c r="Q14" s="135"/>
      <c r="R14" s="135"/>
    </row>
    <row r="15">
      <c r="A15" s="439"/>
      <c r="B15" s="135"/>
      <c r="C15" s="135"/>
      <c r="D15" s="135"/>
      <c r="E15" s="135"/>
      <c r="F15" s="200"/>
      <c r="G15" s="135"/>
      <c r="H15" s="135"/>
      <c r="I15" s="135"/>
      <c r="J15" s="135"/>
      <c r="K15" s="135"/>
      <c r="L15" s="135"/>
      <c r="M15" s="135"/>
      <c r="N15" s="135"/>
      <c r="O15" s="135"/>
      <c r="P15" s="135"/>
      <c r="Q15" s="135"/>
      <c r="R15" s="135"/>
    </row>
    <row r="16">
      <c r="A16" s="439"/>
      <c r="B16" s="135"/>
      <c r="C16" s="135"/>
      <c r="D16" s="135"/>
      <c r="E16" s="135"/>
      <c r="F16" s="200"/>
      <c r="G16" s="135"/>
      <c r="H16" s="135"/>
      <c r="I16" s="135"/>
      <c r="J16" s="135"/>
      <c r="K16" s="135"/>
      <c r="L16" s="135"/>
      <c r="M16" s="135"/>
      <c r="N16" s="135"/>
      <c r="O16" s="135"/>
      <c r="P16" s="135"/>
      <c r="Q16" s="135"/>
      <c r="R16" s="135"/>
    </row>
    <row r="17">
      <c r="A17" s="439"/>
      <c r="B17" s="135"/>
      <c r="C17" s="135"/>
      <c r="D17" s="135"/>
      <c r="E17" s="135"/>
      <c r="F17" s="200"/>
      <c r="G17" s="135"/>
      <c r="H17" s="135"/>
      <c r="I17" s="135"/>
      <c r="J17" s="135"/>
      <c r="K17" s="135"/>
      <c r="L17" s="135"/>
      <c r="M17" s="135"/>
      <c r="N17" s="135"/>
      <c r="O17" s="135"/>
      <c r="P17" s="135"/>
      <c r="Q17" s="135"/>
      <c r="R17" s="135"/>
    </row>
    <row r="18">
      <c r="A18" s="439"/>
      <c r="B18" s="135"/>
      <c r="C18" s="135"/>
      <c r="D18" s="135"/>
      <c r="E18" s="135"/>
      <c r="F18" s="200"/>
      <c r="G18" s="135"/>
      <c r="H18" s="135"/>
      <c r="I18" s="135"/>
      <c r="J18" s="135"/>
      <c r="K18" s="135"/>
      <c r="L18" s="135"/>
      <c r="M18" s="135"/>
      <c r="N18" s="135"/>
      <c r="O18" s="135"/>
      <c r="P18" s="135"/>
      <c r="Q18" s="135"/>
      <c r="R18" s="135"/>
    </row>
    <row r="19">
      <c r="A19" s="439"/>
      <c r="B19" s="135"/>
      <c r="C19" s="135"/>
      <c r="D19" s="135"/>
      <c r="E19" s="135"/>
      <c r="F19" s="200"/>
      <c r="G19" s="135"/>
      <c r="H19" s="135"/>
      <c r="I19" s="135"/>
      <c r="J19" s="135"/>
      <c r="K19" s="135"/>
      <c r="L19" s="135"/>
      <c r="M19" s="135"/>
      <c r="N19" s="135"/>
      <c r="O19" s="135"/>
      <c r="P19" s="135"/>
      <c r="Q19" s="135"/>
      <c r="R19" s="135"/>
    </row>
    <row r="20">
      <c r="A20" s="439"/>
      <c r="B20" s="135"/>
      <c r="C20" s="135"/>
      <c r="D20" s="135"/>
      <c r="E20" s="135"/>
      <c r="F20" s="200"/>
      <c r="G20" s="135"/>
      <c r="H20" s="135"/>
      <c r="I20" s="135"/>
      <c r="J20" s="135"/>
      <c r="K20" s="135"/>
      <c r="L20" s="135"/>
      <c r="M20" s="135"/>
      <c r="N20" s="135"/>
      <c r="O20" s="135"/>
      <c r="P20" s="135"/>
      <c r="Q20" s="135"/>
      <c r="R20" s="135"/>
    </row>
    <row r="21">
      <c r="A21" s="439"/>
      <c r="B21" s="135"/>
      <c r="C21" s="135"/>
      <c r="D21" s="135"/>
      <c r="E21" s="135"/>
      <c r="F21" s="200"/>
      <c r="G21" s="135"/>
      <c r="H21" s="135"/>
      <c r="I21" s="135"/>
      <c r="J21" s="135"/>
      <c r="K21" s="135"/>
      <c r="L21" s="135"/>
      <c r="M21" s="135"/>
      <c r="N21" s="135"/>
      <c r="O21" s="135"/>
      <c r="P21" s="135"/>
      <c r="Q21" s="135"/>
      <c r="R21" s="135"/>
    </row>
    <row r="22">
      <c r="A22" s="439"/>
      <c r="B22" s="135"/>
      <c r="C22" s="135"/>
      <c r="D22" s="135"/>
      <c r="E22" s="135"/>
      <c r="F22" s="200"/>
      <c r="G22" s="135"/>
      <c r="H22" s="135"/>
      <c r="I22" s="135"/>
      <c r="J22" s="135"/>
      <c r="K22" s="135"/>
      <c r="L22" s="135"/>
      <c r="M22" s="135"/>
      <c r="N22" s="135"/>
      <c r="O22" s="135"/>
      <c r="P22" s="135"/>
      <c r="Q22" s="135"/>
      <c r="R22" s="135"/>
    </row>
    <row r="23">
      <c r="A23" s="439"/>
      <c r="B23" s="135"/>
      <c r="C23" s="135"/>
      <c r="D23" s="135"/>
      <c r="E23" s="135"/>
      <c r="F23" s="200"/>
      <c r="G23" s="135"/>
      <c r="H23" s="135"/>
      <c r="I23" s="135"/>
      <c r="J23" s="135"/>
      <c r="K23" s="135"/>
      <c r="L23" s="135"/>
      <c r="M23" s="135"/>
      <c r="N23" s="135"/>
      <c r="O23" s="135"/>
      <c r="P23" s="135"/>
      <c r="Q23" s="135"/>
      <c r="R23" s="135"/>
    </row>
    <row r="24">
      <c r="A24" s="439"/>
      <c r="B24" s="135"/>
      <c r="C24" s="135"/>
      <c r="D24" s="135"/>
      <c r="E24" s="135"/>
      <c r="F24" s="200"/>
      <c r="G24" s="135"/>
      <c r="H24" s="135"/>
      <c r="I24" s="135"/>
      <c r="J24" s="135"/>
      <c r="K24" s="135"/>
      <c r="L24" s="135"/>
      <c r="M24" s="135"/>
      <c r="N24" s="135"/>
      <c r="O24" s="135"/>
      <c r="P24" s="135"/>
      <c r="Q24" s="135"/>
      <c r="R24" s="135"/>
    </row>
    <row r="25">
      <c r="A25" s="439"/>
      <c r="B25" s="135"/>
      <c r="C25" s="135"/>
      <c r="D25" s="135"/>
      <c r="E25" s="135"/>
      <c r="F25" s="200"/>
      <c r="G25" s="135"/>
      <c r="H25" s="135"/>
      <c r="I25" s="135"/>
      <c r="J25" s="135"/>
      <c r="K25" s="135"/>
      <c r="L25" s="135"/>
      <c r="M25" s="135"/>
      <c r="N25" s="135"/>
      <c r="O25" s="135"/>
      <c r="P25" s="135"/>
      <c r="Q25" s="135"/>
      <c r="R25" s="135"/>
    </row>
    <row r="26">
      <c r="A26" s="439"/>
      <c r="B26" s="135"/>
      <c r="C26" s="135"/>
      <c r="D26" s="135"/>
      <c r="E26" s="135"/>
      <c r="F26" s="200"/>
      <c r="G26" s="135"/>
      <c r="H26" s="135"/>
      <c r="I26" s="135"/>
      <c r="J26" s="135"/>
      <c r="K26" s="135"/>
      <c r="L26" s="135"/>
      <c r="M26" s="135"/>
      <c r="N26" s="135"/>
      <c r="O26" s="135"/>
      <c r="P26" s="135"/>
      <c r="Q26" s="135"/>
      <c r="R26" s="135"/>
    </row>
    <row r="27">
      <c r="A27" s="439"/>
      <c r="B27" s="135"/>
      <c r="C27" s="135"/>
      <c r="D27" s="135"/>
      <c r="E27" s="135"/>
      <c r="F27" s="200"/>
      <c r="G27" s="135"/>
      <c r="H27" s="135"/>
      <c r="I27" s="135"/>
      <c r="J27" s="135"/>
      <c r="K27" s="135"/>
      <c r="L27" s="135"/>
      <c r="M27" s="135"/>
      <c r="N27" s="135"/>
      <c r="O27" s="135"/>
      <c r="P27" s="135"/>
      <c r="Q27" s="135"/>
      <c r="R27" s="135"/>
    </row>
    <row r="28">
      <c r="A28" s="439"/>
      <c r="B28" s="135"/>
      <c r="C28" s="135"/>
      <c r="D28" s="135"/>
      <c r="E28" s="135"/>
      <c r="F28" s="200"/>
      <c r="G28" s="135"/>
      <c r="H28" s="135"/>
      <c r="I28" s="135"/>
      <c r="J28" s="135"/>
      <c r="K28" s="135"/>
      <c r="L28" s="135"/>
      <c r="M28" s="135"/>
      <c r="N28" s="135"/>
      <c r="O28" s="135"/>
      <c r="P28" s="135"/>
      <c r="Q28" s="135"/>
      <c r="R28" s="135"/>
    </row>
    <row r="29">
      <c r="A29" s="439"/>
      <c r="B29" s="135"/>
      <c r="C29" s="135"/>
      <c r="D29" s="135"/>
      <c r="E29" s="135"/>
      <c r="F29" s="200"/>
      <c r="G29" s="135"/>
      <c r="H29" s="135"/>
      <c r="I29" s="135"/>
      <c r="J29" s="135"/>
      <c r="K29" s="135"/>
      <c r="L29" s="135"/>
      <c r="M29" s="135"/>
      <c r="N29" s="135"/>
      <c r="O29" s="135"/>
      <c r="P29" s="135"/>
      <c r="Q29" s="135"/>
      <c r="R29" s="135"/>
    </row>
    <row r="30">
      <c r="A30" s="439"/>
      <c r="B30" s="135"/>
      <c r="C30" s="135"/>
      <c r="D30" s="135"/>
      <c r="E30" s="135"/>
      <c r="F30" s="200"/>
      <c r="G30" s="135"/>
      <c r="H30" s="135"/>
      <c r="I30" s="135"/>
      <c r="J30" s="135"/>
      <c r="K30" s="135"/>
      <c r="L30" s="135"/>
      <c r="M30" s="135"/>
      <c r="N30" s="135"/>
      <c r="O30" s="135"/>
      <c r="P30" s="135"/>
      <c r="Q30" s="135"/>
      <c r="R30" s="135"/>
    </row>
    <row r="31">
      <c r="A31" s="439"/>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7029</v>
      </c>
      <c r="B1" s="424" t="s">
        <v>7030</v>
      </c>
      <c r="C1" s="301" t="s">
        <v>7031</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1" t="s">
        <v>7032</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2" t="s">
        <v>7033</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7034</v>
      </c>
      <c r="J1" s="427" t="s">
        <v>7035</v>
      </c>
      <c r="K1" s="119" t="s">
        <v>7036</v>
      </c>
      <c r="L1" s="119" t="s">
        <v>7037</v>
      </c>
      <c r="M1" s="429"/>
      <c r="N1" s="429"/>
      <c r="O1" s="429"/>
      <c r="P1" s="429"/>
      <c r="Q1" s="429"/>
      <c r="R1" s="429"/>
      <c r="S1" s="429"/>
      <c r="T1" s="429"/>
      <c r="U1" s="429"/>
      <c r="V1" s="429"/>
      <c r="W1" s="429"/>
    </row>
    <row r="2">
      <c r="A2" s="430" t="s">
        <v>7038</v>
      </c>
      <c r="B2" s="430" t="s">
        <v>7039</v>
      </c>
      <c r="C2" s="106" t="s">
        <v>7040</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3" t="s">
        <v>7041</v>
      </c>
      <c r="F2" s="214" t="str">
        <f>IFERROR(__xludf.DUMMYFUNCTION("GOOGLETRANSLATE(B2,""zh-tw"",""en"")"),"1 - Search for ""NVIDIA APP install"" on Google and launch the NVIDIA application.")</f>
        <v>1 - Search for "NVIDIA APP install" on Google and launch the NVIDIA application.</v>
      </c>
      <c r="G2" s="444" t="s">
        <v>7042</v>
      </c>
      <c r="H2" s="431" t="str">
        <f>IFERROR(__xludf.DUMMYFUNCTION("GOOGLETRANSLATE(B2,""zh-tw"",""zh"")"),"1 - 在google上搜寻 NVIDIA APP安装，并启动 NVIDIA 应用程式。")</f>
        <v>1 - 在google上搜寻 NVIDIA APP安装，并启动 NVIDIA 应用程式。</v>
      </c>
      <c r="I2" s="432" t="s">
        <v>7043</v>
      </c>
      <c r="J2" s="432" t="s">
        <v>7044</v>
      </c>
      <c r="K2" s="190" t="s">
        <v>7045</v>
      </c>
      <c r="L2" s="190" t="s">
        <v>7046</v>
      </c>
      <c r="M2" s="135"/>
      <c r="N2" s="135"/>
      <c r="O2" s="135"/>
      <c r="P2" s="135"/>
      <c r="Q2" s="135"/>
      <c r="R2" s="135"/>
      <c r="S2" s="135"/>
      <c r="T2" s="135"/>
      <c r="U2" s="135"/>
      <c r="V2" s="135"/>
      <c r="W2" s="135"/>
    </row>
    <row r="3">
      <c r="A3" s="430" t="s">
        <v>7047</v>
      </c>
      <c r="B3" s="430" t="s">
        <v>7048</v>
      </c>
      <c r="C3" s="106" t="s">
        <v>7049</v>
      </c>
      <c r="D3" s="106" t="str">
        <f>IFERROR(__xludf.DUMMYFUNCTION("GOOGLETRANSLATE(B3,""zh-tw"",""ja"")"),"2 - 最新バージョンに更新した後、NVIDIA アプリケーションを再起動します。")</f>
        <v>2 - 最新バージョンに更新した後、NVIDIA アプリケーションを再起動します。</v>
      </c>
      <c r="E3" s="443" t="s">
        <v>7050</v>
      </c>
      <c r="F3" s="214" t="str">
        <f>IFERROR(__xludf.DUMMYFUNCTION("GOOGLETRANSLATE(B3,""zh-tw"",""en"")"),"2 - Restart the NVIDIA application after updating to the latest version.")</f>
        <v>2 - Restart the NVIDIA application after updating to the latest version.</v>
      </c>
      <c r="G3" s="444" t="s">
        <v>7051</v>
      </c>
      <c r="H3" s="431" t="str">
        <f>IFERROR(__xludf.DUMMYFUNCTION("GOOGLETRANSLATE(B3,""zh-tw"",""zh"")"),"2 - 在更新至最新版本后重新启动 NVIDIA 应用程式。")</f>
        <v>2 - 在更新至最新版本后重新启动 NVIDIA 应用程式。</v>
      </c>
      <c r="I3" s="432" t="s">
        <v>7052</v>
      </c>
      <c r="J3" s="432" t="s">
        <v>7053</v>
      </c>
      <c r="K3" s="190" t="s">
        <v>7054</v>
      </c>
      <c r="L3" s="190" t="s">
        <v>7055</v>
      </c>
      <c r="M3" s="135"/>
      <c r="N3" s="135"/>
      <c r="O3" s="135"/>
      <c r="P3" s="135"/>
      <c r="Q3" s="135"/>
      <c r="R3" s="135"/>
      <c r="S3" s="135"/>
      <c r="T3" s="135"/>
      <c r="U3" s="135"/>
      <c r="V3" s="135"/>
      <c r="W3" s="135"/>
    </row>
    <row r="4">
      <c r="A4" s="430" t="s">
        <v>7056</v>
      </c>
      <c r="B4" s="430" t="s">
        <v>7057</v>
      </c>
      <c r="C4" s="106" t="s">
        <v>7058</v>
      </c>
      <c r="D4" s="106" t="str">
        <f>IFERROR(__xludf.DUMMYFUNCTION("GOOGLETRANSLATE(B4,""zh-tw"",""ja"")"),"3 - NVIDIA アプリケーションで、グラフィック設定領域に移動します。")</f>
        <v>3 - NVIDIA アプリケーションで、グラフィック設定領域に移動します。</v>
      </c>
      <c r="E4" s="443" t="s">
        <v>7059</v>
      </c>
      <c r="F4" s="214" t="str">
        <f>IFERROR(__xludf.DUMMYFUNCTION("GOOGLETRANSLATE(B4,""zh-tw"",""en"")"),"3 - In the NVIDIA application, go to the graphics settings area.")</f>
        <v>3 - In the NVIDIA application, go to the graphics settings area.</v>
      </c>
      <c r="G4" s="444" t="s">
        <v>7060</v>
      </c>
      <c r="H4" s="431" t="str">
        <f>IFERROR(__xludf.DUMMYFUNCTION("GOOGLETRANSLATE(B4,""zh-tw"",""zh"")"),"3 - 在NVIDIA应用程式中，进入图形设置区域。")</f>
        <v>3 - 在NVIDIA应用程式中，进入图形设置区域。</v>
      </c>
      <c r="I4" s="432" t="s">
        <v>7061</v>
      </c>
      <c r="J4" s="432" t="s">
        <v>7062</v>
      </c>
      <c r="K4" s="190" t="s">
        <v>7063</v>
      </c>
      <c r="L4" s="190" t="s">
        <v>7064</v>
      </c>
      <c r="M4" s="135"/>
      <c r="N4" s="135"/>
      <c r="O4" s="135"/>
      <c r="P4" s="135"/>
      <c r="Q4" s="135"/>
      <c r="R4" s="135"/>
      <c r="S4" s="135"/>
      <c r="T4" s="135"/>
      <c r="U4" s="135"/>
      <c r="V4" s="135"/>
      <c r="W4" s="135"/>
    </row>
    <row r="5">
      <c r="A5" s="430" t="s">
        <v>7065</v>
      </c>
      <c r="B5" s="430" t="s">
        <v>7066</v>
      </c>
      <c r="C5" s="106" t="s">
        <v>7067</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3" t="s">
        <v>7068</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4" t="s">
        <v>7069</v>
      </c>
      <c r="H5" s="431" t="str">
        <f>IFERROR(__xludf.DUMMYFUNCTION("GOOGLETRANSLATE(B5,""zh-tw"",""zh"")"),"4 - 在「程式设定」中点击三个点，选择「新增程式」，然后寻找游戏的执行档。")</f>
        <v>4 - 在「程式设定」中点击三个点，选择「新增程式」，然后寻找游戏的执行档。</v>
      </c>
      <c r="I5" s="432" t="s">
        <v>7070</v>
      </c>
      <c r="J5" s="432" t="s">
        <v>7071</v>
      </c>
      <c r="K5" s="190" t="s">
        <v>7072</v>
      </c>
      <c r="L5" s="190" t="s">
        <v>7073</v>
      </c>
      <c r="M5" s="135"/>
      <c r="N5" s="135"/>
      <c r="O5" s="135"/>
      <c r="P5" s="135"/>
      <c r="Q5" s="135"/>
      <c r="R5" s="135"/>
      <c r="S5" s="135"/>
      <c r="T5" s="135"/>
      <c r="U5" s="135"/>
      <c r="V5" s="135"/>
      <c r="W5" s="135"/>
    </row>
    <row r="6">
      <c r="A6" s="430" t="s">
        <v>7074</v>
      </c>
      <c r="B6" s="430" t="s">
        <v>7075</v>
      </c>
      <c r="C6" s="106" t="s">
        <v>7076</v>
      </c>
      <c r="D6" s="106" t="str">
        <f>IFERROR(__xludf.DUMMYFUNCTION("GOOGLETRANSLATE(B6,""zh-tw"",""ja"")"),"5 - 「低遅延モード」を「超高」に、「電源管理モード」を「最適電力」に設定します。")</f>
        <v>5 - 「低遅延モード」を「超高」に、「電源管理モード」を「最適電力」に設定します。</v>
      </c>
      <c r="E6" s="443" t="s">
        <v>7077</v>
      </c>
      <c r="F6" s="214" t="str">
        <f>IFERROR(__xludf.DUMMYFUNCTION("GOOGLETRANSLATE(B6,""zh-tw"",""en"")"),"5 - Set ""Low Latency Mode"" to ""Ultra High"" and ""Power Management Mode"" to ""Optimal Power"".")</f>
        <v>5 - Set "Low Latency Mode" to "Ultra High" and "Power Management Mode" to "Optimal Power".</v>
      </c>
      <c r="G6" s="444" t="s">
        <v>7078</v>
      </c>
      <c r="H6" s="431" t="str">
        <f>IFERROR(__xludf.DUMMYFUNCTION("GOOGLETRANSLATE(B6,""zh-tw"",""zh"")"),"5 - 将「低延迟模式」设为「超高」，电源管理模式设为「最佳电源」。")</f>
        <v>5 - 将「低延迟模式」设为「超高」，电源管理模式设为「最佳电源」。</v>
      </c>
      <c r="I6" s="432" t="s">
        <v>7079</v>
      </c>
      <c r="J6" s="432" t="s">
        <v>7080</v>
      </c>
      <c r="K6" s="190" t="s">
        <v>7081</v>
      </c>
      <c r="L6" s="190" t="s">
        <v>7082</v>
      </c>
      <c r="M6" s="135"/>
      <c r="N6" s="135"/>
      <c r="O6" s="135"/>
      <c r="P6" s="135"/>
      <c r="Q6" s="135"/>
      <c r="R6" s="135"/>
      <c r="S6" s="135"/>
      <c r="T6" s="135"/>
      <c r="U6" s="135"/>
      <c r="V6" s="135"/>
      <c r="W6" s="135"/>
    </row>
    <row r="7">
      <c r="A7" s="430" t="s">
        <v>7083</v>
      </c>
      <c r="B7" s="430" t="s">
        <v>7084</v>
      </c>
      <c r="C7" s="106" t="s">
        <v>7085</v>
      </c>
      <c r="D7" s="106" t="str">
        <f>IFERROR(__xludf.DUMMYFUNCTION("GOOGLETRANSLATE(B7,""zh-tw"",""ja"")"),"6-「垂直同期」を「高速」に設定します。")</f>
        <v>6-「垂直同期」を「高速」に設定します。</v>
      </c>
      <c r="E7" s="443" t="s">
        <v>7086</v>
      </c>
      <c r="F7" s="214" t="str">
        <f>IFERROR(__xludf.DUMMYFUNCTION("GOOGLETRANSLATE(B7,""zh-tw"",""en"")"),"6- Set ""Vertical Sync"" to ""Fast"".")</f>
        <v>6- Set "Vertical Sync" to "Fast".</v>
      </c>
      <c r="G7" s="444" t="s">
        <v>7087</v>
      </c>
      <c r="H7" s="431" t="str">
        <f>IFERROR(__xludf.DUMMYFUNCTION("GOOGLETRANSLATE(B7,""zh-tw"",""zh"")"),"6- 将「垂直同步」设为「快速」。")</f>
        <v>6- 将「垂直同步」设为「快速」。</v>
      </c>
      <c r="I7" s="432" t="s">
        <v>7088</v>
      </c>
      <c r="J7" s="432" t="s">
        <v>7089</v>
      </c>
      <c r="K7" s="190" t="s">
        <v>7090</v>
      </c>
      <c r="L7" s="190" t="s">
        <v>7091</v>
      </c>
      <c r="M7" s="135"/>
      <c r="N7" s="135"/>
      <c r="O7" s="135"/>
      <c r="P7" s="135"/>
      <c r="Q7" s="135"/>
      <c r="R7" s="135"/>
      <c r="S7" s="135"/>
      <c r="T7" s="135"/>
      <c r="U7" s="135"/>
      <c r="V7" s="135"/>
      <c r="W7" s="135"/>
    </row>
    <row r="8">
      <c r="A8" s="430" t="s">
        <v>7092</v>
      </c>
      <c r="B8" s="430" t="s">
        <v>7093</v>
      </c>
      <c r="C8" s="106" t="s">
        <v>7094</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3" t="s">
        <v>7095</v>
      </c>
      <c r="F8" s="214" t="str">
        <f>IFERROR(__xludf.DUMMYFUNCTION("GOOGLETRANSLATE(B8,""zh-tw"",""en"")"),"7 - If your computer cannot handle these options, please choose the best option.")</f>
        <v>7 - If your computer cannot handle these options, please choose the best option.</v>
      </c>
      <c r="G8" s="444" t="s">
        <v>7096</v>
      </c>
      <c r="H8" s="431" t="str">
        <f>IFERROR(__xludf.DUMMYFUNCTION("GOOGLETRANSLATE(B8,""zh-tw"",""zh"")"),"7 - 如果你的电脑无法负荷这些选项，请依照最佳的选项即可。")</f>
        <v>7 - 如果你的电脑无法负荷这些选项，请依照最佳的选项即可。</v>
      </c>
      <c r="I8" s="432" t="s">
        <v>7097</v>
      </c>
      <c r="J8" s="432" t="s">
        <v>7098</v>
      </c>
      <c r="K8" s="190" t="s">
        <v>7099</v>
      </c>
      <c r="L8" s="190" t="s">
        <v>7100</v>
      </c>
      <c r="M8" s="135"/>
      <c r="N8" s="135"/>
      <c r="O8" s="135"/>
      <c r="P8" s="135"/>
      <c r="Q8" s="135"/>
      <c r="R8" s="135"/>
      <c r="S8" s="135"/>
      <c r="T8" s="135"/>
      <c r="U8" s="135"/>
      <c r="V8" s="135"/>
      <c r="W8" s="135"/>
    </row>
    <row r="9">
      <c r="A9" s="430" t="s">
        <v>7101</v>
      </c>
      <c r="B9" s="430" t="s">
        <v>7102</v>
      </c>
      <c r="C9" s="106" t="s">
        <v>7103</v>
      </c>
      <c r="D9" s="106" t="str">
        <f>IFERROR(__xludf.DUMMYFUNCTION("GOOGLETRANSLATE(B9,""zh-tw"",""ja"")"),"8- ゲームを起動すると、その優れた安定性を体験できます。")</f>
        <v>8- ゲームを起動すると、その優れた安定性を体験できます。</v>
      </c>
      <c r="E9" s="443" t="s">
        <v>7104</v>
      </c>
      <c r="F9" s="214" t="str">
        <f>IFERROR(__xludf.DUMMYFUNCTION("GOOGLETRANSLATE(B9,""zh-tw"",""en"")"),"8- Now, launch the game and you will experience its excellent stability.")</f>
        <v>8- Now, launch the game and you will experience its excellent stability.</v>
      </c>
      <c r="G9" s="444" t="s">
        <v>7105</v>
      </c>
      <c r="H9" s="431" t="str">
        <f>IFERROR(__xludf.DUMMYFUNCTION("GOOGLETRANSLATE(B9,""zh-tw"",""zh"")"),"8- 现在，将游戏启动，你能体验到良好的稳定性能。")</f>
        <v>8- 现在，将游戏启动，你能体验到良好的稳定性能。</v>
      </c>
      <c r="I9" s="432" t="s">
        <v>7106</v>
      </c>
      <c r="J9" s="432" t="s">
        <v>7107</v>
      </c>
      <c r="K9" s="190" t="s">
        <v>7108</v>
      </c>
      <c r="L9" s="190" t="s">
        <v>7109</v>
      </c>
      <c r="M9" s="135"/>
      <c r="N9" s="135"/>
      <c r="O9" s="135"/>
      <c r="P9" s="135"/>
      <c r="Q9" s="135"/>
      <c r="R9" s="135"/>
      <c r="S9" s="135"/>
      <c r="T9" s="135"/>
      <c r="U9" s="135"/>
      <c r="V9" s="135"/>
      <c r="W9" s="135"/>
    </row>
    <row r="10">
      <c r="A10" s="430"/>
      <c r="B10" s="445" t="s">
        <v>7110</v>
      </c>
      <c r="C10" s="446"/>
      <c r="D10" s="447" t="s">
        <v>7111</v>
      </c>
      <c r="E10" s="448"/>
      <c r="F10" s="449" t="s">
        <v>7025</v>
      </c>
      <c r="G10" s="431"/>
      <c r="H10" s="450" t="s">
        <v>7112</v>
      </c>
      <c r="I10" s="451"/>
      <c r="J10" s="452" t="s">
        <v>7027</v>
      </c>
      <c r="K10" s="197"/>
      <c r="L10" s="438"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39"/>
      <c r="B11" s="439"/>
      <c r="C11" s="135"/>
      <c r="D11" s="135"/>
      <c r="E11" s="135"/>
      <c r="F11" s="439"/>
      <c r="G11" s="135"/>
      <c r="H11" s="135"/>
      <c r="I11" s="135"/>
      <c r="J11" s="440"/>
      <c r="K11" s="453"/>
      <c r="L11" s="453"/>
      <c r="M11" s="135"/>
      <c r="N11" s="135"/>
      <c r="O11" s="135"/>
      <c r="P11" s="135"/>
      <c r="Q11" s="135"/>
      <c r="R11" s="135"/>
      <c r="S11" s="135"/>
      <c r="T11" s="135"/>
      <c r="U11" s="135"/>
      <c r="V11" s="135"/>
      <c r="W11" s="135"/>
    </row>
    <row r="12">
      <c r="A12" s="439"/>
      <c r="B12" s="439"/>
      <c r="C12" s="135"/>
      <c r="D12" s="135"/>
      <c r="E12" s="135"/>
      <c r="F12" s="135"/>
      <c r="G12" s="135"/>
      <c r="H12" s="135"/>
      <c r="I12" s="135"/>
      <c r="J12" s="135"/>
      <c r="K12" s="453"/>
      <c r="L12" s="453"/>
      <c r="M12" s="135"/>
      <c r="N12" s="135"/>
      <c r="O12" s="135"/>
      <c r="P12" s="135"/>
      <c r="Q12" s="135"/>
      <c r="R12" s="135"/>
      <c r="S12" s="135"/>
      <c r="T12" s="135"/>
      <c r="U12" s="135"/>
      <c r="V12" s="135"/>
      <c r="W12" s="135"/>
    </row>
    <row r="13">
      <c r="A13" s="439"/>
      <c r="B13" s="439"/>
      <c r="C13" s="135"/>
      <c r="D13" s="135"/>
      <c r="E13" s="135"/>
      <c r="F13" s="135"/>
      <c r="G13" s="135"/>
      <c r="H13" s="135"/>
      <c r="I13" s="135"/>
      <c r="J13" s="135"/>
      <c r="K13" s="453"/>
      <c r="L13" s="453"/>
      <c r="M13" s="135"/>
      <c r="N13" s="135"/>
      <c r="O13" s="135"/>
      <c r="P13" s="135"/>
      <c r="Q13" s="135"/>
      <c r="R13" s="135"/>
      <c r="S13" s="135"/>
      <c r="T13" s="135"/>
      <c r="U13" s="135"/>
      <c r="V13" s="135"/>
      <c r="W13" s="135"/>
    </row>
    <row r="14">
      <c r="A14" s="439"/>
      <c r="B14" s="439"/>
      <c r="C14" s="135"/>
      <c r="D14" s="135"/>
      <c r="E14" s="135"/>
      <c r="F14" s="135"/>
      <c r="G14" s="135"/>
      <c r="H14" s="135"/>
      <c r="I14" s="135"/>
      <c r="J14" s="135"/>
      <c r="K14" s="453"/>
      <c r="L14" s="453"/>
      <c r="M14" s="135"/>
      <c r="N14" s="135"/>
      <c r="O14" s="135"/>
      <c r="P14" s="135"/>
      <c r="Q14" s="135"/>
      <c r="R14" s="135"/>
      <c r="S14" s="135"/>
      <c r="T14" s="135"/>
      <c r="U14" s="135"/>
      <c r="V14" s="135"/>
      <c r="W14" s="135"/>
    </row>
    <row r="15">
      <c r="A15" s="439"/>
      <c r="B15" s="439"/>
      <c r="C15" s="135"/>
      <c r="D15" s="135"/>
      <c r="E15" s="135"/>
      <c r="F15" s="135"/>
      <c r="G15" s="135"/>
      <c r="H15" s="135"/>
      <c r="I15" s="135"/>
      <c r="J15" s="135"/>
      <c r="K15" s="453"/>
      <c r="L15" s="453"/>
      <c r="M15" s="135"/>
      <c r="N15" s="135"/>
      <c r="O15" s="135"/>
      <c r="P15" s="135"/>
      <c r="Q15" s="135"/>
      <c r="R15" s="135"/>
      <c r="S15" s="135"/>
      <c r="T15" s="135"/>
      <c r="U15" s="135"/>
      <c r="V15" s="135"/>
      <c r="W15" s="135"/>
    </row>
    <row r="16">
      <c r="A16" s="439"/>
      <c r="B16" s="439"/>
      <c r="C16" s="135"/>
      <c r="D16" s="135"/>
      <c r="E16" s="135"/>
      <c r="F16" s="135"/>
      <c r="G16" s="135"/>
      <c r="H16" s="135"/>
      <c r="I16" s="135"/>
      <c r="J16" s="135"/>
      <c r="K16" s="453"/>
      <c r="L16" s="453"/>
      <c r="M16" s="135"/>
      <c r="N16" s="135"/>
      <c r="O16" s="135"/>
      <c r="P16" s="135"/>
      <c r="Q16" s="135"/>
      <c r="R16" s="135"/>
      <c r="S16" s="135"/>
      <c r="T16" s="135"/>
      <c r="U16" s="135"/>
      <c r="V16" s="135"/>
      <c r="W16" s="135"/>
    </row>
    <row r="17">
      <c r="A17" s="439"/>
      <c r="B17" s="439"/>
      <c r="C17" s="135"/>
      <c r="D17" s="135"/>
      <c r="E17" s="135"/>
      <c r="F17" s="135"/>
      <c r="G17" s="135"/>
      <c r="H17" s="135"/>
      <c r="I17" s="135"/>
      <c r="J17" s="135"/>
      <c r="K17" s="453"/>
      <c r="L17" s="453"/>
      <c r="M17" s="135"/>
      <c r="N17" s="135"/>
      <c r="O17" s="135"/>
      <c r="P17" s="135"/>
      <c r="Q17" s="135"/>
      <c r="R17" s="135"/>
      <c r="S17" s="135"/>
      <c r="T17" s="135"/>
      <c r="U17" s="135"/>
      <c r="V17" s="135"/>
      <c r="W17" s="135"/>
    </row>
    <row r="18">
      <c r="A18" s="439"/>
      <c r="B18" s="439"/>
      <c r="C18" s="135"/>
      <c r="D18" s="135"/>
      <c r="E18" s="135"/>
      <c r="F18" s="135"/>
      <c r="G18" s="135"/>
      <c r="H18" s="135"/>
      <c r="I18" s="135"/>
      <c r="J18" s="135"/>
      <c r="K18" s="453"/>
      <c r="L18" s="453"/>
      <c r="M18" s="135"/>
      <c r="N18" s="135"/>
      <c r="O18" s="135"/>
      <c r="P18" s="135"/>
      <c r="Q18" s="135"/>
      <c r="R18" s="135"/>
      <c r="S18" s="135"/>
      <c r="T18" s="135"/>
      <c r="U18" s="135"/>
      <c r="V18" s="135"/>
      <c r="W18" s="135"/>
    </row>
    <row r="19">
      <c r="A19" s="439"/>
      <c r="B19" s="439"/>
      <c r="C19" s="135"/>
      <c r="D19" s="135"/>
      <c r="E19" s="135"/>
      <c r="F19" s="135"/>
      <c r="G19" s="135"/>
      <c r="H19" s="135"/>
      <c r="I19" s="135"/>
      <c r="J19" s="135"/>
      <c r="K19" s="453"/>
      <c r="L19" s="453"/>
      <c r="M19" s="135"/>
      <c r="N19" s="135"/>
      <c r="O19" s="135"/>
      <c r="P19" s="135"/>
      <c r="Q19" s="135"/>
      <c r="R19" s="135"/>
      <c r="S19" s="135"/>
      <c r="T19" s="135"/>
      <c r="U19" s="135"/>
      <c r="V19" s="135"/>
      <c r="W19" s="135"/>
    </row>
    <row r="20">
      <c r="A20" s="439"/>
      <c r="B20" s="439"/>
      <c r="C20" s="135"/>
      <c r="D20" s="135"/>
      <c r="E20" s="135"/>
      <c r="F20" s="135"/>
      <c r="G20" s="135"/>
      <c r="H20" s="135"/>
      <c r="I20" s="135"/>
      <c r="J20" s="135"/>
      <c r="K20" s="453"/>
      <c r="L20" s="453"/>
      <c r="M20" s="135"/>
      <c r="N20" s="135"/>
      <c r="O20" s="135"/>
      <c r="P20" s="135"/>
      <c r="Q20" s="135"/>
      <c r="R20" s="135"/>
      <c r="S20" s="135"/>
      <c r="T20" s="135"/>
      <c r="U20" s="135"/>
      <c r="V20" s="135"/>
      <c r="W20" s="135"/>
    </row>
    <row r="21">
      <c r="A21" s="439"/>
      <c r="B21" s="439"/>
      <c r="C21" s="135"/>
      <c r="D21" s="135"/>
      <c r="E21" s="135"/>
      <c r="F21" s="135"/>
      <c r="G21" s="135"/>
      <c r="H21" s="135"/>
      <c r="I21" s="135"/>
      <c r="J21" s="135"/>
      <c r="K21" s="453"/>
      <c r="L21" s="453"/>
      <c r="M21" s="135"/>
      <c r="N21" s="135"/>
      <c r="O21" s="135"/>
      <c r="P21" s="135"/>
      <c r="Q21" s="135"/>
      <c r="R21" s="135"/>
      <c r="S21" s="135"/>
      <c r="T21" s="135"/>
      <c r="U21" s="135"/>
      <c r="V21" s="135"/>
      <c r="W21" s="135"/>
    </row>
    <row r="22">
      <c r="A22" s="454"/>
      <c r="B22" s="439"/>
      <c r="C22" s="135"/>
      <c r="D22" s="135"/>
      <c r="E22" s="135"/>
      <c r="F22" s="135"/>
      <c r="G22" s="135"/>
      <c r="H22" s="135"/>
      <c r="I22" s="135"/>
      <c r="J22" s="135"/>
      <c r="K22" s="453"/>
      <c r="L22" s="453"/>
      <c r="M22" s="135"/>
      <c r="N22" s="135"/>
      <c r="O22" s="135"/>
      <c r="P22" s="135"/>
      <c r="Q22" s="135"/>
      <c r="R22" s="135"/>
      <c r="S22" s="135"/>
      <c r="T22" s="135"/>
      <c r="U22" s="135"/>
      <c r="V22" s="135"/>
      <c r="W22" s="135"/>
    </row>
    <row r="23">
      <c r="A23" s="439"/>
      <c r="B23" s="439"/>
      <c r="C23" s="135"/>
      <c r="D23" s="135"/>
      <c r="E23" s="135"/>
      <c r="F23" s="135"/>
      <c r="G23" s="135"/>
      <c r="H23" s="135"/>
      <c r="I23" s="135"/>
      <c r="J23" s="135"/>
      <c r="K23" s="453"/>
      <c r="L23" s="453"/>
      <c r="M23" s="135"/>
      <c r="N23" s="135"/>
      <c r="O23" s="135"/>
      <c r="P23" s="135"/>
      <c r="Q23" s="135"/>
      <c r="R23" s="135"/>
      <c r="S23" s="135"/>
      <c r="T23" s="135"/>
      <c r="U23" s="135"/>
      <c r="V23" s="135"/>
      <c r="W23" s="135"/>
    </row>
    <row r="24">
      <c r="A24" s="439"/>
      <c r="B24" s="439"/>
      <c r="C24" s="135"/>
      <c r="D24" s="135"/>
      <c r="E24" s="135"/>
      <c r="F24" s="135"/>
      <c r="G24" s="135"/>
      <c r="H24" s="135"/>
      <c r="I24" s="135"/>
      <c r="J24" s="135"/>
      <c r="K24" s="453"/>
      <c r="L24" s="453"/>
      <c r="M24" s="135"/>
      <c r="N24" s="135"/>
      <c r="O24" s="135"/>
      <c r="P24" s="135"/>
      <c r="Q24" s="135"/>
      <c r="R24" s="135"/>
      <c r="S24" s="135"/>
      <c r="T24" s="135"/>
      <c r="U24" s="135"/>
      <c r="V24" s="135"/>
      <c r="W24" s="135"/>
    </row>
    <row r="25">
      <c r="A25" s="439"/>
      <c r="B25" s="439"/>
      <c r="C25" s="135"/>
      <c r="D25" s="135"/>
      <c r="E25" s="135"/>
      <c r="F25" s="135"/>
      <c r="G25" s="135"/>
      <c r="H25" s="135"/>
      <c r="I25" s="135"/>
      <c r="J25" s="135"/>
      <c r="K25" s="453"/>
      <c r="L25" s="453"/>
      <c r="M25" s="135"/>
      <c r="N25" s="135"/>
      <c r="O25" s="135"/>
      <c r="P25" s="135"/>
      <c r="Q25" s="135"/>
      <c r="R25" s="135"/>
      <c r="S25" s="135"/>
      <c r="T25" s="135"/>
      <c r="U25" s="135"/>
      <c r="V25" s="135"/>
      <c r="W25" s="135"/>
    </row>
    <row r="26">
      <c r="A26" s="439"/>
      <c r="B26" s="439"/>
      <c r="C26" s="135"/>
      <c r="D26" s="135"/>
      <c r="E26" s="135"/>
      <c r="F26" s="135"/>
      <c r="G26" s="135"/>
      <c r="H26" s="135"/>
      <c r="I26" s="135"/>
      <c r="J26" s="135"/>
      <c r="K26" s="453"/>
      <c r="L26" s="453"/>
      <c r="M26" s="135"/>
      <c r="N26" s="135"/>
      <c r="O26" s="135"/>
      <c r="P26" s="135"/>
      <c r="Q26" s="135"/>
      <c r="R26" s="135"/>
      <c r="S26" s="135"/>
      <c r="T26" s="135"/>
      <c r="U26" s="135"/>
      <c r="V26" s="135"/>
      <c r="W26" s="135"/>
    </row>
    <row r="27">
      <c r="A27" s="439"/>
      <c r="B27" s="439"/>
      <c r="C27" s="135"/>
      <c r="D27" s="135"/>
      <c r="E27" s="135"/>
      <c r="F27" s="135"/>
      <c r="G27" s="135"/>
      <c r="H27" s="135"/>
      <c r="I27" s="135"/>
      <c r="J27" s="135"/>
      <c r="K27" s="453"/>
      <c r="L27" s="453"/>
      <c r="M27" s="135"/>
      <c r="N27" s="135"/>
      <c r="O27" s="135"/>
      <c r="P27" s="135"/>
      <c r="Q27" s="135"/>
      <c r="R27" s="135"/>
      <c r="S27" s="135"/>
      <c r="T27" s="135"/>
      <c r="U27" s="135"/>
      <c r="V27" s="135"/>
      <c r="W27" s="135"/>
    </row>
    <row r="28">
      <c r="A28" s="439"/>
      <c r="B28" s="439"/>
      <c r="C28" s="135"/>
      <c r="D28" s="135"/>
      <c r="E28" s="135"/>
      <c r="F28" s="135"/>
      <c r="G28" s="135"/>
      <c r="H28" s="135"/>
      <c r="I28" s="135"/>
      <c r="J28" s="135"/>
      <c r="K28" s="453"/>
      <c r="L28" s="453"/>
      <c r="M28" s="135"/>
      <c r="N28" s="135"/>
      <c r="O28" s="135"/>
      <c r="P28" s="135"/>
      <c r="Q28" s="135"/>
      <c r="R28" s="135"/>
      <c r="S28" s="135"/>
      <c r="T28" s="135"/>
      <c r="U28" s="135"/>
      <c r="V28" s="135"/>
      <c r="W28" s="135"/>
    </row>
    <row r="29">
      <c r="A29" s="439"/>
      <c r="B29" s="439"/>
      <c r="C29" s="135"/>
      <c r="D29" s="135"/>
      <c r="E29" s="135"/>
      <c r="F29" s="135"/>
      <c r="G29" s="135"/>
      <c r="H29" s="135"/>
      <c r="I29" s="135"/>
      <c r="J29" s="135"/>
      <c r="K29" s="453"/>
      <c r="L29" s="453"/>
      <c r="M29" s="135"/>
      <c r="N29" s="135"/>
      <c r="O29" s="135"/>
      <c r="P29" s="135"/>
      <c r="Q29" s="135"/>
      <c r="R29" s="135"/>
      <c r="S29" s="135"/>
      <c r="T29" s="135"/>
      <c r="U29" s="135"/>
      <c r="V29" s="135"/>
      <c r="W29" s="135"/>
    </row>
    <row r="30">
      <c r="A30" s="439"/>
      <c r="B30" s="439"/>
      <c r="C30" s="135"/>
      <c r="D30" s="135"/>
      <c r="E30" s="135"/>
      <c r="F30" s="135"/>
      <c r="G30" s="135"/>
      <c r="H30" s="135"/>
      <c r="I30" s="135"/>
      <c r="J30" s="135"/>
      <c r="K30" s="453"/>
      <c r="L30" s="453"/>
      <c r="M30" s="135"/>
      <c r="N30" s="135"/>
      <c r="O30" s="135"/>
      <c r="P30" s="135"/>
      <c r="Q30" s="135"/>
      <c r="R30" s="135"/>
      <c r="S30" s="135"/>
      <c r="T30" s="135"/>
      <c r="U30" s="135"/>
      <c r="V30" s="135"/>
      <c r="W30" s="135"/>
    </row>
    <row r="31">
      <c r="A31" s="439"/>
      <c r="B31" s="439"/>
      <c r="C31" s="135"/>
      <c r="D31" s="135"/>
      <c r="E31" s="135"/>
      <c r="F31" s="135"/>
      <c r="G31" s="135"/>
      <c r="H31" s="135"/>
      <c r="I31" s="135"/>
      <c r="J31" s="135"/>
      <c r="K31" s="453"/>
      <c r="L31" s="453"/>
      <c r="M31" s="135"/>
      <c r="N31" s="135"/>
      <c r="O31" s="135"/>
      <c r="P31" s="135"/>
      <c r="Q31" s="135"/>
      <c r="R31" s="135"/>
      <c r="S31" s="135"/>
      <c r="T31" s="135"/>
      <c r="U31" s="135"/>
      <c r="V31" s="135"/>
      <c r="W31" s="135"/>
    </row>
    <row r="32">
      <c r="A32" s="439"/>
      <c r="B32" s="439"/>
      <c r="C32" s="135"/>
      <c r="D32" s="135"/>
      <c r="E32" s="135"/>
      <c r="F32" s="135"/>
      <c r="G32" s="135"/>
      <c r="H32" s="135"/>
      <c r="I32" s="135"/>
      <c r="J32" s="135"/>
      <c r="K32" s="453"/>
      <c r="L32" s="453"/>
      <c r="M32" s="135"/>
      <c r="N32" s="135"/>
      <c r="O32" s="135"/>
      <c r="P32" s="135"/>
      <c r="Q32" s="135"/>
      <c r="R32" s="135"/>
      <c r="S32" s="135"/>
      <c r="T32" s="135"/>
      <c r="U32" s="135"/>
      <c r="V32" s="135"/>
      <c r="W32" s="135"/>
    </row>
    <row r="33">
      <c r="A33" s="439"/>
      <c r="B33" s="439"/>
      <c r="C33" s="135"/>
      <c r="D33" s="135"/>
      <c r="E33" s="135"/>
      <c r="F33" s="135"/>
      <c r="G33" s="135"/>
      <c r="H33" s="135"/>
      <c r="I33" s="135"/>
      <c r="J33" s="135"/>
      <c r="K33" s="453"/>
      <c r="L33" s="453"/>
      <c r="M33" s="135"/>
      <c r="N33" s="135"/>
      <c r="O33" s="135"/>
      <c r="P33" s="135"/>
      <c r="Q33" s="135"/>
      <c r="R33" s="135"/>
      <c r="S33" s="135"/>
      <c r="T33" s="135"/>
      <c r="U33" s="135"/>
      <c r="V33" s="135"/>
      <c r="W33" s="135"/>
    </row>
    <row r="34">
      <c r="A34" s="439"/>
      <c r="B34" s="439"/>
      <c r="C34" s="135"/>
      <c r="D34" s="135"/>
      <c r="E34" s="135"/>
      <c r="F34" s="135"/>
      <c r="G34" s="135"/>
      <c r="H34" s="135"/>
      <c r="I34" s="135"/>
      <c r="J34" s="135"/>
      <c r="K34" s="453"/>
      <c r="L34" s="453"/>
      <c r="M34" s="135"/>
      <c r="N34" s="135"/>
      <c r="O34" s="135"/>
      <c r="P34" s="135"/>
      <c r="Q34" s="135"/>
      <c r="R34" s="135"/>
      <c r="S34" s="135"/>
      <c r="T34" s="135"/>
      <c r="U34" s="135"/>
      <c r="V34" s="135"/>
      <c r="W34" s="135"/>
    </row>
    <row r="35">
      <c r="A35" s="439"/>
      <c r="B35" s="439"/>
      <c r="C35" s="135"/>
      <c r="D35" s="135"/>
      <c r="E35" s="135"/>
      <c r="F35" s="135"/>
      <c r="G35" s="135"/>
      <c r="H35" s="135"/>
      <c r="I35" s="135"/>
      <c r="J35" s="135"/>
      <c r="K35" s="453"/>
      <c r="L35" s="453"/>
      <c r="M35" s="135"/>
      <c r="N35" s="135"/>
      <c r="O35" s="135"/>
      <c r="P35" s="135"/>
      <c r="Q35" s="135"/>
      <c r="R35" s="135"/>
      <c r="S35" s="135"/>
      <c r="T35" s="135"/>
      <c r="U35" s="135"/>
      <c r="V35" s="135"/>
      <c r="W35" s="135"/>
    </row>
    <row r="36">
      <c r="A36" s="135"/>
      <c r="B36" s="135"/>
      <c r="C36" s="135"/>
      <c r="D36" s="135"/>
      <c r="E36" s="135"/>
      <c r="F36" s="135"/>
      <c r="G36" s="135"/>
      <c r="H36" s="135"/>
      <c r="I36" s="135"/>
      <c r="J36" s="135"/>
      <c r="K36" s="453"/>
      <c r="L36" s="453"/>
      <c r="M36" s="135"/>
      <c r="N36" s="135"/>
      <c r="O36" s="135"/>
      <c r="P36" s="135"/>
      <c r="Q36" s="135"/>
      <c r="R36" s="135"/>
      <c r="S36" s="135"/>
      <c r="T36" s="135"/>
      <c r="U36" s="135"/>
      <c r="V36" s="135"/>
      <c r="W36" s="135"/>
    </row>
    <row r="37">
      <c r="A37" s="135"/>
      <c r="B37" s="135"/>
      <c r="C37" s="135"/>
      <c r="D37" s="135"/>
      <c r="E37" s="135"/>
      <c r="F37" s="135"/>
      <c r="G37" s="135"/>
      <c r="H37" s="135"/>
      <c r="I37" s="135"/>
      <c r="J37" s="135"/>
      <c r="K37" s="453"/>
      <c r="L37" s="453"/>
      <c r="M37" s="135"/>
      <c r="N37" s="135"/>
      <c r="O37" s="135"/>
      <c r="P37" s="135"/>
      <c r="Q37" s="135"/>
      <c r="R37" s="135"/>
      <c r="S37" s="135"/>
      <c r="T37" s="135"/>
      <c r="U37" s="135"/>
      <c r="V37" s="135"/>
      <c r="W37" s="135"/>
    </row>
    <row r="38">
      <c r="A38" s="135"/>
      <c r="B38" s="135"/>
      <c r="C38" s="135"/>
      <c r="D38" s="135"/>
      <c r="E38" s="135"/>
      <c r="F38" s="135"/>
      <c r="G38" s="135"/>
      <c r="H38" s="135"/>
      <c r="I38" s="135"/>
      <c r="J38" s="135"/>
      <c r="K38" s="453"/>
      <c r="L38" s="453"/>
      <c r="M38" s="135"/>
      <c r="N38" s="135"/>
      <c r="O38" s="135"/>
      <c r="P38" s="135"/>
      <c r="Q38" s="135"/>
      <c r="R38" s="135"/>
      <c r="S38" s="135"/>
      <c r="T38" s="135"/>
      <c r="U38" s="135"/>
      <c r="V38" s="135"/>
      <c r="W38" s="135"/>
    </row>
    <row r="39">
      <c r="A39" s="135"/>
      <c r="B39" s="135"/>
      <c r="C39" s="135"/>
      <c r="D39" s="135"/>
      <c r="E39" s="135"/>
      <c r="F39" s="135"/>
      <c r="G39" s="135"/>
      <c r="H39" s="135"/>
      <c r="I39" s="135"/>
      <c r="J39" s="135"/>
      <c r="K39" s="453"/>
      <c r="L39" s="453"/>
      <c r="M39" s="135"/>
      <c r="N39" s="135"/>
      <c r="O39" s="135"/>
      <c r="P39" s="135"/>
      <c r="Q39" s="135"/>
      <c r="R39" s="135"/>
      <c r="S39" s="135"/>
      <c r="T39" s="135"/>
      <c r="U39" s="135"/>
      <c r="V39" s="135"/>
      <c r="W39" s="135"/>
    </row>
    <row r="40">
      <c r="A40" s="135"/>
      <c r="B40" s="135"/>
      <c r="C40" s="135"/>
      <c r="D40" s="135"/>
      <c r="E40" s="135"/>
      <c r="F40" s="135"/>
      <c r="G40" s="135"/>
      <c r="H40" s="135"/>
      <c r="I40" s="135"/>
      <c r="J40" s="135"/>
      <c r="K40" s="453"/>
      <c r="L40" s="453"/>
      <c r="M40" s="135"/>
      <c r="N40" s="135"/>
      <c r="O40" s="135"/>
      <c r="P40" s="135"/>
      <c r="Q40" s="135"/>
      <c r="R40" s="135"/>
      <c r="S40" s="135"/>
      <c r="T40" s="135"/>
      <c r="U40" s="135"/>
      <c r="V40" s="135"/>
      <c r="W40" s="135"/>
    </row>
    <row r="41">
      <c r="A41" s="135"/>
      <c r="B41" s="135"/>
      <c r="C41" s="135"/>
      <c r="D41" s="135"/>
      <c r="E41" s="135"/>
      <c r="F41" s="135"/>
      <c r="G41" s="135"/>
      <c r="H41" s="135"/>
      <c r="I41" s="135"/>
      <c r="J41" s="135"/>
      <c r="K41" s="453"/>
      <c r="L41" s="453"/>
      <c r="M41" s="135"/>
      <c r="N41" s="135"/>
      <c r="O41" s="135"/>
      <c r="P41" s="135"/>
      <c r="Q41" s="135"/>
      <c r="R41" s="135"/>
      <c r="S41" s="135"/>
      <c r="T41" s="135"/>
      <c r="U41" s="135"/>
      <c r="V41" s="135"/>
      <c r="W41" s="135"/>
    </row>
    <row r="42">
      <c r="A42" s="135"/>
      <c r="B42" s="135"/>
      <c r="C42" s="135"/>
      <c r="D42" s="135"/>
      <c r="E42" s="135"/>
      <c r="F42" s="135"/>
      <c r="G42" s="135"/>
      <c r="H42" s="135"/>
      <c r="I42" s="135"/>
      <c r="J42" s="135"/>
      <c r="K42" s="453"/>
      <c r="L42" s="453"/>
      <c r="M42" s="135"/>
      <c r="N42" s="135"/>
      <c r="O42" s="135"/>
      <c r="P42" s="135"/>
      <c r="Q42" s="135"/>
      <c r="R42" s="135"/>
      <c r="S42" s="135"/>
      <c r="T42" s="135"/>
      <c r="U42" s="135"/>
      <c r="V42" s="135"/>
      <c r="W42" s="135"/>
    </row>
    <row r="43">
      <c r="A43" s="135"/>
      <c r="B43" s="135"/>
      <c r="C43" s="135"/>
      <c r="D43" s="135"/>
      <c r="E43" s="135"/>
      <c r="F43" s="135"/>
      <c r="G43" s="135"/>
      <c r="H43" s="135"/>
      <c r="I43" s="135"/>
      <c r="J43" s="135"/>
      <c r="K43" s="453"/>
      <c r="L43" s="453"/>
      <c r="M43" s="135"/>
      <c r="N43" s="135"/>
      <c r="O43" s="135"/>
      <c r="P43" s="135"/>
      <c r="Q43" s="135"/>
      <c r="R43" s="135"/>
      <c r="S43" s="135"/>
      <c r="T43" s="135"/>
      <c r="U43" s="135"/>
      <c r="V43" s="135"/>
      <c r="W43" s="135"/>
    </row>
    <row r="44">
      <c r="A44" s="135"/>
      <c r="B44" s="135"/>
      <c r="C44" s="135"/>
      <c r="D44" s="135"/>
      <c r="E44" s="135"/>
      <c r="F44" s="135"/>
      <c r="G44" s="135"/>
      <c r="H44" s="135"/>
      <c r="I44" s="135"/>
      <c r="J44" s="135"/>
      <c r="K44" s="453"/>
      <c r="L44" s="453"/>
      <c r="M44" s="135"/>
      <c r="N44" s="135"/>
      <c r="O44" s="135"/>
      <c r="P44" s="135"/>
      <c r="Q44" s="135"/>
      <c r="R44" s="135"/>
      <c r="S44" s="135"/>
      <c r="T44" s="135"/>
      <c r="U44" s="135"/>
      <c r="V44" s="135"/>
      <c r="W44" s="135"/>
    </row>
    <row r="45">
      <c r="A45" s="135"/>
      <c r="B45" s="135"/>
      <c r="C45" s="135"/>
      <c r="D45" s="135"/>
      <c r="E45" s="135"/>
      <c r="F45" s="135"/>
      <c r="G45" s="135"/>
      <c r="H45" s="135"/>
      <c r="I45" s="135"/>
      <c r="J45" s="135"/>
      <c r="K45" s="453"/>
      <c r="L45" s="453"/>
      <c r="M45" s="135"/>
      <c r="N45" s="135"/>
      <c r="O45" s="135"/>
      <c r="P45" s="135"/>
      <c r="Q45" s="135"/>
      <c r="R45" s="135"/>
      <c r="S45" s="135"/>
      <c r="T45" s="135"/>
      <c r="U45" s="135"/>
      <c r="V45" s="135"/>
      <c r="W45" s="135"/>
    </row>
    <row r="46">
      <c r="A46" s="135"/>
      <c r="B46" s="135"/>
      <c r="C46" s="135"/>
      <c r="D46" s="135"/>
      <c r="E46" s="135"/>
      <c r="F46" s="135"/>
      <c r="G46" s="135"/>
      <c r="H46" s="135"/>
      <c r="I46" s="135"/>
      <c r="J46" s="135"/>
      <c r="K46" s="453"/>
      <c r="L46" s="453"/>
      <c r="M46" s="135"/>
      <c r="N46" s="135"/>
      <c r="O46" s="135"/>
      <c r="P46" s="135"/>
      <c r="Q46" s="135"/>
      <c r="R46" s="135"/>
      <c r="S46" s="135"/>
      <c r="T46" s="135"/>
      <c r="U46" s="135"/>
      <c r="V46" s="135"/>
      <c r="W46" s="135"/>
    </row>
    <row r="47">
      <c r="A47" s="135"/>
      <c r="B47" s="135"/>
      <c r="C47" s="135"/>
      <c r="D47" s="135"/>
      <c r="E47" s="135"/>
      <c r="F47" s="135"/>
      <c r="G47" s="135"/>
      <c r="H47" s="135"/>
      <c r="I47" s="135"/>
      <c r="J47" s="135"/>
      <c r="K47" s="453"/>
      <c r="L47" s="453"/>
      <c r="M47" s="135"/>
      <c r="N47" s="135"/>
      <c r="O47" s="135"/>
      <c r="P47" s="135"/>
      <c r="Q47" s="135"/>
      <c r="R47" s="135"/>
      <c r="S47" s="135"/>
      <c r="T47" s="135"/>
      <c r="U47" s="135"/>
      <c r="V47" s="135"/>
      <c r="W47" s="135"/>
    </row>
    <row r="48">
      <c r="A48" s="135"/>
      <c r="B48" s="135"/>
      <c r="C48" s="135"/>
      <c r="D48" s="135"/>
      <c r="E48" s="135"/>
      <c r="F48" s="135"/>
      <c r="G48" s="135"/>
      <c r="H48" s="135"/>
      <c r="I48" s="135"/>
      <c r="J48" s="135"/>
      <c r="K48" s="453"/>
      <c r="L48" s="453"/>
      <c r="M48" s="135"/>
      <c r="N48" s="135"/>
      <c r="O48" s="135"/>
      <c r="P48" s="135"/>
      <c r="Q48" s="135"/>
      <c r="R48" s="135"/>
      <c r="S48" s="135"/>
      <c r="T48" s="135"/>
      <c r="U48" s="135"/>
      <c r="V48" s="135"/>
      <c r="W48" s="135"/>
    </row>
    <row r="49">
      <c r="A49" s="135"/>
      <c r="B49" s="135"/>
      <c r="C49" s="135"/>
      <c r="D49" s="135"/>
      <c r="E49" s="135"/>
      <c r="F49" s="135"/>
      <c r="G49" s="135"/>
      <c r="H49" s="135"/>
      <c r="I49" s="135"/>
      <c r="J49" s="135"/>
      <c r="K49" s="453"/>
      <c r="L49" s="453"/>
      <c r="M49" s="135"/>
      <c r="N49" s="135"/>
      <c r="O49" s="135"/>
      <c r="P49" s="135"/>
      <c r="Q49" s="135"/>
      <c r="R49" s="135"/>
      <c r="S49" s="135"/>
      <c r="T49" s="135"/>
      <c r="U49" s="135"/>
      <c r="V49" s="135"/>
      <c r="W49" s="135"/>
    </row>
    <row r="50">
      <c r="A50" s="135"/>
      <c r="B50" s="135"/>
      <c r="C50" s="135"/>
      <c r="D50" s="135"/>
      <c r="E50" s="135"/>
      <c r="F50" s="135"/>
      <c r="G50" s="135"/>
      <c r="H50" s="135"/>
      <c r="I50" s="135"/>
      <c r="J50" s="135"/>
      <c r="K50" s="453"/>
      <c r="L50" s="453"/>
      <c r="M50" s="135"/>
      <c r="N50" s="135"/>
      <c r="O50" s="135"/>
      <c r="P50" s="135"/>
      <c r="Q50" s="135"/>
      <c r="R50" s="135"/>
      <c r="S50" s="135"/>
      <c r="T50" s="135"/>
      <c r="U50" s="135"/>
      <c r="V50" s="135"/>
      <c r="W50" s="135"/>
    </row>
    <row r="51">
      <c r="A51" s="135"/>
      <c r="B51" s="135"/>
      <c r="C51" s="135"/>
      <c r="D51" s="135"/>
      <c r="E51" s="135"/>
      <c r="F51" s="135"/>
      <c r="G51" s="135"/>
      <c r="H51" s="135"/>
      <c r="I51" s="135"/>
      <c r="J51" s="135"/>
      <c r="K51" s="453"/>
      <c r="L51" s="453"/>
      <c r="M51" s="135"/>
      <c r="N51" s="135"/>
      <c r="O51" s="135"/>
      <c r="P51" s="135"/>
      <c r="Q51" s="135"/>
      <c r="R51" s="135"/>
      <c r="S51" s="135"/>
      <c r="T51" s="135"/>
      <c r="U51" s="135"/>
      <c r="V51" s="135"/>
      <c r="W51" s="135"/>
    </row>
    <row r="52">
      <c r="A52" s="135"/>
      <c r="B52" s="135"/>
      <c r="C52" s="135"/>
      <c r="D52" s="135"/>
      <c r="E52" s="135"/>
      <c r="F52" s="135"/>
      <c r="G52" s="135"/>
      <c r="H52" s="135"/>
      <c r="I52" s="135"/>
      <c r="J52" s="135"/>
      <c r="K52" s="453"/>
      <c r="L52" s="453"/>
      <c r="M52" s="135"/>
      <c r="N52" s="135"/>
      <c r="O52" s="135"/>
      <c r="P52" s="135"/>
      <c r="Q52" s="135"/>
      <c r="R52" s="135"/>
      <c r="S52" s="135"/>
      <c r="T52" s="135"/>
      <c r="U52" s="135"/>
      <c r="V52" s="135"/>
      <c r="W52" s="135"/>
    </row>
    <row r="53">
      <c r="A53" s="135"/>
      <c r="B53" s="135"/>
      <c r="C53" s="135"/>
      <c r="D53" s="135"/>
      <c r="E53" s="135"/>
      <c r="F53" s="135"/>
      <c r="G53" s="135"/>
      <c r="H53" s="135"/>
      <c r="I53" s="135"/>
      <c r="J53" s="135"/>
      <c r="K53" s="453"/>
      <c r="L53" s="453"/>
      <c r="M53" s="135"/>
      <c r="N53" s="135"/>
      <c r="O53" s="135"/>
      <c r="P53" s="135"/>
      <c r="Q53" s="135"/>
      <c r="R53" s="135"/>
      <c r="S53" s="135"/>
      <c r="T53" s="135"/>
      <c r="U53" s="135"/>
      <c r="V53" s="135"/>
      <c r="W53" s="135"/>
    </row>
    <row r="54">
      <c r="A54" s="135"/>
      <c r="B54" s="135"/>
      <c r="C54" s="135"/>
      <c r="D54" s="135"/>
      <c r="E54" s="135"/>
      <c r="F54" s="135"/>
      <c r="G54" s="135"/>
      <c r="H54" s="135"/>
      <c r="I54" s="135"/>
      <c r="J54" s="135"/>
      <c r="K54" s="453"/>
      <c r="L54" s="453"/>
      <c r="M54" s="135"/>
      <c r="N54" s="135"/>
      <c r="O54" s="135"/>
      <c r="P54" s="135"/>
      <c r="Q54" s="135"/>
      <c r="R54" s="135"/>
      <c r="S54" s="135"/>
      <c r="T54" s="135"/>
      <c r="U54" s="135"/>
      <c r="V54" s="135"/>
      <c r="W54" s="135"/>
    </row>
    <row r="55">
      <c r="A55" s="135"/>
      <c r="B55" s="135"/>
      <c r="C55" s="135"/>
      <c r="D55" s="135"/>
      <c r="E55" s="135"/>
      <c r="F55" s="135"/>
      <c r="G55" s="135"/>
      <c r="H55" s="135"/>
      <c r="I55" s="135"/>
      <c r="J55" s="135"/>
      <c r="K55" s="453"/>
      <c r="L55" s="453"/>
      <c r="M55" s="135"/>
      <c r="N55" s="135"/>
      <c r="O55" s="135"/>
      <c r="P55" s="135"/>
      <c r="Q55" s="135"/>
      <c r="R55" s="135"/>
      <c r="S55" s="135"/>
      <c r="T55" s="135"/>
      <c r="U55" s="135"/>
      <c r="V55" s="135"/>
      <c r="W55" s="135"/>
    </row>
    <row r="56">
      <c r="A56" s="135"/>
      <c r="B56" s="135"/>
      <c r="C56" s="135"/>
      <c r="D56" s="135"/>
      <c r="E56" s="135"/>
      <c r="F56" s="135"/>
      <c r="G56" s="135"/>
      <c r="H56" s="135"/>
      <c r="I56" s="135"/>
      <c r="J56" s="135"/>
      <c r="K56" s="453"/>
      <c r="L56" s="453"/>
      <c r="M56" s="135"/>
      <c r="N56" s="135"/>
      <c r="O56" s="135"/>
      <c r="P56" s="135"/>
      <c r="Q56" s="135"/>
      <c r="R56" s="135"/>
      <c r="S56" s="135"/>
      <c r="T56" s="135"/>
      <c r="U56" s="135"/>
      <c r="V56" s="135"/>
      <c r="W56" s="135"/>
    </row>
    <row r="57">
      <c r="A57" s="135"/>
      <c r="B57" s="135"/>
      <c r="C57" s="135"/>
      <c r="D57" s="135"/>
      <c r="E57" s="135"/>
      <c r="F57" s="135"/>
      <c r="G57" s="135"/>
      <c r="H57" s="135"/>
      <c r="I57" s="135"/>
      <c r="J57" s="135"/>
      <c r="K57" s="453"/>
      <c r="L57" s="453"/>
      <c r="M57" s="135"/>
      <c r="N57" s="135"/>
      <c r="O57" s="135"/>
      <c r="P57" s="135"/>
      <c r="Q57" s="135"/>
      <c r="R57" s="135"/>
      <c r="S57" s="135"/>
      <c r="T57" s="135"/>
      <c r="U57" s="135"/>
      <c r="V57" s="135"/>
      <c r="W57" s="135"/>
    </row>
    <row r="58">
      <c r="A58" s="135"/>
      <c r="B58" s="135"/>
      <c r="C58" s="135"/>
      <c r="D58" s="135"/>
      <c r="E58" s="135"/>
      <c r="F58" s="135"/>
      <c r="G58" s="135"/>
      <c r="H58" s="135"/>
      <c r="I58" s="135"/>
      <c r="J58" s="135"/>
      <c r="K58" s="453"/>
      <c r="L58" s="453"/>
      <c r="M58" s="135"/>
      <c r="N58" s="135"/>
      <c r="O58" s="135"/>
      <c r="P58" s="135"/>
      <c r="Q58" s="135"/>
      <c r="R58" s="135"/>
      <c r="S58" s="135"/>
      <c r="T58" s="135"/>
      <c r="U58" s="135"/>
      <c r="V58" s="135"/>
      <c r="W58" s="135"/>
    </row>
    <row r="59">
      <c r="A59" s="135"/>
      <c r="B59" s="135"/>
      <c r="C59" s="135"/>
      <c r="D59" s="135"/>
      <c r="E59" s="135"/>
      <c r="F59" s="135"/>
      <c r="G59" s="135"/>
      <c r="H59" s="135"/>
      <c r="I59" s="135"/>
      <c r="J59" s="135"/>
      <c r="K59" s="453"/>
      <c r="L59" s="453"/>
      <c r="M59" s="135"/>
      <c r="N59" s="135"/>
      <c r="O59" s="135"/>
      <c r="P59" s="135"/>
      <c r="Q59" s="135"/>
      <c r="R59" s="135"/>
      <c r="S59" s="135"/>
      <c r="T59" s="135"/>
      <c r="U59" s="135"/>
      <c r="V59" s="135"/>
      <c r="W59" s="135"/>
    </row>
    <row r="60">
      <c r="A60" s="135"/>
      <c r="B60" s="135"/>
      <c r="C60" s="135"/>
      <c r="D60" s="135"/>
      <c r="E60" s="135"/>
      <c r="F60" s="135"/>
      <c r="G60" s="135"/>
      <c r="H60" s="135"/>
      <c r="I60" s="135"/>
      <c r="J60" s="135"/>
      <c r="K60" s="453"/>
      <c r="L60" s="453"/>
      <c r="M60" s="135"/>
      <c r="N60" s="135"/>
      <c r="O60" s="135"/>
      <c r="P60" s="135"/>
      <c r="Q60" s="135"/>
      <c r="R60" s="135"/>
      <c r="S60" s="135"/>
      <c r="T60" s="135"/>
      <c r="U60" s="135"/>
      <c r="V60" s="135"/>
      <c r="W60" s="135"/>
    </row>
    <row r="61">
      <c r="A61" s="135"/>
      <c r="B61" s="135"/>
      <c r="C61" s="135"/>
      <c r="D61" s="135"/>
      <c r="E61" s="135"/>
      <c r="F61" s="135"/>
      <c r="G61" s="135"/>
      <c r="H61" s="135"/>
      <c r="I61" s="135"/>
      <c r="J61" s="135"/>
      <c r="K61" s="453"/>
      <c r="L61" s="453"/>
      <c r="M61" s="135"/>
      <c r="N61" s="135"/>
      <c r="O61" s="135"/>
      <c r="P61" s="135"/>
      <c r="Q61" s="135"/>
      <c r="R61" s="135"/>
      <c r="S61" s="135"/>
      <c r="T61" s="135"/>
      <c r="U61" s="135"/>
      <c r="V61" s="135"/>
      <c r="W61" s="135"/>
    </row>
    <row r="62">
      <c r="A62" s="135"/>
      <c r="B62" s="135"/>
      <c r="C62" s="135"/>
      <c r="D62" s="135"/>
      <c r="E62" s="135"/>
      <c r="F62" s="135"/>
      <c r="G62" s="135"/>
      <c r="H62" s="135"/>
      <c r="I62" s="135"/>
      <c r="J62" s="135"/>
      <c r="K62" s="453"/>
      <c r="L62" s="453"/>
      <c r="M62" s="135"/>
      <c r="N62" s="135"/>
      <c r="O62" s="135"/>
      <c r="P62" s="135"/>
      <c r="Q62" s="135"/>
      <c r="R62" s="135"/>
      <c r="S62" s="135"/>
      <c r="T62" s="135"/>
      <c r="U62" s="135"/>
      <c r="V62" s="135"/>
      <c r="W62" s="135"/>
    </row>
    <row r="63">
      <c r="A63" s="135"/>
      <c r="B63" s="135"/>
      <c r="C63" s="135"/>
      <c r="D63" s="135"/>
      <c r="E63" s="135"/>
      <c r="F63" s="135"/>
      <c r="G63" s="135"/>
      <c r="H63" s="135"/>
      <c r="I63" s="135"/>
      <c r="J63" s="135"/>
      <c r="K63" s="453"/>
      <c r="L63" s="453"/>
      <c r="M63" s="135"/>
      <c r="N63" s="135"/>
      <c r="O63" s="135"/>
      <c r="P63" s="135"/>
      <c r="Q63" s="135"/>
      <c r="R63" s="135"/>
      <c r="S63" s="135"/>
      <c r="T63" s="135"/>
      <c r="U63" s="135"/>
      <c r="V63" s="135"/>
      <c r="W63" s="135"/>
    </row>
    <row r="64">
      <c r="A64" s="135"/>
      <c r="B64" s="135"/>
      <c r="C64" s="135"/>
      <c r="D64" s="135"/>
      <c r="E64" s="135"/>
      <c r="F64" s="135"/>
      <c r="G64" s="135"/>
      <c r="H64" s="135"/>
      <c r="I64" s="135"/>
      <c r="J64" s="135"/>
      <c r="K64" s="453"/>
      <c r="L64" s="453"/>
      <c r="M64" s="135"/>
      <c r="N64" s="135"/>
      <c r="O64" s="135"/>
      <c r="P64" s="135"/>
      <c r="Q64" s="135"/>
      <c r="R64" s="135"/>
      <c r="S64" s="135"/>
      <c r="T64" s="135"/>
      <c r="U64" s="135"/>
      <c r="V64" s="135"/>
      <c r="W64" s="135"/>
    </row>
    <row r="65">
      <c r="A65" s="135"/>
      <c r="B65" s="135"/>
      <c r="C65" s="135"/>
      <c r="D65" s="135"/>
      <c r="E65" s="135"/>
      <c r="F65" s="135"/>
      <c r="G65" s="135"/>
      <c r="H65" s="135"/>
      <c r="I65" s="135"/>
      <c r="J65" s="135"/>
      <c r="K65" s="453"/>
      <c r="L65" s="453"/>
      <c r="M65" s="135"/>
      <c r="N65" s="135"/>
      <c r="O65" s="135"/>
      <c r="P65" s="135"/>
      <c r="Q65" s="135"/>
      <c r="R65" s="135"/>
      <c r="S65" s="135"/>
      <c r="T65" s="135"/>
      <c r="U65" s="135"/>
      <c r="V65" s="135"/>
      <c r="W65" s="135"/>
    </row>
    <row r="66">
      <c r="A66" s="135"/>
      <c r="B66" s="135"/>
      <c r="C66" s="135"/>
      <c r="D66" s="135"/>
      <c r="E66" s="135"/>
      <c r="F66" s="135"/>
      <c r="G66" s="135"/>
      <c r="H66" s="135"/>
      <c r="I66" s="135"/>
      <c r="J66" s="135"/>
      <c r="K66" s="453"/>
      <c r="L66" s="453"/>
      <c r="M66" s="135"/>
      <c r="N66" s="135"/>
      <c r="O66" s="135"/>
      <c r="P66" s="135"/>
      <c r="Q66" s="135"/>
      <c r="R66" s="135"/>
      <c r="S66" s="135"/>
      <c r="T66" s="135"/>
      <c r="U66" s="135"/>
      <c r="V66" s="135"/>
      <c r="W66" s="135"/>
    </row>
    <row r="67">
      <c r="A67" s="135"/>
      <c r="B67" s="135"/>
      <c r="C67" s="135"/>
      <c r="D67" s="135"/>
      <c r="E67" s="135"/>
      <c r="F67" s="135"/>
      <c r="G67" s="135"/>
      <c r="H67" s="135"/>
      <c r="I67" s="135"/>
      <c r="J67" s="135"/>
      <c r="K67" s="453"/>
      <c r="L67" s="453"/>
      <c r="M67" s="135"/>
      <c r="N67" s="135"/>
      <c r="O67" s="135"/>
      <c r="P67" s="135"/>
      <c r="Q67" s="135"/>
      <c r="R67" s="135"/>
      <c r="S67" s="135"/>
      <c r="T67" s="135"/>
      <c r="U67" s="135"/>
      <c r="V67" s="135"/>
      <c r="W67" s="135"/>
    </row>
    <row r="68">
      <c r="A68" s="135"/>
      <c r="B68" s="135"/>
      <c r="C68" s="135"/>
      <c r="D68" s="135"/>
      <c r="E68" s="135"/>
      <c r="F68" s="135"/>
      <c r="G68" s="135"/>
      <c r="H68" s="135"/>
      <c r="I68" s="135"/>
      <c r="J68" s="135"/>
      <c r="K68" s="453"/>
      <c r="L68" s="453"/>
      <c r="M68" s="135"/>
      <c r="N68" s="135"/>
      <c r="O68" s="135"/>
      <c r="P68" s="135"/>
      <c r="Q68" s="135"/>
      <c r="R68" s="135"/>
      <c r="S68" s="135"/>
      <c r="T68" s="135"/>
      <c r="U68" s="135"/>
      <c r="V68" s="135"/>
      <c r="W68" s="135"/>
    </row>
    <row r="69">
      <c r="A69" s="135"/>
      <c r="B69" s="135"/>
      <c r="C69" s="135"/>
      <c r="D69" s="135"/>
      <c r="E69" s="135"/>
      <c r="F69" s="135"/>
      <c r="G69" s="135"/>
      <c r="H69" s="135"/>
      <c r="I69" s="135"/>
      <c r="J69" s="135"/>
      <c r="K69" s="453"/>
      <c r="L69" s="453"/>
      <c r="M69" s="135"/>
      <c r="N69" s="135"/>
      <c r="O69" s="135"/>
      <c r="P69" s="135"/>
      <c r="Q69" s="135"/>
      <c r="R69" s="135"/>
      <c r="S69" s="135"/>
      <c r="T69" s="135"/>
      <c r="U69" s="135"/>
      <c r="V69" s="135"/>
      <c r="W69" s="135"/>
    </row>
    <row r="70">
      <c r="A70" s="135"/>
      <c r="B70" s="135"/>
      <c r="C70" s="135"/>
      <c r="D70" s="135"/>
      <c r="E70" s="135"/>
      <c r="F70" s="135"/>
      <c r="G70" s="135"/>
      <c r="H70" s="135"/>
      <c r="I70" s="135"/>
      <c r="J70" s="135"/>
      <c r="K70" s="453"/>
      <c r="L70" s="453"/>
      <c r="M70" s="135"/>
      <c r="N70" s="135"/>
      <c r="O70" s="135"/>
      <c r="P70" s="135"/>
      <c r="Q70" s="135"/>
      <c r="R70" s="135"/>
      <c r="S70" s="135"/>
      <c r="T70" s="135"/>
      <c r="U70" s="135"/>
      <c r="V70" s="135"/>
      <c r="W70" s="135"/>
    </row>
    <row r="71">
      <c r="A71" s="135"/>
      <c r="B71" s="135"/>
      <c r="C71" s="135"/>
      <c r="D71" s="135"/>
      <c r="E71" s="135"/>
      <c r="F71" s="135"/>
      <c r="G71" s="135"/>
      <c r="H71" s="135"/>
      <c r="I71" s="135"/>
      <c r="J71" s="135"/>
      <c r="K71" s="453"/>
      <c r="L71" s="453"/>
      <c r="M71" s="135"/>
      <c r="N71" s="135"/>
      <c r="O71" s="135"/>
      <c r="P71" s="135"/>
      <c r="Q71" s="135"/>
      <c r="R71" s="135"/>
      <c r="S71" s="135"/>
      <c r="T71" s="135"/>
      <c r="U71" s="135"/>
      <c r="V71" s="135"/>
      <c r="W71" s="135"/>
    </row>
    <row r="72">
      <c r="A72" s="135"/>
      <c r="B72" s="135"/>
      <c r="C72" s="135"/>
      <c r="D72" s="135"/>
      <c r="E72" s="135"/>
      <c r="F72" s="135"/>
      <c r="G72" s="135"/>
      <c r="H72" s="135"/>
      <c r="I72" s="135"/>
      <c r="J72" s="135"/>
      <c r="K72" s="453"/>
      <c r="L72" s="453"/>
      <c r="M72" s="135"/>
      <c r="N72" s="135"/>
      <c r="O72" s="135"/>
      <c r="P72" s="135"/>
      <c r="Q72" s="135"/>
      <c r="R72" s="135"/>
      <c r="S72" s="135"/>
      <c r="T72" s="135"/>
      <c r="U72" s="135"/>
      <c r="V72" s="135"/>
      <c r="W72" s="135"/>
    </row>
    <row r="73">
      <c r="A73" s="135"/>
      <c r="B73" s="135"/>
      <c r="C73" s="135"/>
      <c r="D73" s="135"/>
      <c r="E73" s="135"/>
      <c r="F73" s="135"/>
      <c r="G73" s="135"/>
      <c r="H73" s="135"/>
      <c r="I73" s="135"/>
      <c r="J73" s="135"/>
      <c r="K73" s="453"/>
      <c r="L73" s="453"/>
      <c r="M73" s="135"/>
      <c r="N73" s="135"/>
      <c r="O73" s="135"/>
      <c r="P73" s="135"/>
      <c r="Q73" s="135"/>
      <c r="R73" s="135"/>
      <c r="S73" s="135"/>
      <c r="T73" s="135"/>
      <c r="U73" s="135"/>
      <c r="V73" s="135"/>
      <c r="W73" s="135"/>
    </row>
    <row r="74">
      <c r="A74" s="135"/>
      <c r="B74" s="135"/>
      <c r="C74" s="135"/>
      <c r="D74" s="135"/>
      <c r="E74" s="135"/>
      <c r="F74" s="135"/>
      <c r="G74" s="135"/>
      <c r="H74" s="135"/>
      <c r="I74" s="135"/>
      <c r="J74" s="135"/>
      <c r="K74" s="453"/>
      <c r="L74" s="453"/>
      <c r="M74" s="135"/>
      <c r="N74" s="135"/>
      <c r="O74" s="135"/>
      <c r="P74" s="135"/>
      <c r="Q74" s="135"/>
      <c r="R74" s="135"/>
      <c r="S74" s="135"/>
      <c r="T74" s="135"/>
      <c r="U74" s="135"/>
      <c r="V74" s="135"/>
      <c r="W74" s="135"/>
    </row>
    <row r="75">
      <c r="A75" s="135"/>
      <c r="B75" s="135"/>
      <c r="C75" s="135"/>
      <c r="D75" s="135"/>
      <c r="E75" s="135"/>
      <c r="F75" s="135"/>
      <c r="G75" s="135"/>
      <c r="H75" s="135"/>
      <c r="I75" s="135"/>
      <c r="J75" s="135"/>
      <c r="K75" s="453"/>
      <c r="L75" s="453"/>
      <c r="M75" s="135"/>
      <c r="N75" s="135"/>
      <c r="O75" s="135"/>
      <c r="P75" s="135"/>
      <c r="Q75" s="135"/>
      <c r="R75" s="135"/>
      <c r="S75" s="135"/>
      <c r="T75" s="135"/>
      <c r="U75" s="135"/>
      <c r="V75" s="135"/>
      <c r="W75" s="135"/>
    </row>
    <row r="76">
      <c r="A76" s="135"/>
      <c r="B76" s="135"/>
      <c r="C76" s="135"/>
      <c r="D76" s="135"/>
      <c r="E76" s="135"/>
      <c r="F76" s="135"/>
      <c r="G76" s="135"/>
      <c r="H76" s="135"/>
      <c r="I76" s="135"/>
      <c r="J76" s="135"/>
      <c r="K76" s="453"/>
      <c r="L76" s="453"/>
      <c r="M76" s="135"/>
      <c r="N76" s="135"/>
      <c r="O76" s="135"/>
      <c r="P76" s="135"/>
      <c r="Q76" s="135"/>
      <c r="R76" s="135"/>
      <c r="S76" s="135"/>
      <c r="T76" s="135"/>
      <c r="U76" s="135"/>
      <c r="V76" s="135"/>
      <c r="W76" s="135"/>
    </row>
    <row r="77">
      <c r="A77" s="135"/>
      <c r="B77" s="135"/>
      <c r="C77" s="135"/>
      <c r="D77" s="135"/>
      <c r="E77" s="135"/>
      <c r="F77" s="135"/>
      <c r="G77" s="135"/>
      <c r="H77" s="135"/>
      <c r="I77" s="135"/>
      <c r="J77" s="135"/>
      <c r="K77" s="453"/>
      <c r="L77" s="453"/>
      <c r="M77" s="135"/>
      <c r="N77" s="135"/>
      <c r="O77" s="135"/>
      <c r="P77" s="135"/>
      <c r="Q77" s="135"/>
      <c r="R77" s="135"/>
      <c r="S77" s="135"/>
      <c r="T77" s="135"/>
      <c r="U77" s="135"/>
      <c r="V77" s="135"/>
      <c r="W77" s="135"/>
    </row>
    <row r="78">
      <c r="A78" s="135"/>
      <c r="B78" s="135"/>
      <c r="C78" s="135"/>
      <c r="D78" s="135"/>
      <c r="E78" s="135"/>
      <c r="F78" s="135"/>
      <c r="G78" s="135"/>
      <c r="H78" s="135"/>
      <c r="I78" s="135"/>
      <c r="J78" s="135"/>
      <c r="K78" s="453"/>
      <c r="L78" s="453"/>
      <c r="M78" s="135"/>
      <c r="N78" s="135"/>
      <c r="O78" s="135"/>
      <c r="P78" s="135"/>
      <c r="Q78" s="135"/>
      <c r="R78" s="135"/>
      <c r="S78" s="135"/>
      <c r="T78" s="135"/>
      <c r="U78" s="135"/>
      <c r="V78" s="135"/>
      <c r="W78" s="135"/>
    </row>
    <row r="79">
      <c r="A79" s="135"/>
      <c r="B79" s="135"/>
      <c r="C79" s="135"/>
      <c r="D79" s="135"/>
      <c r="E79" s="135"/>
      <c r="F79" s="135"/>
      <c r="G79" s="135"/>
      <c r="H79" s="135"/>
      <c r="I79" s="135"/>
      <c r="J79" s="135"/>
      <c r="K79" s="453"/>
      <c r="L79" s="453"/>
      <c r="M79" s="135"/>
      <c r="N79" s="135"/>
      <c r="O79" s="135"/>
      <c r="P79" s="135"/>
      <c r="Q79" s="135"/>
      <c r="R79" s="135"/>
      <c r="S79" s="135"/>
      <c r="T79" s="135"/>
      <c r="U79" s="135"/>
      <c r="V79" s="135"/>
      <c r="W79" s="135"/>
    </row>
    <row r="80">
      <c r="A80" s="135"/>
      <c r="B80" s="135"/>
      <c r="C80" s="135"/>
      <c r="D80" s="135"/>
      <c r="E80" s="135"/>
      <c r="F80" s="135"/>
      <c r="G80" s="135"/>
      <c r="H80" s="135"/>
      <c r="I80" s="135"/>
      <c r="J80" s="135"/>
      <c r="K80" s="453"/>
      <c r="L80" s="453"/>
      <c r="M80" s="135"/>
      <c r="N80" s="135"/>
      <c r="O80" s="135"/>
      <c r="P80" s="135"/>
      <c r="Q80" s="135"/>
      <c r="R80" s="135"/>
      <c r="S80" s="135"/>
      <c r="T80" s="135"/>
      <c r="U80" s="135"/>
      <c r="V80" s="135"/>
      <c r="W80" s="135"/>
    </row>
    <row r="81">
      <c r="A81" s="135"/>
      <c r="B81" s="135"/>
      <c r="C81" s="135"/>
      <c r="D81" s="135"/>
      <c r="E81" s="135"/>
      <c r="F81" s="135"/>
      <c r="G81" s="135"/>
      <c r="H81" s="135"/>
      <c r="I81" s="135"/>
      <c r="J81" s="135"/>
      <c r="K81" s="453"/>
      <c r="L81" s="453"/>
      <c r="M81" s="135"/>
      <c r="N81" s="135"/>
      <c r="O81" s="135"/>
      <c r="P81" s="135"/>
      <c r="Q81" s="135"/>
      <c r="R81" s="135"/>
      <c r="S81" s="135"/>
      <c r="T81" s="135"/>
      <c r="U81" s="135"/>
      <c r="V81" s="135"/>
      <c r="W81" s="135"/>
    </row>
    <row r="82">
      <c r="A82" s="135"/>
      <c r="B82" s="135"/>
      <c r="C82" s="135"/>
      <c r="D82" s="135"/>
      <c r="E82" s="135"/>
      <c r="F82" s="135"/>
      <c r="G82" s="135"/>
      <c r="H82" s="135"/>
      <c r="I82" s="135"/>
      <c r="J82" s="135"/>
      <c r="K82" s="453"/>
      <c r="L82" s="453"/>
      <c r="M82" s="135"/>
      <c r="N82" s="135"/>
      <c r="O82" s="135"/>
      <c r="P82" s="135"/>
      <c r="Q82" s="135"/>
      <c r="R82" s="135"/>
      <c r="S82" s="135"/>
      <c r="T82" s="135"/>
      <c r="U82" s="135"/>
      <c r="V82" s="135"/>
      <c r="W82" s="135"/>
    </row>
    <row r="83">
      <c r="A83" s="135"/>
      <c r="B83" s="135"/>
      <c r="C83" s="135"/>
      <c r="D83" s="135"/>
      <c r="E83" s="135"/>
      <c r="F83" s="135"/>
      <c r="G83" s="135"/>
      <c r="H83" s="135"/>
      <c r="I83" s="135"/>
      <c r="J83" s="135"/>
      <c r="K83" s="453"/>
      <c r="L83" s="453"/>
      <c r="M83" s="135"/>
      <c r="N83" s="135"/>
      <c r="O83" s="135"/>
      <c r="P83" s="135"/>
      <c r="Q83" s="135"/>
      <c r="R83" s="135"/>
      <c r="S83" s="135"/>
      <c r="T83" s="135"/>
      <c r="U83" s="135"/>
      <c r="V83" s="135"/>
      <c r="W83" s="135"/>
    </row>
    <row r="84">
      <c r="A84" s="135"/>
      <c r="B84" s="135"/>
      <c r="C84" s="135"/>
      <c r="D84" s="135"/>
      <c r="E84" s="135"/>
      <c r="F84" s="135"/>
      <c r="G84" s="135"/>
      <c r="H84" s="135"/>
      <c r="I84" s="135"/>
      <c r="J84" s="135"/>
      <c r="K84" s="453"/>
      <c r="L84" s="453"/>
      <c r="M84" s="135"/>
      <c r="N84" s="135"/>
      <c r="O84" s="135"/>
      <c r="P84" s="135"/>
      <c r="Q84" s="135"/>
      <c r="R84" s="135"/>
      <c r="S84" s="135"/>
      <c r="T84" s="135"/>
      <c r="U84" s="135"/>
      <c r="V84" s="135"/>
      <c r="W84" s="135"/>
    </row>
    <row r="85">
      <c r="A85" s="135"/>
      <c r="B85" s="135"/>
      <c r="C85" s="135"/>
      <c r="D85" s="135"/>
      <c r="E85" s="135"/>
      <c r="F85" s="135"/>
      <c r="G85" s="135"/>
      <c r="H85" s="135"/>
      <c r="I85" s="135"/>
      <c r="J85" s="135"/>
      <c r="K85" s="453"/>
      <c r="L85" s="453"/>
      <c r="M85" s="135"/>
      <c r="N85" s="135"/>
      <c r="O85" s="135"/>
      <c r="P85" s="135"/>
      <c r="Q85" s="135"/>
      <c r="R85" s="135"/>
      <c r="S85" s="135"/>
      <c r="T85" s="135"/>
      <c r="U85" s="135"/>
      <c r="V85" s="135"/>
      <c r="W85" s="135"/>
    </row>
    <row r="86">
      <c r="A86" s="135"/>
      <c r="B86" s="135"/>
      <c r="C86" s="135"/>
      <c r="D86" s="135"/>
      <c r="E86" s="135"/>
      <c r="F86" s="135"/>
      <c r="G86" s="135"/>
      <c r="H86" s="135"/>
      <c r="I86" s="135"/>
      <c r="J86" s="135"/>
      <c r="K86" s="453"/>
      <c r="L86" s="453"/>
      <c r="M86" s="135"/>
      <c r="N86" s="135"/>
      <c r="O86" s="135"/>
      <c r="P86" s="135"/>
      <c r="Q86" s="135"/>
      <c r="R86" s="135"/>
      <c r="S86" s="135"/>
      <c r="T86" s="135"/>
      <c r="U86" s="135"/>
      <c r="V86" s="135"/>
      <c r="W86" s="135"/>
    </row>
    <row r="87">
      <c r="A87" s="135"/>
      <c r="B87" s="135"/>
      <c r="C87" s="135"/>
      <c r="D87" s="135"/>
      <c r="E87" s="135"/>
      <c r="F87" s="135"/>
      <c r="G87" s="135"/>
      <c r="H87" s="135"/>
      <c r="I87" s="135"/>
      <c r="J87" s="135"/>
      <c r="K87" s="453"/>
      <c r="L87" s="453"/>
      <c r="M87" s="135"/>
      <c r="N87" s="135"/>
      <c r="O87" s="135"/>
      <c r="P87" s="135"/>
      <c r="Q87" s="135"/>
      <c r="R87" s="135"/>
      <c r="S87" s="135"/>
      <c r="T87" s="135"/>
      <c r="U87" s="135"/>
      <c r="V87" s="135"/>
      <c r="W87" s="135"/>
    </row>
    <row r="88">
      <c r="A88" s="135"/>
      <c r="B88" s="135"/>
      <c r="C88" s="135"/>
      <c r="D88" s="135"/>
      <c r="E88" s="135"/>
      <c r="F88" s="135"/>
      <c r="G88" s="135"/>
      <c r="H88" s="135"/>
      <c r="I88" s="135"/>
      <c r="J88" s="135"/>
      <c r="K88" s="453"/>
      <c r="L88" s="453"/>
      <c r="M88" s="135"/>
      <c r="N88" s="135"/>
      <c r="O88" s="135"/>
      <c r="P88" s="135"/>
      <c r="Q88" s="135"/>
      <c r="R88" s="135"/>
      <c r="S88" s="135"/>
      <c r="T88" s="135"/>
      <c r="U88" s="135"/>
      <c r="V88" s="135"/>
      <c r="W88" s="135"/>
    </row>
    <row r="89">
      <c r="A89" s="135"/>
      <c r="B89" s="135"/>
      <c r="C89" s="135"/>
      <c r="D89" s="135"/>
      <c r="E89" s="135"/>
      <c r="F89" s="135"/>
      <c r="G89" s="135"/>
      <c r="H89" s="135"/>
      <c r="I89" s="135"/>
      <c r="J89" s="135"/>
      <c r="K89" s="453"/>
      <c r="L89" s="453"/>
      <c r="M89" s="135"/>
      <c r="N89" s="135"/>
      <c r="O89" s="135"/>
      <c r="P89" s="135"/>
      <c r="Q89" s="135"/>
      <c r="R89" s="135"/>
      <c r="S89" s="135"/>
      <c r="T89" s="135"/>
      <c r="U89" s="135"/>
      <c r="V89" s="135"/>
      <c r="W89" s="135"/>
    </row>
    <row r="90">
      <c r="A90" s="135"/>
      <c r="B90" s="135"/>
      <c r="C90" s="135"/>
      <c r="D90" s="135"/>
      <c r="E90" s="135"/>
      <c r="F90" s="135"/>
      <c r="G90" s="135"/>
      <c r="H90" s="135"/>
      <c r="I90" s="135"/>
      <c r="J90" s="135"/>
      <c r="K90" s="453"/>
      <c r="L90" s="453"/>
      <c r="M90" s="135"/>
      <c r="N90" s="135"/>
      <c r="O90" s="135"/>
      <c r="P90" s="135"/>
      <c r="Q90" s="135"/>
      <c r="R90" s="135"/>
      <c r="S90" s="135"/>
      <c r="T90" s="135"/>
      <c r="U90" s="135"/>
      <c r="V90" s="135"/>
      <c r="W90" s="135"/>
    </row>
    <row r="91">
      <c r="A91" s="135"/>
      <c r="B91" s="135"/>
      <c r="C91" s="135"/>
      <c r="D91" s="135"/>
      <c r="E91" s="135"/>
      <c r="F91" s="135"/>
      <c r="G91" s="135"/>
      <c r="H91" s="135"/>
      <c r="I91" s="135"/>
      <c r="J91" s="135"/>
      <c r="K91" s="453"/>
      <c r="L91" s="453"/>
      <c r="M91" s="135"/>
      <c r="N91" s="135"/>
      <c r="O91" s="135"/>
      <c r="P91" s="135"/>
      <c r="Q91" s="135"/>
      <c r="R91" s="135"/>
      <c r="S91" s="135"/>
      <c r="T91" s="135"/>
      <c r="U91" s="135"/>
      <c r="V91" s="135"/>
      <c r="W91" s="135"/>
    </row>
    <row r="92">
      <c r="A92" s="135"/>
      <c r="B92" s="135"/>
      <c r="C92" s="135"/>
      <c r="D92" s="135"/>
      <c r="E92" s="135"/>
      <c r="F92" s="135"/>
      <c r="G92" s="135"/>
      <c r="H92" s="135"/>
      <c r="I92" s="135"/>
      <c r="J92" s="135"/>
      <c r="K92" s="453"/>
      <c r="L92" s="453"/>
      <c r="M92" s="135"/>
      <c r="N92" s="135"/>
      <c r="O92" s="135"/>
      <c r="P92" s="135"/>
      <c r="Q92" s="135"/>
      <c r="R92" s="135"/>
      <c r="S92" s="135"/>
      <c r="T92" s="135"/>
      <c r="U92" s="135"/>
      <c r="V92" s="135"/>
      <c r="W92" s="135"/>
    </row>
    <row r="93">
      <c r="A93" s="135"/>
      <c r="B93" s="135"/>
      <c r="C93" s="135"/>
      <c r="D93" s="135"/>
      <c r="E93" s="135"/>
      <c r="F93" s="135"/>
      <c r="G93" s="135"/>
      <c r="H93" s="135"/>
      <c r="I93" s="135"/>
      <c r="J93" s="135"/>
      <c r="K93" s="453"/>
      <c r="L93" s="453"/>
      <c r="M93" s="135"/>
      <c r="N93" s="135"/>
      <c r="O93" s="135"/>
      <c r="P93" s="135"/>
      <c r="Q93" s="135"/>
      <c r="R93" s="135"/>
      <c r="S93" s="135"/>
      <c r="T93" s="135"/>
      <c r="U93" s="135"/>
      <c r="V93" s="135"/>
      <c r="W93" s="135"/>
    </row>
    <row r="94">
      <c r="A94" s="135"/>
      <c r="B94" s="135"/>
      <c r="C94" s="135"/>
      <c r="D94" s="135"/>
      <c r="E94" s="135"/>
      <c r="F94" s="135"/>
      <c r="G94" s="135"/>
      <c r="H94" s="135"/>
      <c r="I94" s="135"/>
      <c r="J94" s="135"/>
      <c r="K94" s="453"/>
      <c r="L94" s="453"/>
      <c r="M94" s="135"/>
      <c r="N94" s="135"/>
      <c r="O94" s="135"/>
      <c r="P94" s="135"/>
      <c r="Q94" s="135"/>
      <c r="R94" s="135"/>
      <c r="S94" s="135"/>
      <c r="T94" s="135"/>
      <c r="U94" s="135"/>
      <c r="V94" s="135"/>
      <c r="W94" s="135"/>
    </row>
    <row r="95">
      <c r="A95" s="135"/>
      <c r="B95" s="135"/>
      <c r="C95" s="135"/>
      <c r="D95" s="135"/>
      <c r="E95" s="135"/>
      <c r="F95" s="135"/>
      <c r="G95" s="135"/>
      <c r="H95" s="135"/>
      <c r="I95" s="135"/>
      <c r="J95" s="135"/>
      <c r="K95" s="453"/>
      <c r="L95" s="453"/>
      <c r="M95" s="135"/>
      <c r="N95" s="135"/>
      <c r="O95" s="135"/>
      <c r="P95" s="135"/>
      <c r="Q95" s="135"/>
      <c r="R95" s="135"/>
      <c r="S95" s="135"/>
      <c r="T95" s="135"/>
      <c r="U95" s="135"/>
      <c r="V95" s="135"/>
      <c r="W95" s="135"/>
    </row>
    <row r="96">
      <c r="A96" s="135"/>
      <c r="B96" s="135"/>
      <c r="C96" s="135"/>
      <c r="D96" s="135"/>
      <c r="E96" s="135"/>
      <c r="F96" s="135"/>
      <c r="G96" s="135"/>
      <c r="H96" s="135"/>
      <c r="I96" s="135"/>
      <c r="J96" s="135"/>
      <c r="K96" s="453"/>
      <c r="L96" s="453"/>
      <c r="M96" s="135"/>
      <c r="N96" s="135"/>
      <c r="O96" s="135"/>
      <c r="P96" s="135"/>
      <c r="Q96" s="135"/>
      <c r="R96" s="135"/>
      <c r="S96" s="135"/>
      <c r="T96" s="135"/>
      <c r="U96" s="135"/>
      <c r="V96" s="135"/>
      <c r="W96" s="135"/>
    </row>
    <row r="97">
      <c r="A97" s="135"/>
      <c r="B97" s="135"/>
      <c r="C97" s="135"/>
      <c r="D97" s="135"/>
      <c r="E97" s="135"/>
      <c r="F97" s="135"/>
      <c r="G97" s="135"/>
      <c r="H97" s="135"/>
      <c r="I97" s="135"/>
      <c r="J97" s="135"/>
      <c r="K97" s="453"/>
      <c r="L97" s="453"/>
      <c r="M97" s="135"/>
      <c r="N97" s="135"/>
      <c r="O97" s="135"/>
      <c r="P97" s="135"/>
      <c r="Q97" s="135"/>
      <c r="R97" s="135"/>
      <c r="S97" s="135"/>
      <c r="T97" s="135"/>
      <c r="U97" s="135"/>
      <c r="V97" s="135"/>
      <c r="W97" s="135"/>
    </row>
    <row r="98">
      <c r="A98" s="135"/>
      <c r="B98" s="135"/>
      <c r="C98" s="135"/>
      <c r="D98" s="135"/>
      <c r="E98" s="135"/>
      <c r="F98" s="135"/>
      <c r="G98" s="135"/>
      <c r="H98" s="135"/>
      <c r="I98" s="135"/>
      <c r="J98" s="135"/>
      <c r="K98" s="453"/>
      <c r="L98" s="453"/>
      <c r="M98" s="135"/>
      <c r="N98" s="135"/>
      <c r="O98" s="135"/>
      <c r="P98" s="135"/>
      <c r="Q98" s="135"/>
      <c r="R98" s="135"/>
      <c r="S98" s="135"/>
      <c r="T98" s="135"/>
      <c r="U98" s="135"/>
      <c r="V98" s="135"/>
      <c r="W98" s="135"/>
    </row>
    <row r="99">
      <c r="A99" s="135"/>
      <c r="B99" s="135"/>
      <c r="C99" s="135"/>
      <c r="D99" s="135"/>
      <c r="E99" s="135"/>
      <c r="F99" s="135"/>
      <c r="G99" s="135"/>
      <c r="H99" s="135"/>
      <c r="I99" s="135"/>
      <c r="J99" s="135"/>
      <c r="K99" s="453"/>
      <c r="L99" s="453"/>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3"/>
      <c r="L100" s="453"/>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3"/>
      <c r="L101" s="453"/>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3"/>
      <c r="L102" s="453"/>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3"/>
      <c r="L103" s="453"/>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3"/>
      <c r="L104" s="453"/>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3"/>
      <c r="L105" s="453"/>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3"/>
      <c r="L106" s="453"/>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3"/>
      <c r="L107" s="453"/>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3"/>
      <c r="L108" s="453"/>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3"/>
      <c r="L109" s="453"/>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3"/>
      <c r="L110" s="453"/>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3"/>
      <c r="L111" s="453"/>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3"/>
      <c r="L112" s="453"/>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3"/>
      <c r="L113" s="453"/>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3"/>
      <c r="L114" s="453"/>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3"/>
      <c r="L115" s="453"/>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3"/>
      <c r="L116" s="453"/>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3"/>
      <c r="L117" s="453"/>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3"/>
      <c r="L118" s="453"/>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3"/>
      <c r="L119" s="453"/>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3"/>
      <c r="L120" s="453"/>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3"/>
      <c r="L121" s="453"/>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3"/>
      <c r="L122" s="453"/>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3"/>
      <c r="L123" s="453"/>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3"/>
      <c r="L124" s="453"/>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3"/>
      <c r="L125" s="453"/>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3"/>
      <c r="L126" s="453"/>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3"/>
      <c r="L127" s="453"/>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3"/>
      <c r="L128" s="453"/>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3"/>
      <c r="L129" s="453"/>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3"/>
      <c r="L130" s="453"/>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3"/>
      <c r="L131" s="453"/>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3"/>
      <c r="L132" s="453"/>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3"/>
      <c r="L133" s="453"/>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3"/>
      <c r="L134" s="453"/>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3"/>
      <c r="L135" s="453"/>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3"/>
      <c r="L136" s="453"/>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3"/>
      <c r="L137" s="453"/>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3"/>
      <c r="L138" s="453"/>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3"/>
      <c r="L139" s="453"/>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3"/>
      <c r="L140" s="453"/>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3"/>
      <c r="L141" s="453"/>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3"/>
      <c r="L142" s="453"/>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3"/>
      <c r="L143" s="453"/>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3"/>
      <c r="L144" s="453"/>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3"/>
      <c r="L145" s="453"/>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3"/>
      <c r="L146" s="453"/>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3"/>
      <c r="L147" s="453"/>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3"/>
      <c r="L148" s="453"/>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3"/>
      <c r="L149" s="453"/>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3"/>
      <c r="L150" s="453"/>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3"/>
      <c r="L151" s="453"/>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3"/>
      <c r="L152" s="453"/>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3"/>
      <c r="L153" s="453"/>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3"/>
      <c r="L154" s="453"/>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3"/>
      <c r="L155" s="453"/>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3"/>
      <c r="L156" s="453"/>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3"/>
      <c r="L157" s="453"/>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3"/>
      <c r="L158" s="453"/>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3"/>
      <c r="L159" s="453"/>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3"/>
      <c r="L160" s="453"/>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3"/>
      <c r="L161" s="453"/>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3"/>
      <c r="L162" s="453"/>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3"/>
      <c r="L163" s="453"/>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3"/>
      <c r="L164" s="453"/>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3"/>
      <c r="L165" s="453"/>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3"/>
      <c r="L166" s="453"/>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3"/>
      <c r="L167" s="453"/>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3"/>
      <c r="L168" s="453"/>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3"/>
      <c r="L169" s="453"/>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3"/>
      <c r="L170" s="453"/>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3"/>
      <c r="L171" s="453"/>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3"/>
      <c r="L172" s="453"/>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3"/>
      <c r="L173" s="453"/>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3"/>
      <c r="L174" s="453"/>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3"/>
      <c r="L175" s="453"/>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3"/>
      <c r="L176" s="453"/>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3"/>
      <c r="L177" s="453"/>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3"/>
      <c r="L178" s="453"/>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3"/>
      <c r="L179" s="453"/>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3"/>
      <c r="L180" s="453"/>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3"/>
      <c r="L181" s="453"/>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3"/>
      <c r="L182" s="453"/>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3"/>
      <c r="L183" s="453"/>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3"/>
      <c r="L184" s="453"/>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3"/>
      <c r="L185" s="453"/>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3"/>
      <c r="L186" s="453"/>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3"/>
      <c r="L187" s="453"/>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3"/>
      <c r="L188" s="453"/>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3"/>
      <c r="L189" s="453"/>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3"/>
      <c r="L190" s="453"/>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3"/>
      <c r="L191" s="453"/>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3"/>
      <c r="L192" s="453"/>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3"/>
      <c r="L193" s="453"/>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3"/>
      <c r="L194" s="453"/>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3"/>
      <c r="L195" s="453"/>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3"/>
      <c r="L196" s="453"/>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3"/>
      <c r="L197" s="453"/>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3"/>
      <c r="L198" s="453"/>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3"/>
      <c r="L199" s="453"/>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3"/>
      <c r="L200" s="453"/>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3"/>
      <c r="L201" s="453"/>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3"/>
      <c r="L202" s="453"/>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3"/>
      <c r="L203" s="453"/>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3"/>
      <c r="L204" s="453"/>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3"/>
      <c r="L205" s="453"/>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3"/>
      <c r="L206" s="453"/>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3"/>
      <c r="L207" s="453"/>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3"/>
      <c r="L208" s="453"/>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3"/>
      <c r="L209" s="453"/>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3"/>
      <c r="L210" s="453"/>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3"/>
      <c r="L211" s="453"/>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3"/>
      <c r="L212" s="453"/>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3"/>
      <c r="L213" s="453"/>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3"/>
      <c r="L214" s="453"/>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3"/>
      <c r="L215" s="453"/>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3"/>
      <c r="L216" s="453"/>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3"/>
      <c r="L217" s="453"/>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3"/>
      <c r="L218" s="453"/>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3"/>
      <c r="L219" s="453"/>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3"/>
      <c r="L220" s="453"/>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3"/>
      <c r="L221" s="453"/>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3"/>
      <c r="L222" s="453"/>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3"/>
      <c r="L223" s="453"/>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3"/>
      <c r="L224" s="453"/>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3"/>
      <c r="L225" s="453"/>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3"/>
      <c r="L226" s="453"/>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3"/>
      <c r="L227" s="453"/>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3"/>
      <c r="L228" s="453"/>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3"/>
      <c r="L229" s="453"/>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3"/>
      <c r="L230" s="453"/>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3"/>
      <c r="L231" s="453"/>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3"/>
      <c r="L232" s="453"/>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3"/>
      <c r="L233" s="453"/>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3"/>
      <c r="L234" s="453"/>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3"/>
      <c r="L235" s="453"/>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3"/>
      <c r="L236" s="453"/>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3"/>
      <c r="L237" s="453"/>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3"/>
      <c r="L238" s="453"/>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3"/>
      <c r="L239" s="453"/>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3"/>
      <c r="L240" s="453"/>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3"/>
      <c r="L241" s="453"/>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3"/>
      <c r="L242" s="453"/>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3"/>
      <c r="L243" s="453"/>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3"/>
      <c r="L244" s="453"/>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3"/>
      <c r="L245" s="453"/>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3"/>
      <c r="L246" s="453"/>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3"/>
      <c r="L247" s="453"/>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3"/>
      <c r="L248" s="453"/>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3"/>
      <c r="L249" s="453"/>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3"/>
      <c r="L250" s="453"/>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3"/>
      <c r="L251" s="453"/>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3"/>
      <c r="L252" s="453"/>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3"/>
      <c r="L253" s="453"/>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3"/>
      <c r="L254" s="453"/>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3"/>
      <c r="L255" s="453"/>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3"/>
      <c r="L256" s="453"/>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3"/>
      <c r="L257" s="453"/>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3"/>
      <c r="L258" s="453"/>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3"/>
      <c r="L259" s="453"/>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3"/>
      <c r="L260" s="453"/>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3"/>
      <c r="L261" s="453"/>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3"/>
      <c r="L262" s="453"/>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3"/>
      <c r="L263" s="453"/>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3"/>
      <c r="L264" s="453"/>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3"/>
      <c r="L265" s="453"/>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3"/>
      <c r="L266" s="453"/>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3"/>
      <c r="L267" s="453"/>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3"/>
      <c r="L268" s="453"/>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3"/>
      <c r="L269" s="453"/>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3"/>
      <c r="L270" s="453"/>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3"/>
      <c r="L271" s="453"/>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3"/>
      <c r="L272" s="453"/>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3"/>
      <c r="L273" s="453"/>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3"/>
      <c r="L274" s="453"/>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3"/>
      <c r="L275" s="453"/>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3"/>
      <c r="L276" s="453"/>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3"/>
      <c r="L277" s="453"/>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3"/>
      <c r="L278" s="453"/>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3"/>
      <c r="L279" s="453"/>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3"/>
      <c r="L280" s="453"/>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3"/>
      <c r="L281" s="453"/>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3"/>
      <c r="L282" s="453"/>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3"/>
      <c r="L283" s="453"/>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3"/>
      <c r="L284" s="453"/>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3"/>
      <c r="L285" s="453"/>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3"/>
      <c r="L286" s="453"/>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3"/>
      <c r="L287" s="453"/>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3"/>
      <c r="L288" s="453"/>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3"/>
      <c r="L289" s="453"/>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3"/>
      <c r="L290" s="453"/>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3"/>
      <c r="L291" s="453"/>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3"/>
      <c r="L292" s="453"/>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3"/>
      <c r="L293" s="453"/>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3"/>
      <c r="L294" s="453"/>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3"/>
      <c r="L295" s="453"/>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3"/>
      <c r="L296" s="453"/>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3"/>
      <c r="L297" s="453"/>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3"/>
      <c r="L298" s="453"/>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3"/>
      <c r="L299" s="453"/>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3"/>
      <c r="L300" s="453"/>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3"/>
      <c r="L301" s="453"/>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3"/>
      <c r="L302" s="453"/>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3"/>
      <c r="L303" s="453"/>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3"/>
      <c r="L304" s="453"/>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3"/>
      <c r="L305" s="453"/>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3"/>
      <c r="L306" s="453"/>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3"/>
      <c r="L307" s="453"/>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3"/>
      <c r="L308" s="453"/>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3"/>
      <c r="L309" s="453"/>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3"/>
      <c r="L310" s="453"/>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3"/>
      <c r="L311" s="453"/>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3"/>
      <c r="L312" s="453"/>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3"/>
      <c r="L313" s="453"/>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3"/>
      <c r="L314" s="453"/>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3"/>
      <c r="L315" s="453"/>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3"/>
      <c r="L316" s="453"/>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3"/>
      <c r="L317" s="453"/>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3"/>
      <c r="L318" s="453"/>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3"/>
      <c r="L319" s="453"/>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3"/>
      <c r="L320" s="453"/>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3"/>
      <c r="L321" s="453"/>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3"/>
      <c r="L322" s="453"/>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3"/>
      <c r="L323" s="453"/>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3"/>
      <c r="L324" s="453"/>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3"/>
      <c r="L325" s="453"/>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3"/>
      <c r="L326" s="453"/>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3"/>
      <c r="L327" s="453"/>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3"/>
      <c r="L328" s="453"/>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3"/>
      <c r="L329" s="453"/>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3"/>
      <c r="L330" s="453"/>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3"/>
      <c r="L331" s="453"/>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3"/>
      <c r="L332" s="453"/>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3"/>
      <c r="L333" s="453"/>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3"/>
      <c r="L334" s="453"/>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3"/>
      <c r="L335" s="453"/>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3"/>
      <c r="L336" s="453"/>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3"/>
      <c r="L337" s="453"/>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3"/>
      <c r="L338" s="453"/>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3"/>
      <c r="L339" s="453"/>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3"/>
      <c r="L340" s="453"/>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3"/>
      <c r="L341" s="453"/>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3"/>
      <c r="L342" s="453"/>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3"/>
      <c r="L343" s="453"/>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3"/>
      <c r="L344" s="453"/>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3"/>
      <c r="L345" s="453"/>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3"/>
      <c r="L346" s="453"/>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3"/>
      <c r="L347" s="453"/>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3"/>
      <c r="L348" s="453"/>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3"/>
      <c r="L349" s="453"/>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3"/>
      <c r="L350" s="453"/>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3"/>
      <c r="L351" s="453"/>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3"/>
      <c r="L352" s="453"/>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3"/>
      <c r="L353" s="453"/>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3"/>
      <c r="L354" s="453"/>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3"/>
      <c r="L355" s="453"/>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3"/>
      <c r="L356" s="453"/>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3"/>
      <c r="L357" s="453"/>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3"/>
      <c r="L358" s="453"/>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3"/>
      <c r="L359" s="453"/>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3"/>
      <c r="L360" s="453"/>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3"/>
      <c r="L361" s="453"/>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3"/>
      <c r="L362" s="453"/>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3"/>
      <c r="L363" s="453"/>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3"/>
      <c r="L364" s="453"/>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3"/>
      <c r="L365" s="453"/>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3"/>
      <c r="L366" s="453"/>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3"/>
      <c r="L367" s="453"/>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3"/>
      <c r="L368" s="453"/>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3"/>
      <c r="L369" s="453"/>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3"/>
      <c r="L370" s="453"/>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3"/>
      <c r="L371" s="453"/>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3"/>
      <c r="L372" s="453"/>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3"/>
      <c r="L373" s="453"/>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3"/>
      <c r="L374" s="453"/>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3"/>
      <c r="L375" s="453"/>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3"/>
      <c r="L376" s="453"/>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3"/>
      <c r="L377" s="453"/>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3"/>
      <c r="L378" s="453"/>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3"/>
      <c r="L379" s="453"/>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3"/>
      <c r="L380" s="453"/>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3"/>
      <c r="L381" s="453"/>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3"/>
      <c r="L382" s="453"/>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3"/>
      <c r="L383" s="453"/>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3"/>
      <c r="L384" s="453"/>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3"/>
      <c r="L385" s="453"/>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3"/>
      <c r="L386" s="453"/>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3"/>
      <c r="L387" s="453"/>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3"/>
      <c r="L388" s="453"/>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3"/>
      <c r="L389" s="453"/>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3"/>
      <c r="L390" s="453"/>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3"/>
      <c r="L391" s="453"/>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3"/>
      <c r="L392" s="453"/>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3"/>
      <c r="L393" s="453"/>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3"/>
      <c r="L394" s="453"/>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3"/>
      <c r="L395" s="453"/>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3"/>
      <c r="L396" s="453"/>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3"/>
      <c r="L397" s="453"/>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3"/>
      <c r="L398" s="453"/>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3"/>
      <c r="L399" s="453"/>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3"/>
      <c r="L400" s="453"/>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3"/>
      <c r="L401" s="453"/>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3"/>
      <c r="L402" s="453"/>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3"/>
      <c r="L403" s="453"/>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3"/>
      <c r="L404" s="453"/>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3"/>
      <c r="L405" s="453"/>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3"/>
      <c r="L406" s="453"/>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3"/>
      <c r="L407" s="453"/>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3"/>
      <c r="L408" s="453"/>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3"/>
      <c r="L409" s="453"/>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3"/>
      <c r="L410" s="453"/>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3"/>
      <c r="L411" s="453"/>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3"/>
      <c r="L412" s="453"/>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3"/>
      <c r="L413" s="453"/>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3"/>
      <c r="L414" s="453"/>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3"/>
      <c r="L415" s="453"/>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3"/>
      <c r="L416" s="453"/>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3"/>
      <c r="L417" s="453"/>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3"/>
      <c r="L418" s="453"/>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3"/>
      <c r="L419" s="453"/>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3"/>
      <c r="L420" s="453"/>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3"/>
      <c r="L421" s="453"/>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3"/>
      <c r="L422" s="453"/>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3"/>
      <c r="L423" s="453"/>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3"/>
      <c r="L424" s="453"/>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3"/>
      <c r="L425" s="453"/>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3"/>
      <c r="L426" s="453"/>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3"/>
      <c r="L427" s="453"/>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3"/>
      <c r="L428" s="453"/>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3"/>
      <c r="L429" s="453"/>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3"/>
      <c r="L430" s="453"/>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3"/>
      <c r="L431" s="453"/>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3"/>
      <c r="L432" s="453"/>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3"/>
      <c r="L433" s="453"/>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3"/>
      <c r="L434" s="453"/>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3"/>
      <c r="L435" s="453"/>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3"/>
      <c r="L436" s="453"/>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3"/>
      <c r="L437" s="453"/>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3"/>
      <c r="L438" s="453"/>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3"/>
      <c r="L439" s="453"/>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3"/>
      <c r="L440" s="453"/>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3"/>
      <c r="L441" s="453"/>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3"/>
      <c r="L442" s="453"/>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3"/>
      <c r="L443" s="453"/>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3"/>
      <c r="L444" s="453"/>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3"/>
      <c r="L445" s="453"/>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3"/>
      <c r="L446" s="453"/>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3"/>
      <c r="L447" s="453"/>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3"/>
      <c r="L448" s="453"/>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3"/>
      <c r="L449" s="453"/>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3"/>
      <c r="L450" s="453"/>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3"/>
      <c r="L451" s="453"/>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3"/>
      <c r="L452" s="453"/>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3"/>
      <c r="L453" s="453"/>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3"/>
      <c r="L454" s="453"/>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3"/>
      <c r="L455" s="453"/>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3"/>
      <c r="L456" s="453"/>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3"/>
      <c r="L457" s="453"/>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3"/>
      <c r="L458" s="453"/>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3"/>
      <c r="L459" s="453"/>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3"/>
      <c r="L460" s="453"/>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3"/>
      <c r="L461" s="453"/>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3"/>
      <c r="L462" s="453"/>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3"/>
      <c r="L463" s="453"/>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3"/>
      <c r="L464" s="453"/>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3"/>
      <c r="L465" s="453"/>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3"/>
      <c r="L466" s="453"/>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3"/>
      <c r="L467" s="453"/>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3"/>
      <c r="L468" s="453"/>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3"/>
      <c r="L469" s="453"/>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3"/>
      <c r="L470" s="453"/>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3"/>
      <c r="L471" s="453"/>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3"/>
      <c r="L472" s="453"/>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3"/>
      <c r="L473" s="453"/>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3"/>
      <c r="L474" s="453"/>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3"/>
      <c r="L475" s="453"/>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3"/>
      <c r="L476" s="453"/>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3"/>
      <c r="L477" s="453"/>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3"/>
      <c r="L478" s="453"/>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3"/>
      <c r="L479" s="453"/>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3"/>
      <c r="L480" s="453"/>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3"/>
      <c r="L481" s="453"/>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3"/>
      <c r="L482" s="453"/>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3"/>
      <c r="L483" s="453"/>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3"/>
      <c r="L484" s="453"/>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3"/>
      <c r="L485" s="453"/>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3"/>
      <c r="L486" s="453"/>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3"/>
      <c r="L487" s="453"/>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3"/>
      <c r="L488" s="453"/>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3"/>
      <c r="L489" s="453"/>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3"/>
      <c r="L490" s="453"/>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3"/>
      <c r="L491" s="453"/>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3"/>
      <c r="L492" s="453"/>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3"/>
      <c r="L493" s="453"/>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3"/>
      <c r="L494" s="453"/>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3"/>
      <c r="L495" s="453"/>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3"/>
      <c r="L496" s="453"/>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3"/>
      <c r="L497" s="453"/>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3"/>
      <c r="L498" s="453"/>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3"/>
      <c r="L499" s="453"/>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3"/>
      <c r="L500" s="453"/>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3"/>
      <c r="L501" s="453"/>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3"/>
      <c r="L502" s="453"/>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3"/>
      <c r="L503" s="453"/>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3"/>
      <c r="L504" s="453"/>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3"/>
      <c r="L505" s="453"/>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3"/>
      <c r="L506" s="453"/>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3"/>
      <c r="L507" s="453"/>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3"/>
      <c r="L508" s="453"/>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3"/>
      <c r="L509" s="453"/>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3"/>
      <c r="L510" s="453"/>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3"/>
      <c r="L511" s="453"/>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3"/>
      <c r="L512" s="453"/>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3"/>
      <c r="L513" s="453"/>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3"/>
      <c r="L514" s="453"/>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3"/>
      <c r="L515" s="453"/>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3"/>
      <c r="L516" s="453"/>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3"/>
      <c r="L517" s="453"/>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3"/>
      <c r="L518" s="453"/>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3"/>
      <c r="L519" s="453"/>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3"/>
      <c r="L520" s="453"/>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3"/>
      <c r="L521" s="453"/>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3"/>
      <c r="L522" s="453"/>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3"/>
      <c r="L523" s="453"/>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3"/>
      <c r="L524" s="453"/>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3"/>
      <c r="L525" s="453"/>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3"/>
      <c r="L526" s="453"/>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3"/>
      <c r="L527" s="453"/>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3"/>
      <c r="L528" s="453"/>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3"/>
      <c r="L529" s="453"/>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3"/>
      <c r="L530" s="453"/>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3"/>
      <c r="L531" s="453"/>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3"/>
      <c r="L532" s="453"/>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3"/>
      <c r="L533" s="453"/>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3"/>
      <c r="L534" s="453"/>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3"/>
      <c r="L535" s="453"/>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3"/>
      <c r="L536" s="453"/>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3"/>
      <c r="L537" s="453"/>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3"/>
      <c r="L538" s="453"/>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3"/>
      <c r="L539" s="453"/>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3"/>
      <c r="L540" s="453"/>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3"/>
      <c r="L541" s="453"/>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3"/>
      <c r="L542" s="453"/>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3"/>
      <c r="L543" s="453"/>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3"/>
      <c r="L544" s="453"/>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3"/>
      <c r="L545" s="453"/>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3"/>
      <c r="L546" s="453"/>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3"/>
      <c r="L547" s="453"/>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3"/>
      <c r="L548" s="453"/>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3"/>
      <c r="L549" s="453"/>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3"/>
      <c r="L550" s="453"/>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3"/>
      <c r="L551" s="453"/>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3"/>
      <c r="L552" s="453"/>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3"/>
      <c r="L553" s="453"/>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3"/>
      <c r="L554" s="453"/>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3"/>
      <c r="L555" s="453"/>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3"/>
      <c r="L556" s="453"/>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3"/>
      <c r="L557" s="453"/>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3"/>
      <c r="L558" s="453"/>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3"/>
      <c r="L559" s="453"/>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3"/>
      <c r="L560" s="453"/>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3"/>
      <c r="L561" s="453"/>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3"/>
      <c r="L562" s="453"/>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3"/>
      <c r="L563" s="453"/>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3"/>
      <c r="L564" s="453"/>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3"/>
      <c r="L565" s="453"/>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3"/>
      <c r="L566" s="453"/>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3"/>
      <c r="L567" s="453"/>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3"/>
      <c r="L568" s="453"/>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3"/>
      <c r="L569" s="453"/>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3"/>
      <c r="L570" s="453"/>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3"/>
      <c r="L571" s="453"/>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3"/>
      <c r="L572" s="453"/>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3"/>
      <c r="L573" s="453"/>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3"/>
      <c r="L574" s="453"/>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3"/>
      <c r="L575" s="453"/>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3"/>
      <c r="L576" s="453"/>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3"/>
      <c r="L577" s="453"/>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3"/>
      <c r="L578" s="453"/>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3"/>
      <c r="L579" s="453"/>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3"/>
      <c r="L580" s="453"/>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3"/>
      <c r="L581" s="453"/>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3"/>
      <c r="L582" s="453"/>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3"/>
      <c r="L583" s="453"/>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3"/>
      <c r="L584" s="453"/>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3"/>
      <c r="L585" s="453"/>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3"/>
      <c r="L586" s="453"/>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3"/>
      <c r="L587" s="453"/>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3"/>
      <c r="L588" s="453"/>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3"/>
      <c r="L589" s="453"/>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3"/>
      <c r="L590" s="453"/>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3"/>
      <c r="L591" s="453"/>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3"/>
      <c r="L592" s="453"/>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3"/>
      <c r="L593" s="453"/>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3"/>
      <c r="L594" s="453"/>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3"/>
      <c r="L595" s="453"/>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3"/>
      <c r="L596" s="453"/>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3"/>
      <c r="L597" s="453"/>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3"/>
      <c r="L598" s="453"/>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3"/>
      <c r="L599" s="453"/>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3"/>
      <c r="L600" s="453"/>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3"/>
      <c r="L601" s="453"/>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3"/>
      <c r="L602" s="453"/>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3"/>
      <c r="L603" s="453"/>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3"/>
      <c r="L604" s="453"/>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3"/>
      <c r="L605" s="453"/>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3"/>
      <c r="L606" s="453"/>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3"/>
      <c r="L607" s="453"/>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3"/>
      <c r="L608" s="453"/>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3"/>
      <c r="L609" s="453"/>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3"/>
      <c r="L610" s="453"/>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3"/>
      <c r="L611" s="453"/>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3"/>
      <c r="L612" s="453"/>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3"/>
      <c r="L613" s="453"/>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3"/>
      <c r="L614" s="453"/>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3"/>
      <c r="L615" s="453"/>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3"/>
      <c r="L616" s="453"/>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3"/>
      <c r="L617" s="453"/>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3"/>
      <c r="L618" s="453"/>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3"/>
      <c r="L619" s="453"/>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3"/>
      <c r="L620" s="453"/>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3"/>
      <c r="L621" s="453"/>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3"/>
      <c r="L622" s="453"/>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3"/>
      <c r="L623" s="453"/>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3"/>
      <c r="L624" s="453"/>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3"/>
      <c r="L625" s="453"/>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3"/>
      <c r="L626" s="453"/>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3"/>
      <c r="L627" s="453"/>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3"/>
      <c r="L628" s="453"/>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3"/>
      <c r="L629" s="453"/>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3"/>
      <c r="L630" s="453"/>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3"/>
      <c r="L631" s="453"/>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3"/>
      <c r="L632" s="453"/>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3"/>
      <c r="L633" s="453"/>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3"/>
      <c r="L634" s="453"/>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3"/>
      <c r="L635" s="453"/>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3"/>
      <c r="L636" s="453"/>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3"/>
      <c r="L637" s="453"/>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3"/>
      <c r="L638" s="453"/>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3"/>
      <c r="L639" s="453"/>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3"/>
      <c r="L640" s="453"/>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3"/>
      <c r="L641" s="453"/>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3"/>
      <c r="L642" s="453"/>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3"/>
      <c r="L643" s="453"/>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3"/>
      <c r="L644" s="453"/>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3"/>
      <c r="L645" s="453"/>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3"/>
      <c r="L646" s="453"/>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3"/>
      <c r="L647" s="453"/>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3"/>
      <c r="L648" s="453"/>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3"/>
      <c r="L649" s="453"/>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3"/>
      <c r="L650" s="453"/>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3"/>
      <c r="L651" s="453"/>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3"/>
      <c r="L652" s="453"/>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3"/>
      <c r="L653" s="453"/>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3"/>
      <c r="L654" s="453"/>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3"/>
      <c r="L655" s="453"/>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3"/>
      <c r="L656" s="453"/>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3"/>
      <c r="L657" s="453"/>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3"/>
      <c r="L658" s="453"/>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3"/>
      <c r="L659" s="453"/>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3"/>
      <c r="L660" s="453"/>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3"/>
      <c r="L661" s="453"/>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3"/>
      <c r="L662" s="453"/>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3"/>
      <c r="L663" s="453"/>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3"/>
      <c r="L664" s="453"/>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3"/>
      <c r="L665" s="453"/>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3"/>
      <c r="L666" s="453"/>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3"/>
      <c r="L667" s="453"/>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3"/>
      <c r="L668" s="453"/>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3"/>
      <c r="L669" s="453"/>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3"/>
      <c r="L670" s="453"/>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3"/>
      <c r="L671" s="453"/>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3"/>
      <c r="L672" s="453"/>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3"/>
      <c r="L673" s="453"/>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3"/>
      <c r="L674" s="453"/>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3"/>
      <c r="L675" s="453"/>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3"/>
      <c r="L676" s="453"/>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3"/>
      <c r="L677" s="453"/>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3"/>
      <c r="L678" s="453"/>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3"/>
      <c r="L679" s="453"/>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3"/>
      <c r="L680" s="453"/>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3"/>
      <c r="L681" s="453"/>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3"/>
      <c r="L682" s="453"/>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3"/>
      <c r="L683" s="453"/>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3"/>
      <c r="L684" s="453"/>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3"/>
      <c r="L685" s="453"/>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3"/>
      <c r="L686" s="453"/>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3"/>
      <c r="L687" s="453"/>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3"/>
      <c r="L688" s="453"/>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3"/>
      <c r="L689" s="453"/>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3"/>
      <c r="L690" s="453"/>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3"/>
      <c r="L691" s="453"/>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3"/>
      <c r="L692" s="453"/>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3"/>
      <c r="L693" s="453"/>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3"/>
      <c r="L694" s="453"/>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3"/>
      <c r="L695" s="453"/>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3"/>
      <c r="L696" s="453"/>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3"/>
      <c r="L697" s="453"/>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3"/>
      <c r="L698" s="453"/>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3"/>
      <c r="L699" s="453"/>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3"/>
      <c r="L700" s="453"/>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3"/>
      <c r="L701" s="453"/>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3"/>
      <c r="L702" s="453"/>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3"/>
      <c r="L703" s="453"/>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3"/>
      <c r="L704" s="453"/>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3"/>
      <c r="L705" s="453"/>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3"/>
      <c r="L706" s="453"/>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3"/>
      <c r="L707" s="453"/>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3"/>
      <c r="L708" s="453"/>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3"/>
      <c r="L709" s="453"/>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3"/>
      <c r="L710" s="453"/>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3"/>
      <c r="L711" s="453"/>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3"/>
      <c r="L712" s="453"/>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3"/>
      <c r="L713" s="453"/>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3"/>
      <c r="L714" s="453"/>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3"/>
      <c r="L715" s="453"/>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3"/>
      <c r="L716" s="453"/>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3"/>
      <c r="L717" s="453"/>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3"/>
      <c r="L718" s="453"/>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3"/>
      <c r="L719" s="453"/>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3"/>
      <c r="L720" s="453"/>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3"/>
      <c r="L721" s="453"/>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3"/>
      <c r="L722" s="453"/>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3"/>
      <c r="L723" s="453"/>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3"/>
      <c r="L724" s="453"/>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3"/>
      <c r="L725" s="453"/>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3"/>
      <c r="L726" s="453"/>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3"/>
      <c r="L727" s="453"/>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3"/>
      <c r="L728" s="453"/>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3"/>
      <c r="L729" s="453"/>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3"/>
      <c r="L730" s="453"/>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3"/>
      <c r="L731" s="453"/>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3"/>
      <c r="L732" s="453"/>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3"/>
      <c r="L733" s="453"/>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3"/>
      <c r="L734" s="453"/>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3"/>
      <c r="L735" s="453"/>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3"/>
      <c r="L736" s="453"/>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3"/>
      <c r="L737" s="453"/>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3"/>
      <c r="L738" s="453"/>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3"/>
      <c r="L739" s="453"/>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3"/>
      <c r="L740" s="453"/>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3"/>
      <c r="L741" s="453"/>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3"/>
      <c r="L742" s="453"/>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3"/>
      <c r="L743" s="453"/>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3"/>
      <c r="L744" s="453"/>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3"/>
      <c r="L745" s="453"/>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3"/>
      <c r="L746" s="453"/>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3"/>
      <c r="L747" s="453"/>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3"/>
      <c r="L748" s="453"/>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3"/>
      <c r="L749" s="453"/>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3"/>
      <c r="L750" s="453"/>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3"/>
      <c r="L751" s="453"/>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3"/>
      <c r="L752" s="453"/>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3"/>
      <c r="L753" s="453"/>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3"/>
      <c r="L754" s="453"/>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3"/>
      <c r="L755" s="453"/>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3"/>
      <c r="L756" s="453"/>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3"/>
      <c r="L757" s="453"/>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3"/>
      <c r="L758" s="453"/>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3"/>
      <c r="L759" s="453"/>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3"/>
      <c r="L760" s="453"/>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3"/>
      <c r="L761" s="453"/>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3"/>
      <c r="L762" s="453"/>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3"/>
      <c r="L763" s="453"/>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3"/>
      <c r="L764" s="453"/>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3"/>
      <c r="L765" s="453"/>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3"/>
      <c r="L766" s="453"/>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3"/>
      <c r="L767" s="453"/>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3"/>
      <c r="L768" s="453"/>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3"/>
      <c r="L769" s="453"/>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3"/>
      <c r="L770" s="453"/>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3"/>
      <c r="L771" s="453"/>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3"/>
      <c r="L772" s="453"/>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3"/>
      <c r="L773" s="453"/>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3"/>
      <c r="L774" s="453"/>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3"/>
      <c r="L775" s="453"/>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3"/>
      <c r="L776" s="453"/>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3"/>
      <c r="L777" s="453"/>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3"/>
      <c r="L778" s="453"/>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3"/>
      <c r="L779" s="453"/>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3"/>
      <c r="L780" s="453"/>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3"/>
      <c r="L781" s="453"/>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3"/>
      <c r="L782" s="453"/>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3"/>
      <c r="L783" s="453"/>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3"/>
      <c r="L784" s="453"/>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3"/>
      <c r="L785" s="453"/>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3"/>
      <c r="L786" s="453"/>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3"/>
      <c r="L787" s="453"/>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3"/>
      <c r="L788" s="453"/>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3"/>
      <c r="L789" s="453"/>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3"/>
      <c r="L790" s="453"/>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3"/>
      <c r="L791" s="453"/>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3"/>
      <c r="L792" s="453"/>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3"/>
      <c r="L793" s="453"/>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3"/>
      <c r="L794" s="453"/>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3"/>
      <c r="L795" s="453"/>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3"/>
      <c r="L796" s="453"/>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3"/>
      <c r="L797" s="453"/>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3"/>
      <c r="L798" s="453"/>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3"/>
      <c r="L799" s="453"/>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3"/>
      <c r="L800" s="453"/>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3"/>
      <c r="L801" s="453"/>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3"/>
      <c r="L802" s="453"/>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3"/>
      <c r="L803" s="453"/>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3"/>
      <c r="L804" s="453"/>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3"/>
      <c r="L805" s="453"/>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3"/>
      <c r="L806" s="453"/>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3"/>
      <c r="L807" s="453"/>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3"/>
      <c r="L808" s="453"/>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3"/>
      <c r="L809" s="453"/>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3"/>
      <c r="L810" s="453"/>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3"/>
      <c r="L811" s="453"/>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3"/>
      <c r="L812" s="453"/>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3"/>
      <c r="L813" s="453"/>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3"/>
      <c r="L814" s="453"/>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3"/>
      <c r="L815" s="453"/>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3"/>
      <c r="L816" s="453"/>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3"/>
      <c r="L817" s="453"/>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3"/>
      <c r="L818" s="453"/>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3"/>
      <c r="L819" s="453"/>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3"/>
      <c r="L820" s="453"/>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3"/>
      <c r="L821" s="453"/>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3"/>
      <c r="L822" s="453"/>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3"/>
      <c r="L823" s="453"/>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3"/>
      <c r="L824" s="453"/>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3"/>
      <c r="L825" s="453"/>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3"/>
      <c r="L826" s="453"/>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3"/>
      <c r="L827" s="453"/>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3"/>
      <c r="L828" s="453"/>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3"/>
      <c r="L829" s="453"/>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3"/>
      <c r="L830" s="453"/>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3"/>
      <c r="L831" s="453"/>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3"/>
      <c r="L832" s="453"/>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3"/>
      <c r="L833" s="453"/>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3"/>
      <c r="L834" s="453"/>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3"/>
      <c r="L835" s="453"/>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3"/>
      <c r="L836" s="453"/>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3"/>
      <c r="L837" s="453"/>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3"/>
      <c r="L838" s="453"/>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3"/>
      <c r="L839" s="453"/>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3"/>
      <c r="L840" s="453"/>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3"/>
      <c r="L841" s="453"/>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3"/>
      <c r="L842" s="453"/>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3"/>
      <c r="L843" s="453"/>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3"/>
      <c r="L844" s="453"/>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3"/>
      <c r="L845" s="453"/>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3"/>
      <c r="L846" s="453"/>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3"/>
      <c r="L847" s="453"/>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3"/>
      <c r="L848" s="453"/>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3"/>
      <c r="L849" s="453"/>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3"/>
      <c r="L850" s="453"/>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3"/>
      <c r="L851" s="453"/>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3"/>
      <c r="L852" s="453"/>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3"/>
      <c r="L853" s="453"/>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3"/>
      <c r="L854" s="453"/>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3"/>
      <c r="L855" s="453"/>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3"/>
      <c r="L856" s="453"/>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3"/>
      <c r="L857" s="453"/>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3"/>
      <c r="L858" s="453"/>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3"/>
      <c r="L859" s="453"/>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3"/>
      <c r="L860" s="453"/>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3"/>
      <c r="L861" s="453"/>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3"/>
      <c r="L862" s="453"/>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3"/>
      <c r="L863" s="453"/>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3"/>
      <c r="L864" s="453"/>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3"/>
      <c r="L865" s="453"/>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3"/>
      <c r="L866" s="453"/>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3"/>
      <c r="L867" s="453"/>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3"/>
      <c r="L868" s="453"/>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3"/>
      <c r="L869" s="453"/>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3"/>
      <c r="L870" s="453"/>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3"/>
      <c r="L871" s="453"/>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3"/>
      <c r="L872" s="453"/>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3"/>
      <c r="L873" s="453"/>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3"/>
      <c r="L874" s="453"/>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3"/>
      <c r="L875" s="453"/>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3"/>
      <c r="L876" s="453"/>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3"/>
      <c r="L877" s="453"/>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3"/>
      <c r="L878" s="453"/>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3"/>
      <c r="L879" s="453"/>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3"/>
      <c r="L880" s="453"/>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3"/>
      <c r="L881" s="453"/>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3"/>
      <c r="L882" s="453"/>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3"/>
      <c r="L883" s="453"/>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3"/>
      <c r="L884" s="453"/>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3"/>
      <c r="L885" s="453"/>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3"/>
      <c r="L886" s="453"/>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3"/>
      <c r="L887" s="453"/>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3"/>
      <c r="L888" s="453"/>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3"/>
      <c r="L889" s="453"/>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3"/>
      <c r="L890" s="453"/>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3"/>
      <c r="L891" s="453"/>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3"/>
      <c r="L892" s="453"/>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3"/>
      <c r="L893" s="453"/>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3"/>
      <c r="L894" s="453"/>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3"/>
      <c r="L895" s="453"/>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3"/>
      <c r="L896" s="453"/>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3"/>
      <c r="L897" s="453"/>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3"/>
      <c r="L898" s="453"/>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3"/>
      <c r="L899" s="453"/>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3"/>
      <c r="L900" s="453"/>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3"/>
      <c r="L901" s="453"/>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3"/>
      <c r="L902" s="453"/>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3"/>
      <c r="L903" s="453"/>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3"/>
      <c r="L904" s="453"/>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3"/>
      <c r="L905" s="453"/>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3"/>
      <c r="L906" s="453"/>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3"/>
      <c r="L907" s="453"/>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3"/>
      <c r="L908" s="453"/>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3"/>
      <c r="L909" s="453"/>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3"/>
      <c r="L910" s="453"/>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3"/>
      <c r="L911" s="453"/>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3"/>
      <c r="L912" s="453"/>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3"/>
      <c r="L913" s="453"/>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3"/>
      <c r="L914" s="453"/>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3"/>
      <c r="L915" s="453"/>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3"/>
      <c r="L916" s="453"/>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3"/>
      <c r="L917" s="453"/>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3"/>
      <c r="L918" s="453"/>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3"/>
      <c r="L919" s="453"/>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3"/>
      <c r="L920" s="453"/>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3"/>
      <c r="L921" s="453"/>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3"/>
      <c r="L922" s="453"/>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3"/>
      <c r="L923" s="453"/>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3"/>
      <c r="L924" s="453"/>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3"/>
      <c r="L925" s="453"/>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3"/>
      <c r="L926" s="453"/>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3"/>
      <c r="L927" s="453"/>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3"/>
      <c r="L928" s="453"/>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3"/>
      <c r="L929" s="453"/>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3"/>
      <c r="L930" s="453"/>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3"/>
      <c r="L931" s="453"/>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3"/>
      <c r="L932" s="453"/>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3"/>
      <c r="L933" s="453"/>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3"/>
      <c r="L934" s="453"/>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3"/>
      <c r="L935" s="453"/>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3"/>
      <c r="L936" s="453"/>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3"/>
      <c r="L937" s="453"/>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3"/>
      <c r="L938" s="453"/>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3"/>
      <c r="L939" s="453"/>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3"/>
      <c r="L940" s="453"/>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3"/>
      <c r="L941" s="453"/>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3"/>
      <c r="L942" s="453"/>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3"/>
      <c r="L943" s="453"/>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3"/>
      <c r="L944" s="453"/>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3"/>
      <c r="L945" s="453"/>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3"/>
      <c r="L946" s="453"/>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3"/>
      <c r="L947" s="453"/>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3"/>
      <c r="L948" s="453"/>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3"/>
      <c r="L949" s="453"/>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3"/>
      <c r="L950" s="453"/>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3"/>
      <c r="L951" s="453"/>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3"/>
      <c r="L952" s="453"/>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3"/>
      <c r="L953" s="453"/>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3"/>
      <c r="L954" s="453"/>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3"/>
      <c r="L955" s="453"/>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3"/>
      <c r="L956" s="453"/>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3"/>
      <c r="L957" s="453"/>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3"/>
      <c r="L958" s="453"/>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3"/>
      <c r="L959" s="453"/>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3"/>
      <c r="L960" s="453"/>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3"/>
      <c r="L961" s="453"/>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3"/>
      <c r="L962" s="453"/>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3"/>
      <c r="L963" s="453"/>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3"/>
      <c r="L964" s="453"/>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3"/>
      <c r="L965" s="453"/>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3"/>
      <c r="L966" s="453"/>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3"/>
      <c r="L967" s="453"/>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3"/>
      <c r="L968" s="453"/>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3"/>
      <c r="L969" s="453"/>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3"/>
      <c r="L970" s="453"/>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3"/>
      <c r="L971" s="453"/>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3"/>
      <c r="L972" s="453"/>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3"/>
      <c r="L973" s="453"/>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3"/>
      <c r="L974" s="453"/>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3"/>
      <c r="L975" s="453"/>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3"/>
      <c r="L976" s="453"/>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3"/>
      <c r="L977" s="453"/>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3"/>
      <c r="L978" s="453"/>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3"/>
      <c r="L979" s="453"/>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3"/>
      <c r="L980" s="453"/>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3"/>
      <c r="L981" s="453"/>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3"/>
      <c r="L982" s="453"/>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3"/>
      <c r="L983" s="453"/>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3"/>
      <c r="L984" s="453"/>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3"/>
      <c r="L985" s="453"/>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3"/>
      <c r="L986" s="453"/>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3"/>
      <c r="L987" s="453"/>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3"/>
      <c r="L988" s="453"/>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3"/>
      <c r="L989" s="453"/>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3"/>
      <c r="L990" s="453"/>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3"/>
      <c r="L991" s="453"/>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3"/>
      <c r="L992" s="453"/>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3"/>
      <c r="L993" s="453"/>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3"/>
      <c r="L994" s="453"/>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3"/>
      <c r="L995" s="453"/>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3"/>
      <c r="L996" s="453"/>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3"/>
      <c r="L997" s="453"/>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3"/>
      <c r="L998" s="453"/>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3"/>
      <c r="L999" s="453"/>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3"/>
      <c r="L1000" s="453"/>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