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udies/UofT - Data Analytics/GitLab/Challenges/"/>
    </mc:Choice>
  </mc:AlternateContent>
  <xr:revisionPtr revIDLastSave="0" documentId="13_ncr:1_{C7748E81-2683-114D-9F5B-A56FD28FB565}" xr6:coauthVersionLast="47" xr6:coauthVersionMax="47" xr10:uidLastSave="{00000000-0000-0000-0000-000000000000}"/>
  <bookViews>
    <workbookView xWindow="17380" yWindow="-21100" windowWidth="30920" windowHeight="18100" activeTab="5" xr2:uid="{00000000-000D-0000-FFFF-FFFF00000000}"/>
  </bookViews>
  <sheets>
    <sheet name="Crowdfunding" sheetId="1" r:id="rId1"/>
    <sheet name="Pivot Category" sheetId="2" r:id="rId2"/>
    <sheet name="Pivot sub-category" sheetId="3" r:id="rId3"/>
    <sheet name="Pivot Chart" sheetId="5" r:id="rId4"/>
    <sheet name="Goal Analysis" sheetId="7" r:id="rId5"/>
    <sheet name="Statistical Analysis" sheetId="8" r:id="rId6"/>
  </sheets>
  <definedNames>
    <definedName name="_xlnm._FilterDatabase" localSheetId="0" hidden="1">Crowdfunding!$A$1:$T$1001</definedName>
    <definedName name="_xlnm._FilterDatabase" localSheetId="5" hidden="1">'Statistical Analysis'!$O$2:$P$42</definedName>
    <definedName name="_xlchart.v1.0" hidden="1">'Statistical Analysis'!$P$2</definedName>
    <definedName name="_xlchart.v1.1" hidden="1">'Statistical Analysis'!$P$3:$P$42</definedName>
    <definedName name="_xlchart.v1.2" hidden="1">'Statistical Analysis'!$E$2</definedName>
    <definedName name="_xlchart.v1.3" hidden="1">'Statistical Analysis'!$E$3:$E$42</definedName>
    <definedName name="backers_no">'Statistical Analysis'!$P$3:$P$42</definedName>
    <definedName name="backers_yes">'Statistical Analysis'!$E$3:$E$42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8" l="1"/>
  <c r="M8" i="8"/>
  <c r="M7" i="8"/>
  <c r="M6" i="8"/>
  <c r="M5" i="8"/>
  <c r="M4" i="8"/>
  <c r="B9" i="8"/>
  <c r="B8" i="8"/>
  <c r="B7" i="8"/>
  <c r="B6" i="8"/>
  <c r="B5" i="8"/>
  <c r="B4" i="8"/>
  <c r="M20" i="8" l="1"/>
  <c r="M19" i="8"/>
  <c r="M18" i="8"/>
  <c r="M17" i="8"/>
  <c r="B20" i="8"/>
  <c r="B19" i="8"/>
  <c r="B18" i="8"/>
  <c r="B17" i="8"/>
  <c r="M21" i="8" l="1"/>
  <c r="M24" i="8" s="1"/>
  <c r="B21" i="8"/>
  <c r="B23" i="8" s="1"/>
  <c r="M23" i="8" l="1"/>
  <c r="B24" i="8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B9" i="7"/>
  <c r="B8" i="7"/>
  <c r="B7" i="7"/>
  <c r="B6" i="7"/>
  <c r="B5" i="7"/>
  <c r="B4" i="7"/>
  <c r="B3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4" i="7" l="1"/>
  <c r="G4" i="7" s="1"/>
  <c r="E9" i="7"/>
  <c r="E12" i="7"/>
  <c r="H12" i="7" s="1"/>
  <c r="E8" i="7"/>
  <c r="F8" i="7" s="1"/>
  <c r="H8" i="7"/>
  <c r="H9" i="7"/>
  <c r="G8" i="7"/>
  <c r="H4" i="7"/>
  <c r="G9" i="7"/>
  <c r="E2" i="7"/>
  <c r="G2" i="7" s="1"/>
  <c r="E6" i="7"/>
  <c r="F6" i="7" s="1"/>
  <c r="E13" i="7"/>
  <c r="H13" i="7" s="1"/>
  <c r="E5" i="7"/>
  <c r="H5" i="7" s="1"/>
  <c r="F12" i="7"/>
  <c r="F4" i="7"/>
  <c r="F9" i="7"/>
  <c r="E11" i="7"/>
  <c r="G11" i="7" s="1"/>
  <c r="E3" i="7"/>
  <c r="H3" i="7" s="1"/>
  <c r="E10" i="7"/>
  <c r="E7" i="7"/>
  <c r="H7" i="7" s="1"/>
  <c r="G12" i="7" l="1"/>
  <c r="G5" i="7"/>
  <c r="G13" i="7"/>
  <c r="G3" i="7"/>
  <c r="F11" i="7"/>
  <c r="G7" i="7"/>
  <c r="F3" i="7"/>
  <c r="H2" i="7"/>
  <c r="F13" i="7"/>
  <c r="G10" i="7"/>
  <c r="H10" i="7"/>
  <c r="H6" i="7"/>
  <c r="F5" i="7"/>
  <c r="G6" i="7"/>
  <c r="F2" i="7"/>
  <c r="F7" i="7"/>
  <c r="F10" i="7"/>
  <c r="H11" i="7"/>
</calcChain>
</file>

<file path=xl/sharedStrings.xml><?xml version="1.0" encoding="utf-8"?>
<sst xmlns="http://schemas.openxmlformats.org/spreadsheetml/2006/main" count="6238" uniqueCount="2128">
  <si>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</si>
  <si>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</si>
  <si>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</si>
  <si>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</si>
  <si>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</si>
  <si>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</si>
  <si>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</si>
  <si>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</si>
  <si>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</si>
  <si>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</si>
  <si>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</si>
  <si>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</si>
  <si>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</si>
  <si>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</si>
  <si>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</si>
  <si>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</si>
  <si>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</si>
  <si>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</si>
  <si>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</si>
  <si>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</si>
  <si>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</si>
  <si>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</si>
  <si>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</si>
  <si>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</si>
  <si>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</si>
  <si>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</si>
  <si>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</si>
  <si>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</si>
  <si>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</si>
  <si>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</si>
  <si>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</si>
  <si>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</si>
  <si>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</si>
  <si>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</si>
  <si>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</si>
  <si>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</si>
  <si>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</si>
  <si>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</si>
  <si>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</si>
  <si>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</si>
  <si>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</si>
  <si>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</si>
  <si>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</si>
  <si>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</si>
  <si>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</si>
  <si>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</si>
  <si>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</si>
  <si>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</si>
  <si>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</si>
  <si>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</si>
  <si>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</si>
  <si>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</si>
  <si>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</si>
  <si>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</si>
  <si>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</si>
  <si>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</si>
  <si>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</si>
  <si>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</si>
  <si>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</si>
  <si>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</si>
  <si>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</si>
  <si>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</si>
  <si>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</si>
  <si>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</si>
  <si>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</si>
  <si>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</si>
  <si>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</si>
  <si>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</si>
  <si>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</si>
  <si>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</si>
  <si>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</si>
  <si>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</si>
  <si>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</si>
  <si>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</si>
  <si>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</si>
  <si>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</si>
  <si>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</si>
  <si>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</si>
  <si>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</si>
  <si>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</si>
  <si>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</si>
  <si>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</si>
  <si>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</si>
  <si>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</si>
  <si>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</si>
  <si>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</si>
  <si>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</si>
  <si>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</si>
  <si>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</si>
  <si>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</si>
  <si>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</si>
  <si>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</si>
  <si>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</si>
  <si>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</si>
  <si>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</si>
  <si>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</si>
  <si>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</si>
  <si>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</si>
  <si>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</si>
  <si>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</si>
  <si>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</si>
  <si>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</si>
  <si>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</si>
  <si>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</si>
  <si>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</si>
  <si>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</si>
  <si>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</si>
  <si>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</si>
  <si>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</si>
  <si>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</si>
  <si>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</si>
  <si>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</si>
  <si>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</si>
  <si>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</si>
  <si>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</si>
  <si>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</si>
  <si>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</si>
  <si>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</si>
  <si>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</si>
  <si>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</si>
  <si>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</si>
  <si>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</si>
  <si>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</si>
  <si>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</si>
  <si>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</si>
  <si>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</si>
  <si>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</si>
  <si>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</si>
  <si>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</si>
  <si>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</si>
  <si>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</si>
  <si>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</si>
  <si>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</si>
  <si>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</si>
  <si>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</si>
  <si>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</si>
  <si>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</si>
  <si>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</si>
  <si>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</si>
  <si>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</si>
  <si>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</si>
  <si>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</si>
  <si>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</si>
  <si>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</si>
  <si>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</si>
  <si>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</si>
  <si>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</si>
  <si>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</si>
  <si>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</si>
  <si>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</si>
  <si>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</si>
  <si>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</si>
  <si>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</si>
  <si>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</si>
  <si>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</si>
  <si>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</si>
  <si>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</si>
  <si>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</si>
  <si>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</si>
  <si>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</si>
  <si>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</si>
  <si>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</si>
  <si>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</si>
  <si>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</si>
  <si>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</si>
  <si>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</si>
  <si>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</si>
  <si>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</si>
  <si>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</si>
  <si>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</si>
  <si>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</si>
  <si>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</si>
  <si>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</si>
  <si>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</si>
  <si>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</si>
  <si>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</si>
  <si>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</si>
  <si>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</si>
  <si>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</si>
  <si>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</si>
  <si>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</si>
  <si>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</si>
  <si>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</si>
  <si>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</si>
  <si>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</si>
  <si>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</si>
  <si>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</si>
  <si>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</si>
  <si>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</si>
  <si>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</si>
  <si>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</si>
  <si>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</si>
  <si>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</si>
  <si>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</si>
  <si>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</si>
  <si>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</si>
  <si>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</si>
  <si>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</si>
  <si>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</si>
  <si>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</si>
  <si>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</si>
  <si>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</si>
  <si>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</si>
  <si>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</si>
  <si>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</si>
  <si>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</si>
  <si>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</si>
  <si>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</si>
  <si>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</si>
  <si>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</si>
  <si>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</si>
  <si>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</si>
  <si>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</si>
  <si>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</si>
  <si>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</si>
  <si>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</si>
  <si>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</si>
  <si>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</si>
  <si>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</si>
  <si>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</si>
  <si>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</si>
  <si>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</si>
  <si>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</si>
  <si>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</si>
  <si>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</si>
  <si>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</si>
  <si>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</si>
  <si>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</si>
  <si>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</si>
  <si>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</si>
  <si>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</si>
  <si>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</si>
  <si>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</si>
  <si>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</si>
  <si>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</si>
  <si>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</si>
  <si>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</si>
  <si>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</si>
  <si>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</si>
  <si>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</si>
  <si>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</si>
  <si>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</si>
  <si>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</si>
  <si>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</si>
  <si>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</si>
  <si>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</si>
  <si>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</si>
  <si>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</si>
  <si>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</si>
  <si>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</si>
  <si>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</si>
  <si>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</si>
  <si>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</si>
  <si>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</si>
  <si>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</si>
  <si>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</si>
  <si>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</si>
  <si>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</si>
  <si>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</si>
  <si>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</si>
  <si>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</si>
  <si>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</si>
  <si>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</si>
  <si>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</si>
  <si>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</si>
  <si>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</si>
  <si>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</si>
  <si>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</si>
  <si>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</si>
  <si>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</si>
  <si>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</si>
  <si>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</si>
  <si>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</si>
  <si>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</si>
  <si>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</si>
  <si>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</si>
  <si>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</si>
  <si>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</si>
  <si>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</si>
  <si>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</si>
  <si>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</si>
  <si>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</si>
  <si>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</si>
  <si>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</si>
  <si>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</si>
  <si>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</si>
  <si>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</si>
  <si>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</si>
  <si>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</si>
  <si>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</si>
  <si>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</si>
  <si>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</si>
  <si>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</si>
  <si>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</si>
  <si>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</si>
  <si>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</si>
  <si>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</si>
  <si>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</si>
  <si>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</si>
  <si>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</si>
  <si>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</si>
  <si>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</si>
  <si>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</si>
  <si>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</si>
  <si>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</si>
  <si>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</si>
  <si>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</si>
  <si>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</si>
  <si>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</si>
  <si>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</si>
  <si>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</si>
  <si>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</si>
  <si>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</si>
  <si>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</si>
  <si>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</si>
  <si>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</si>
  <si>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</si>
  <si>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</si>
  <si>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</si>
  <si>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</si>
  <si>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</si>
  <si>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</si>
  <si>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</si>
  <si>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</si>
  <si>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</si>
  <si>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</si>
  <si>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</si>
  <si>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</si>
  <si>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</si>
  <si>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</si>
  <si>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</si>
  <si>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</si>
  <si>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</si>
  <si>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</si>
  <si>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</si>
  <si>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</si>
  <si>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</si>
  <si>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</si>
  <si>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</si>
  <si>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</si>
  <si>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</si>
  <si>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</si>
  <si>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</si>
  <si>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</si>
  <si>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</si>
  <si>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</si>
  <si>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</si>
  <si>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</si>
  <si>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</si>
  <si>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</si>
  <si>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</si>
  <si>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</si>
  <si>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</si>
  <si>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</si>
  <si>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</si>
  <si>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</si>
  <si>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</si>
  <si>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</si>
  <si>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</si>
  <si>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</si>
  <si>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</si>
  <si>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</si>
  <si>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</si>
  <si>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</si>
  <si>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</si>
  <si>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</si>
  <si>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</si>
  <si>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</si>
  <si>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</si>
  <si>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</si>
  <si>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</si>
  <si>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</si>
  <si>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</si>
  <si>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</si>
  <si>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</si>
  <si>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</si>
  <si>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</si>
  <si>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</si>
  <si>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</si>
  <si>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</si>
  <si>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</si>
  <si>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</si>
  <si>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</si>
  <si>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</si>
  <si>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</si>
  <si>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</si>
  <si>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</si>
  <si>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</si>
  <si>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</si>
  <si>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</si>
  <si>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</si>
  <si>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</si>
  <si>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</si>
  <si>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</si>
  <si>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</si>
  <si>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</si>
  <si>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</si>
  <si>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</si>
  <si>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</si>
  <si>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</si>
  <si>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</si>
  <si>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</si>
  <si>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</si>
  <si>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</si>
  <si>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</si>
  <si>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</si>
  <si>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</si>
  <si>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</si>
  <si>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</si>
  <si>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</si>
  <si>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</si>
  <si>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</si>
  <si>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</si>
  <si>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</si>
  <si>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</si>
  <si>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</si>
  <si>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</si>
  <si>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</si>
  <si>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</si>
  <si>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</si>
  <si>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</si>
  <si>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</si>
  <si>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</si>
  <si>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</si>
  <si>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</si>
  <si>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</si>
  <si>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</si>
  <si>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</si>
  <si>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</si>
  <si>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</si>
  <si>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</si>
  <si>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</si>
  <si>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</si>
  <si>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</si>
  <si>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</si>
  <si>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</si>
  <si>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</si>
  <si>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</si>
  <si>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</si>
  <si>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</si>
  <si>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</si>
  <si>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</si>
  <si>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</si>
  <si>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</si>
  <si>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</si>
  <si>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</si>
  <si>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</si>
  <si>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</si>
  <si>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</si>
  <si>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</si>
  <si>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</si>
  <si>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</si>
  <si>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</si>
  <si>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</si>
  <si>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</si>
  <si>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</si>
  <si>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</si>
  <si>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</si>
  <si>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</si>
  <si>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</si>
  <si>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</si>
  <si>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</si>
  <si>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</si>
  <si>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</si>
  <si>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</si>
  <si>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</si>
  <si>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</si>
  <si>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</si>
  <si>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</si>
  <si>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</si>
  <si>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</si>
  <si>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</si>
  <si>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</si>
  <si>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</si>
  <si>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</si>
  <si>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</si>
  <si>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</si>
  <si>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</si>
  <si>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</si>
  <si>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</si>
  <si>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</si>
  <si>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</si>
  <si>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</si>
  <si>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</si>
  <si>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</si>
  <si>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</si>
  <si>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</si>
  <si>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</si>
  <si>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</si>
  <si>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</si>
  <si>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</si>
  <si>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</si>
  <si>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</si>
  <si>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</si>
  <si>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</si>
  <si>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</si>
  <si>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</si>
  <si>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</si>
  <si>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</si>
  <si>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</si>
  <si>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</si>
  <si>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</si>
  <si>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</si>
  <si>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</si>
  <si>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</si>
  <si>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</si>
  <si>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</si>
  <si>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</si>
  <si>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</si>
  <si>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</si>
  <si>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</si>
  <si>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</si>
  <si>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</si>
  <si>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</si>
  <si>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</si>
  <si>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</si>
  <si>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</si>
  <si>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</si>
  <si>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</si>
  <si>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</si>
  <si>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</si>
  <si>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</si>
  <si>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</si>
  <si>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</si>
  <si>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</si>
  <si>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</si>
  <si>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</si>
  <si>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</si>
  <si>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</si>
  <si>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</si>
  <si>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</si>
  <si>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</si>
  <si>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</si>
  <si>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</si>
  <si>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</si>
  <si>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</si>
  <si>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</si>
  <si>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</si>
  <si>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</si>
  <si>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</si>
  <si>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</si>
  <si>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</si>
  <si>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</si>
  <si>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</si>
  <si>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</si>
  <si>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</si>
  <si>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</si>
  <si>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</si>
  <si>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</si>
  <si>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</si>
  <si>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</si>
  <si>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</si>
  <si>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</si>
  <si>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</si>
  <si>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</si>
  <si>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</si>
  <si>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</si>
  <si>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</si>
  <si>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</si>
  <si>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</si>
  <si>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</si>
  <si>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</si>
  <si>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</si>
  <si>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</si>
  <si>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</si>
  <si>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</si>
  <si>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</si>
  <si>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</si>
  <si>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</si>
  <si>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</si>
  <si>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</si>
  <si>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</si>
  <si>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</si>
  <si>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</si>
  <si>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</si>
  <si>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</si>
  <si>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</si>
  <si>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</si>
  <si>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</si>
  <si>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</si>
  <si>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</si>
  <si>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</si>
  <si>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</si>
  <si>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</si>
  <si>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</si>
  <si>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</si>
  <si>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</si>
  <si>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</si>
  <si>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</si>
  <si>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</si>
  <si>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</si>
  <si>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</si>
  <si>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</si>
  <si>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</si>
  <si>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</si>
  <si>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</si>
  <si>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</si>
  <si>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</si>
  <si>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</si>
  <si>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</si>
  <si>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</si>
  <si>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</si>
  <si>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</si>
  <si>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</si>
  <si>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</si>
  <si>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</si>
  <si>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</si>
  <si>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</si>
  <si>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</si>
  <si>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</si>
  <si>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</si>
  <si>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</si>
  <si>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</si>
  <si>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</si>
  <si>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</si>
  <si>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</si>
  <si>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</si>
  <si>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</si>
  <si>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</si>
  <si>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</si>
  <si>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</si>
  <si>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</si>
  <si>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</si>
  <si>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</si>
  <si>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</si>
  <si>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</si>
  <si>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</si>
  <si>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</si>
  <si>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</si>
  <si>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</si>
  <si>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</si>
  <si>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</si>
  <si>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</si>
  <si>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</si>
  <si>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</si>
  <si>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</si>
  <si>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</si>
  <si>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</si>
  <si>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</si>
  <si>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</si>
  <si>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</si>
  <si>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</si>
  <si>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</si>
  <si>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</si>
  <si>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</si>
  <si>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</si>
  <si>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</si>
  <si>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</si>
  <si>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</si>
  <si>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</si>
  <si>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</si>
  <si>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</si>
  <si>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</si>
  <si>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</si>
  <si>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</si>
  <si>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</si>
  <si>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</si>
  <si>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</si>
  <si>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</si>
  <si>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</si>
  <si>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</si>
  <si>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</si>
  <si>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</si>
  <si>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</si>
  <si>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</si>
  <si>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</si>
  <si>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</si>
  <si>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</si>
  <si>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</si>
  <si>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</si>
  <si>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</si>
  <si>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</si>
  <si>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</si>
  <si>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</si>
  <si>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</si>
  <si>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</si>
  <si>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</si>
  <si>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</si>
  <si>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</si>
  <si>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</si>
  <si>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</si>
  <si>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</si>
  <si>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</si>
  <si>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</si>
  <si>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</si>
  <si>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</si>
  <si>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</si>
  <si>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</si>
  <si>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</si>
  <si>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</si>
  <si>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</si>
  <si>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</si>
  <si>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</si>
  <si>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</si>
  <si>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</si>
  <si>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</si>
  <si>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</si>
  <si>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</si>
  <si>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</si>
  <si>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</si>
  <si>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</si>
  <si>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</si>
  <si>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</si>
  <si>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</si>
  <si>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</si>
  <si>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</si>
  <si>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</si>
  <si>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</si>
  <si>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</si>
  <si>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</si>
  <si>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</si>
  <si>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</si>
  <si>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</si>
  <si>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</si>
  <si>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</si>
  <si>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</si>
  <si>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</si>
  <si>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</si>
  <si>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</si>
  <si>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</si>
  <si>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</si>
  <si>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</si>
  <si>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</si>
  <si>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</si>
  <si>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</si>
  <si>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</si>
  <si>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</si>
  <si>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</si>
  <si>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</si>
  <si>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</si>
  <si>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</si>
  <si>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</si>
  <si>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</si>
  <si>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</si>
  <si>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</si>
  <si>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</si>
  <si>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</si>
  <si>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</si>
  <si>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</si>
  <si>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</si>
  <si>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</si>
  <si>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</si>
  <si>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</si>
  <si>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</si>
  <si>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</si>
  <si>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</si>
  <si>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</si>
  <si>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</si>
  <si>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</si>
  <si>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</si>
  <si>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</si>
  <si>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</si>
  <si>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</si>
  <si>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</si>
  <si>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</si>
  <si>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</si>
  <si>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</si>
  <si>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</si>
  <si>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</si>
  <si>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</si>
  <si>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</si>
  <si>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</si>
  <si>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</si>
  <si>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</si>
  <si>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</si>
  <si>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</si>
  <si>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</si>
  <si>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</si>
  <si>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</si>
  <si>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</si>
  <si>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</si>
  <si>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</si>
  <si>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</si>
  <si>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</si>
  <si>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</si>
  <si>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</si>
  <si>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</si>
  <si>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</si>
  <si>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</si>
  <si>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</si>
  <si>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</si>
  <si>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</si>
  <si>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</si>
  <si>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</si>
  <si>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</si>
  <si>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</si>
  <si>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</si>
  <si>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</si>
  <si>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</si>
  <si>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</si>
  <si>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</si>
  <si>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</si>
  <si>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</si>
  <si>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</si>
  <si>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</si>
  <si>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</si>
  <si>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</si>
  <si>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</si>
  <si>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</si>
  <si>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</si>
  <si>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</si>
  <si>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</si>
  <si>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</si>
  <si>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</si>
  <si>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</si>
  <si>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</si>
  <si>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</si>
  <si>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</si>
  <si>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</si>
  <si>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</si>
  <si>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</si>
  <si>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</si>
  <si>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</si>
  <si>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</si>
  <si>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</si>
  <si>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</si>
  <si>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</si>
  <si>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</si>
  <si>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</si>
  <si>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</si>
  <si>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</si>
  <si>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</si>
  <si>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</si>
  <si>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</si>
  <si>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</si>
  <si>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</si>
  <si>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</si>
  <si>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</si>
  <si>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</si>
  <si>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</si>
  <si>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</si>
  <si>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</si>
  <si>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</si>
  <si>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</si>
  <si>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</si>
  <si>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</si>
  <si>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</si>
  <si>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</si>
  <si>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</si>
  <si>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</si>
  <si>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</si>
  <si>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</si>
  <si>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</si>
  <si>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</si>
  <si>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</si>
  <si>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</si>
  <si>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</si>
  <si>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</si>
  <si>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</si>
  <si>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</si>
  <si>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</si>
  <si>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</si>
  <si>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</si>
  <si>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</si>
  <si>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</si>
  <si>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</si>
  <si>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</si>
  <si>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</si>
  <si>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</si>
  <si>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</si>
  <si>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</si>
  <si>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</si>
  <si>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</si>
  <si>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</si>
  <si>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</si>
  <si>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</si>
  <si>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</si>
  <si>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</si>
  <si>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</si>
  <si>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</si>
  <si>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</si>
  <si>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</si>
  <si>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</si>
  <si>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</si>
  <si>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</si>
  <si>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</si>
  <si>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</si>
  <si>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</si>
  <si>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</si>
  <si>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</si>
  <si>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</si>
  <si>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</si>
  <si>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</si>
  <si>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</si>
  <si>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</si>
  <si>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</si>
  <si>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</si>
  <si>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</si>
  <si>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</si>
  <si>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</si>
  <si>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</si>
  <si>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</si>
  <si>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</si>
  <si>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</si>
  <si>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</si>
  <si>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</si>
  <si>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</si>
  <si>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</si>
  <si>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</si>
  <si>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</si>
  <si>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</si>
  <si>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</si>
  <si>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</si>
  <si>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</si>
  <si>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</si>
  <si>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</si>
  <si>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</si>
  <si>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</si>
  <si>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</si>
  <si>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</si>
  <si>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</si>
  <si>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</si>
  <si>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</si>
  <si>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</si>
  <si>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</si>
  <si>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</si>
  <si>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</si>
  <si>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</si>
  <si>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</si>
  <si>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</si>
  <si>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</si>
  <si>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</si>
  <si>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</si>
  <si>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</si>
  <si>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</si>
  <si>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</si>
  <si>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</si>
  <si>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</si>
  <si>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</si>
  <si>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</si>
  <si>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</si>
  <si>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</si>
  <si>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</si>
  <si>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</si>
  <si>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</si>
  <si>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</si>
  <si>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</si>
  <si>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</si>
  <si>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</si>
  <si>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</si>
  <si>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</si>
  <si>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</si>
  <si>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</si>
  <si>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</si>
  <si>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</si>
  <si>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</si>
  <si>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</si>
  <si>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</si>
  <si>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</si>
  <si>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</si>
  <si>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</si>
  <si>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</si>
  <si>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</si>
  <si>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</si>
  <si>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</si>
  <si>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</si>
  <si>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</si>
  <si>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</si>
  <si>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</si>
  <si>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</si>
  <si>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</si>
  <si>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</si>
  <si>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</si>
  <si>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</si>
  <si>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</si>
  <si>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</si>
  <si>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</si>
  <si>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</si>
  <si>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</si>
  <si>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</si>
  <si>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</si>
  <si>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</si>
  <si>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</si>
  <si>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</si>
  <si>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</si>
  <si>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</si>
  <si>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</si>
  <si>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</si>
  <si>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</si>
  <si>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</si>
  <si>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</si>
  <si>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</si>
  <si>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</si>
  <si>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</si>
  <si>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</si>
  <si>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</si>
  <si>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</si>
  <si>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</si>
  <si>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</si>
  <si>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</si>
  <si>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</si>
  <si>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</si>
  <si>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</si>
  <si>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</si>
  <si>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</si>
  <si>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</si>
  <si>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</si>
  <si>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</si>
  <si>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</si>
  <si>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</si>
  <si>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</si>
  <si>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</si>
  <si>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</si>
  <si>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</si>
  <si>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</si>
  <si>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</si>
  <si>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</si>
  <si>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</si>
  <si>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</si>
  <si>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</si>
  <si>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</si>
  <si>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</si>
  <si>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</si>
  <si>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</si>
  <si>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</si>
  <si>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</si>
  <si>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</si>
  <si>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</si>
  <si>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</si>
  <si>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</si>
  <si>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</si>
  <si>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</si>
  <si>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</si>
  <si>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</si>
  <si>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</si>
  <si>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</si>
  <si>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</si>
  <si>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</si>
  <si>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</si>
  <si>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</si>
  <si>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</si>
  <si>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</si>
  <si>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</si>
  <si>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</si>
  <si>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</si>
  <si>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</si>
  <si>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</si>
  <si>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</si>
  <si>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</si>
  <si>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</si>
  <si>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</si>
  <si>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</si>
  <si>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</si>
  <si>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</si>
  <si>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</si>
  <si>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</si>
  <si>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</si>
  <si>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</si>
  <si>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</si>
  <si>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</si>
  <si>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</si>
  <si>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</si>
  <si>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</si>
  <si>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</si>
  <si>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</si>
  <si>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</si>
  <si>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</si>
  <si>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</si>
  <si>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</si>
  <si>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</si>
  <si>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</si>
  <si>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</si>
  <si>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</si>
  <si>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</si>
  <si>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</si>
  <si>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</si>
  <si>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</si>
  <si>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</si>
  <si>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</si>
  <si>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</si>
  <si>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</si>
  <si>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</si>
  <si>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</si>
  <si>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</si>
  <si>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</si>
  <si>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</si>
  <si>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</si>
  <si>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</si>
  <si>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</si>
  <si>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</si>
  <si>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</si>
  <si>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</si>
  <si>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</si>
  <si>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</si>
  <si>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</si>
  <si>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</si>
  <si>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</si>
  <si>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</si>
  <si>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</si>
  <si>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</si>
  <si>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</si>
  <si>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</si>
  <si>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</si>
  <si>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</si>
  <si>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</si>
  <si>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</si>
  <si>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</si>
  <si>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</si>
  <si>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</si>
  <si>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</si>
  <si>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</si>
  <si>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</si>
  <si>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</si>
  <si>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</si>
  <si>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</si>
  <si>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</si>
  <si>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</si>
  <si>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</si>
  <si>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</si>
  <si>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</si>
  <si>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</si>
  <si>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</si>
  <si>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</si>
  <si>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</si>
  <si>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</si>
  <si>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</si>
  <si>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</si>
  <si>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</si>
  <si>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</si>
  <si>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</si>
  <si>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</si>
  <si>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</si>
  <si>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</si>
  <si>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</si>
  <si>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</si>
  <si>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</si>
  <si>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</si>
  <si>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</si>
  <si>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</si>
  <si>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</si>
  <si>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</si>
  <si>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</si>
  <si>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</si>
  <si>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</si>
  <si>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</si>
  <si>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</si>
  <si>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</si>
  <si>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</si>
  <si>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</si>
  <si>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</si>
  <si>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</si>
  <si>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</si>
  <si>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</si>
  <si>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</si>
  <si>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</si>
  <si>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</si>
  <si>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</si>
  <si>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</si>
  <si>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</si>
  <si>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</si>
  <si>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</si>
  <si>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</si>
  <si>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</si>
  <si>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</si>
  <si>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</si>
  <si>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</si>
  <si>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</si>
  <si>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</si>
  <si>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</si>
  <si>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</si>
  <si>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</si>
  <si>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</si>
  <si>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</si>
  <si>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</si>
  <si>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</si>
  <si>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</si>
  <si>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</si>
  <si>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</si>
  <si>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</si>
  <si>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</si>
  <si>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</si>
  <si>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</si>
  <si>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</si>
  <si>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</si>
  <si>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</si>
  <si>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</si>
  <si>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</si>
  <si>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</si>
  <si>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</si>
  <si>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</si>
  <si>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</si>
  <si>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</si>
  <si>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</si>
  <si>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</si>
  <si>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</si>
  <si>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</si>
  <si>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</si>
  <si>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</si>
  <si>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</si>
  <si>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</si>
  <si>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</si>
  <si>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</si>
  <si>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</si>
  <si>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</si>
  <si>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</si>
  <si>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</si>
  <si>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</si>
  <si>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</si>
  <si>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</si>
  <si>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</si>
  <si>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</si>
  <si>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</si>
  <si>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</si>
  <si>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</si>
  <si>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</si>
  <si>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</si>
  <si>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</si>
  <si>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</si>
  <si>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</si>
  <si>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</si>
  <si>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</si>
  <si>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</si>
  <si>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</si>
  <si>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</si>
  <si>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</si>
  <si>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</si>
  <si>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</si>
  <si>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</si>
  <si>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</si>
  <si>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</si>
  <si>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</si>
  <si>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</si>
  <si>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</si>
  <si>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</si>
  <si>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</si>
  <si>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</si>
  <si>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</si>
  <si>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</si>
  <si>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</si>
  <si>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</si>
  <si>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</si>
  <si>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</si>
  <si>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</si>
  <si>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</si>
  <si>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</si>
  <si>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</si>
  <si>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</si>
  <si>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</si>
  <si>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</si>
  <si>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</si>
  <si>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</si>
  <si>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</si>
  <si>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</si>
  <si>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</si>
  <si>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</si>
  <si>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</si>
  <si>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</si>
  <si>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</si>
  <si>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</si>
  <si>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</si>
  <si>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</si>
  <si>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</si>
  <si>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</si>
  <si>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</si>
  <si>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</si>
  <si>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</si>
  <si>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</si>
  <si>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</si>
  <si>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</si>
  <si>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</si>
  <si>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</si>
  <si>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</si>
  <si>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</si>
  <si>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</si>
  <si>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</si>
  <si>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</si>
  <si>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</si>
  <si>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</si>
  <si>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</si>
  <si>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</si>
  <si>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</si>
  <si>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</si>
  <si>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</si>
  <si>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</si>
  <si>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</si>
  <si>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</si>
  <si>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</si>
  <si>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</si>
  <si>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</si>
  <si>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</si>
  <si>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</si>
  <si>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</si>
  <si>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</si>
  <si>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</si>
  <si>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</si>
  <si>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</si>
  <si>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</si>
  <si>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</si>
  <si>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</si>
  <si>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</si>
  <si>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</si>
  <si>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</si>
  <si>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</si>
  <si>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</si>
  <si>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</si>
  <si>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</si>
  <si>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</si>
  <si>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</si>
  <si>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</si>
  <si>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</si>
  <si>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</si>
  <si>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</si>
  <si>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</si>
  <si>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</si>
  <si>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</si>
  <si>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</si>
  <si>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</si>
  <si>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</si>
  <si>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</si>
  <si>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</si>
  <si>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</si>
  <si>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</si>
  <si>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</si>
  <si>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</si>
  <si>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</si>
  <si>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</si>
  <si>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</si>
  <si>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</si>
  <si>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</si>
  <si>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</si>
  <si>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</si>
  <si>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</si>
  <si>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</si>
  <si>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</si>
  <si>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</si>
  <si>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</si>
  <si>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</si>
  <si>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</si>
  <si>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</si>
  <si>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</si>
  <si>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</si>
  <si>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</si>
  <si>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</si>
  <si>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</si>
  <si>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</si>
  <si>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</si>
  <si>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</si>
  <si>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</si>
  <si>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</si>
  <si>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</si>
  <si>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</si>
  <si>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</si>
  <si>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</si>
  <si>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</si>
  <si>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</si>
  <si>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</si>
  <si>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</si>
  <si>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</si>
  <si>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</si>
  <si>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</si>
  <si>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</si>
  <si>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</si>
  <si>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</si>
  <si>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</si>
  <si>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</si>
  <si>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</si>
  <si>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</si>
  <si>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</si>
  <si>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</si>
  <si>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</si>
  <si>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</si>
  <si>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</si>
  <si>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</si>
  <si>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</si>
  <si>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</si>
  <si>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</si>
  <si>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</si>
  <si>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</si>
  <si>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</si>
  <si>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</si>
  <si>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</si>
  <si>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</si>
  <si>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</si>
  <si>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</si>
  <si>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</si>
  <si>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</si>
  <si>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</si>
  <si>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</si>
  <si>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</si>
  <si>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</si>
  <si>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</si>
  <si>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</si>
  <si>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</si>
  <si>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</si>
  <si>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</si>
  <si>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</si>
  <si>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</si>
  <si>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</si>
  <si>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</si>
  <si>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</si>
  <si>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</si>
  <si>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</si>
  <si>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</si>
  <si>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</si>
  <si>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</si>
  <si>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</si>
  <si>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</si>
  <si>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</si>
  <si>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</si>
  <si>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</si>
  <si>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</si>
  <si>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</si>
  <si>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</si>
  <si>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</si>
  <si>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</si>
  <si>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</si>
  <si>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</si>
  <si>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</si>
  <si>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</si>
  <si>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</si>
  <si>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</si>
  <si>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</si>
  <si>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</si>
  <si>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</si>
  <si>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</si>
  <si>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</si>
  <si>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</si>
  <si>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</si>
  <si>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</si>
  <si>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</si>
  <si>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</si>
  <si>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</si>
  <si>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</si>
  <si>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</si>
  <si>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</si>
  <si>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</si>
  <si>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</si>
  <si>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</si>
  <si>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</si>
  <si>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</si>
  <si>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</si>
  <si>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</si>
  <si>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</si>
  <si>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</si>
  <si>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</si>
  <si>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</si>
  <si>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</si>
  <si>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</si>
  <si>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</si>
  <si>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</si>
  <si>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</si>
  <si>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</si>
  <si>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</si>
  <si>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</si>
  <si>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</si>
  <si>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</si>
  <si>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</si>
  <si>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</si>
  <si>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</si>
  <si>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</si>
  <si>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</si>
  <si>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</si>
  <si>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</si>
  <si>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</si>
  <si>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</si>
  <si>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</si>
  <si>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</si>
  <si>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</si>
  <si>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</si>
  <si>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</si>
  <si>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</si>
  <si>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</si>
  <si>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</si>
  <si>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</si>
  <si>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</si>
  <si>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</si>
  <si>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</si>
  <si>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</si>
  <si>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</si>
  <si>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</si>
  <si>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</si>
  <si>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</si>
  <si>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</si>
  <si>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</si>
  <si>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</si>
  <si>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</si>
  <si>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</si>
  <si>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</si>
  <si>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</si>
  <si>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</si>
  <si>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</si>
  <si>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</si>
  <si>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</si>
  <si>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</si>
  <si>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</si>
  <si>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</si>
  <si>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</si>
  <si>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</si>
  <si>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</si>
  <si>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</si>
  <si>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</si>
  <si>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</si>
  <si>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</si>
  <si>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</si>
  <si>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</si>
  <si>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</si>
  <si>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</si>
  <si>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</si>
  <si>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</si>
  <si>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</si>
  <si>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</si>
  <si>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</si>
  <si>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</si>
  <si>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</si>
  <si>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</si>
  <si>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</si>
  <si>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</si>
  <si>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</si>
  <si>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</si>
  <si>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</si>
  <si>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</si>
  <si>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</si>
  <si>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</si>
  <si>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</si>
  <si>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</si>
  <si>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</si>
  <si>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</si>
  <si>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</si>
  <si>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</si>
  <si>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</si>
  <si>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</si>
  <si>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</si>
  <si>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</si>
  <si>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</si>
  <si>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</si>
  <si>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</si>
  <si>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</si>
  <si>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</si>
  <si>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</si>
  <si>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</si>
  <si>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</si>
  <si>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</si>
  <si>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</si>
  <si>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</si>
  <si>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</si>
  <si>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</si>
  <si>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</si>
  <si>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</si>
  <si>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</si>
  <si>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</si>
  <si>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</si>
  <si>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</si>
  <si>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</si>
  <si>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</si>
  <si>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</si>
  <si>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</si>
  <si>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</si>
  <si>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</si>
  <si>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</si>
  <si>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</si>
  <si>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</si>
  <si>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</si>
  <si>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</si>
  <si>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</si>
  <si>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</si>
  <si>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</si>
  <si>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</si>
  <si>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</si>
  <si>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</si>
  <si>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</si>
  <si>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</si>
  <si>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</si>
  <si>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</si>
  <si>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</si>
  <si>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</si>
  <si>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</si>
  <si>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</si>
  <si>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</si>
  <si>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</si>
  <si>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</si>
  <si>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</si>
  <si>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</si>
  <si>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</si>
  <si>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</si>
  <si>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</si>
  <si>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</si>
  <si>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</si>
  <si>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</si>
  <si>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</si>
  <si>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</si>
  <si>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</si>
  <si>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</si>
  <si>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</si>
  <si>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</si>
  <si>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</si>
  <si>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</si>
  <si>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</si>
  <si>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</si>
  <si>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</si>
  <si>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</si>
  <si>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</si>
  <si>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</si>
  <si>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</si>
  <si>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</si>
  <si>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</si>
  <si>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</si>
  <si>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</si>
  <si>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</si>
  <si>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</si>
  <si>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</si>
  <si>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</si>
  <si>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</si>
  <si>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</si>
  <si>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</si>
  <si>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</si>
  <si>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</si>
  <si>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</si>
  <si>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</si>
  <si>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</si>
  <si>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</si>
  <si>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</si>
  <si>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</si>
  <si>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</si>
  <si>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</si>
  <si>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</si>
  <si>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</si>
  <si>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</si>
  <si>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</si>
  <si>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</si>
  <si>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</si>
  <si>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</si>
  <si>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</si>
  <si>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</si>
  <si>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</si>
  <si>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</si>
  <si>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</si>
  <si>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</si>
  <si>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</si>
  <si>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</si>
  <si>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</si>
  <si>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</si>
  <si>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</si>
  <si>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</si>
  <si>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</si>
  <si>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</si>
  <si>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</si>
  <si>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</si>
  <si>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</si>
  <si>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</si>
  <si>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</si>
  <si>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</si>
  <si>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</si>
  <si>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</si>
  <si>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</si>
  <si>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</si>
  <si>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</si>
  <si>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</si>
  <si>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</si>
  <si>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</si>
  <si>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</si>
  <si>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</si>
  <si>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</si>
  <si>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</si>
  <si>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</si>
  <si>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</si>
  <si>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</si>
  <si>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</si>
  <si>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</si>
  <si>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</si>
  <si>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</si>
  <si>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</si>
  <si>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</si>
  <si>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</si>
  <si>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</si>
  <si>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</si>
  <si>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</si>
  <si>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</si>
  <si>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</si>
  <si>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</si>
  <si>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</si>
  <si>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</si>
  <si>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</si>
  <si>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</si>
  <si>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</si>
  <si>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</si>
  <si>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</si>
  <si>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</si>
  <si>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</si>
  <si>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</si>
  <si>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</si>
  <si>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</si>
  <si>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</si>
  <si>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</si>
  <si>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</si>
  <si>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</si>
  <si>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</si>
  <si>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</si>
  <si>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</si>
  <si>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</si>
  <si>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</si>
  <si>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</si>
  <si>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</si>
  <si>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</si>
  <si>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</si>
  <si>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</si>
  <si>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</si>
  <si>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</si>
  <si>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</si>
  <si>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</si>
  <si>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</si>
  <si>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</si>
  <si>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</si>
  <si>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</si>
  <si>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</si>
  <si>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</si>
  <si>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</si>
  <si>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</si>
  <si>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</si>
  <si>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</si>
  <si>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</si>
  <si>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</si>
  <si>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</si>
  <si>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</si>
  <si>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</si>
  <si>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</si>
  <si>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</si>
  <si>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</si>
  <si>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</si>
  <si>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</si>
  <si>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</si>
  <si>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</si>
  <si>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</si>
  <si>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</si>
  <si>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</si>
  <si>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</si>
  <si>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</si>
  <si>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</si>
  <si>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</si>
  <si>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</si>
  <si>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</si>
  <si>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</si>
  <si>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</si>
  <si>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</si>
  <si>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</si>
  <si>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</si>
  <si>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</si>
  <si>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</si>
  <si>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</si>
  <si>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</si>
  <si>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</si>
  <si>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</si>
  <si>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</si>
  <si>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</si>
  <si>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</si>
  <si>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</si>
  <si>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</si>
  <si>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</si>
  <si>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</si>
  <si>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</si>
  <si>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</si>
  <si>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</si>
  <si>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</si>
  <si>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</si>
  <si>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</si>
  <si>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</si>
  <si>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</si>
  <si>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</si>
  <si>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</si>
  <si>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</si>
  <si>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</si>
  <si>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</si>
  <si>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</si>
  <si>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</si>
  <si>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</si>
  <si>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</si>
  <si>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</si>
  <si>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</si>
  <si>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</si>
  <si>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</si>
  <si>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</si>
  <si>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</si>
  <si>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</si>
  <si>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</si>
  <si>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</si>
  <si>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</si>
  <si>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</si>
  <si>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</si>
  <si>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</si>
  <si>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</si>
  <si>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</si>
  <si>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</si>
  <si>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</si>
  <si>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</si>
  <si>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</si>
  <si>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</si>
  <si>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</si>
  <si>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</si>
  <si>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</si>
  <si>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</si>
  <si>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</si>
  <si>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</si>
  <si>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</si>
  <si>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</si>
  <si>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</si>
  <si>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</si>
  <si>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</si>
  <si>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</si>
  <si>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</si>
  <si>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</si>
  <si>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</si>
  <si>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</si>
  <si>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</si>
  <si>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</si>
  <si>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</si>
  <si>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</si>
  <si>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</si>
  <si>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</si>
  <si>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</si>
  <si>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</si>
  <si>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</si>
  <si>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</si>
  <si>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</si>
  <si>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</si>
  <si>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</si>
  <si>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</si>
  <si>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</si>
  <si>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</si>
  <si>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</si>
  <si>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</si>
  <si>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</si>
  <si>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</si>
  <si>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</si>
  <si>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</si>
  <si>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</si>
  <si>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</si>
  <si>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</si>
  <si>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</si>
  <si>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</si>
  <si>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</si>
  <si>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</si>
  <si>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</si>
  <si>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</si>
  <si>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</si>
  <si>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</si>
  <si>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</si>
  <si>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</si>
  <si>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</si>
  <si>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</si>
  <si>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</si>
  <si>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</si>
  <si>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</si>
  <si>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</si>
  <si>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</si>
  <si>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</si>
  <si>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</si>
  <si>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</si>
  <si>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</si>
  <si>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</si>
  <si>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</si>
  <si>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</si>
  <si>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</si>
  <si>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</si>
  <si>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</si>
  <si>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</si>
  <si>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</si>
  <si>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</si>
  <si>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</si>
  <si>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</si>
  <si>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</si>
  <si>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</si>
  <si>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</si>
  <si>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</si>
  <si>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</si>
  <si>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</si>
  <si>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</si>
  <si>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</si>
  <si>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</si>
  <si>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</si>
  <si>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</si>
  <si>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</si>
  <si>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</si>
  <si>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</si>
  <si>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</si>
  <si>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</si>
  <si>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</si>
  <si>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</si>
  <si>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</si>
  <si>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</si>
  <si>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</si>
  <si>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</si>
  <si>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</si>
  <si>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</si>
  <si>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</si>
  <si>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</si>
  <si>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</si>
  <si>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</si>
  <si>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</si>
  <si>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</si>
  <si>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</si>
  <si>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</si>
  <si>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</si>
  <si>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</si>
  <si>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</si>
  <si>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</si>
  <si>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</si>
  <si>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</si>
  <si>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</si>
  <si>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</si>
  <si>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</si>
  <si>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</si>
  <si>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</si>
  <si>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</si>
  <si>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</si>
  <si>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</si>
  <si>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</si>
  <si>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</si>
  <si>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</si>
  <si>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</si>
  <si>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</si>
  <si>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</si>
  <si>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</si>
  <si>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</si>
  <si>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</si>
  <si>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</si>
  <si>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</si>
  <si>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</si>
  <si>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</si>
  <si>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</si>
  <si>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</si>
  <si>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</si>
  <si>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</si>
  <si>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</si>
  <si>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</si>
  <si>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</si>
  <si>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</si>
  <si>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</si>
  <si>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</si>
  <si>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</si>
  <si>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</si>
  <si>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</si>
  <si>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</si>
  <si>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</si>
  <si>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</si>
  <si>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</si>
  <si>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</si>
  <si>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</si>
  <si>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</si>
  <si>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</si>
  <si>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</si>
  <si>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</si>
  <si>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</si>
  <si>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</si>
  <si>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</si>
  <si>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</si>
  <si>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</si>
  <si>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</si>
  <si>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</si>
  <si>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</si>
  <si>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</si>
  <si>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</si>
  <si>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</si>
  <si>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</si>
  <si>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</si>
  <si>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</si>
  <si>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</si>
  <si>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</si>
  <si>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</si>
  <si>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</si>
  <si>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</si>
  <si>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</si>
  <si>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</si>
  <si>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</si>
  <si>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</si>
  <si>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</si>
  <si>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</si>
  <si>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</si>
  <si>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</si>
  <si>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</si>
  <si>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</si>
  <si>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</si>
  <si>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</si>
  <si>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</si>
  <si>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</si>
  <si>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</si>
  <si>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</si>
  <si>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</si>
  <si>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</si>
  <si>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</si>
  <si>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</si>
  <si>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</si>
  <si>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</si>
  <si>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</si>
  <si>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</si>
  <si>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</si>
  <si>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</si>
  <si>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</si>
  <si>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</si>
  <si>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</si>
  <si>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</si>
  <si>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</si>
  <si>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</si>
  <si>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</si>
  <si>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</si>
  <si>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</si>
  <si>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</si>
  <si>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</si>
  <si>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</si>
  <si>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</si>
  <si>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</si>
  <si>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</si>
  <si>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</si>
  <si>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</si>
  <si>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</si>
  <si>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</si>
  <si>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</si>
  <si>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</si>
  <si>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</si>
  <si>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</si>
  <si>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</si>
  <si>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</si>
  <si>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</si>
  <si>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</si>
  <si>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</si>
  <si>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</si>
  <si>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</si>
  <si>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</si>
  <si>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</si>
  <si>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</si>
  <si>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</si>
  <si>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</si>
  <si>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</si>
  <si>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</si>
  <si>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</si>
  <si>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</si>
  <si>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</si>
  <si>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</si>
  <si>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</si>
  <si>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</si>
  <si>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</si>
  <si>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</si>
  <si>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</si>
  <si>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</si>
  <si>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</si>
  <si>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</si>
  <si>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Row Labels</t>
  </si>
  <si>
    <t>film &amp; video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</si>
  <si>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</si>
  <si>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</si>
  <si>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</si>
  <si>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</si>
  <si>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</si>
  <si>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</si>
  <si>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</si>
  <si>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</si>
  <si>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</si>
  <si>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</si>
  <si>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</si>
  <si>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</si>
  <si>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</si>
  <si>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</si>
  <si>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</si>
  <si>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</si>
  <si>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</si>
  <si>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</si>
  <si>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</si>
  <si>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</si>
  <si>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</si>
  <si>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</si>
  <si>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</si>
  <si>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</si>
  <si>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</si>
  <si>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</si>
  <si>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</si>
  <si>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</si>
  <si>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</si>
  <si>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</si>
  <si>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</si>
  <si>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</si>
  <si>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</si>
  <si>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</si>
  <si>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</si>
  <si>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</si>
  <si>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</si>
  <si>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</si>
  <si>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</si>
  <si>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</si>
  <si>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Years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</si>
  <si>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</si>
  <si>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</si>
  <si>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</si>
  <si>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</si>
  <si>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</si>
  <si>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</si>
  <si>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</si>
  <si>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</si>
  <si>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</si>
  <si>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</si>
  <si>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</si>
  <si>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</si>
  <si>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</si>
  <si>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</si>
  <si>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</si>
  <si>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</si>
  <si>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</si>
  <si>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</si>
  <si>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</si>
  <si>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</si>
  <si>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</si>
  <si>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</si>
  <si>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</si>
  <si>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</si>
  <si>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</si>
  <si>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</si>
  <si>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</si>
  <si>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</si>
  <si>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</si>
  <si>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First Quartile:</t>
  </si>
  <si>
    <t>Median:</t>
  </si>
  <si>
    <t>Second Quartile:</t>
  </si>
  <si>
    <t>Third Quartile:</t>
  </si>
  <si>
    <t>Interquartile Range:</t>
  </si>
  <si>
    <t>Q1 - (1.5*IQR) Boundary:</t>
  </si>
  <si>
    <t>Q3 + (1.5*IQR) Boundary:</t>
  </si>
  <si>
    <t>Successful Projects</t>
  </si>
  <si>
    <t>Failed Projects</t>
  </si>
  <si>
    <t>Mean number of backers</t>
  </si>
  <si>
    <t>Median number of backers</t>
  </si>
  <si>
    <t>Minimum number of backers</t>
  </si>
  <si>
    <t>Maximum number of backers</t>
  </si>
  <si>
    <t>Variance number of backers</t>
  </si>
  <si>
    <t>Standard Deviation number of backers</t>
  </si>
  <si>
    <t>Failed Projects backers_count</t>
  </si>
  <si>
    <t>Success Projects backers_count</t>
  </si>
  <si>
    <t>Analysis:</t>
  </si>
  <si>
    <t xml:space="preserve">I belive for this kind of data neither the media nor the mean produce a good understanding of </t>
  </si>
  <si>
    <t xml:space="preserve">To have a better point of analysys would be necessary to compare </t>
  </si>
  <si>
    <t>the number of backers VS the average (mean) per backer</t>
  </si>
  <si>
    <t>the information. For startes the meadia and the mean are very close values respect at the totals.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</si>
</sst>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\/dd\/yy"/>
    <numFmt numFmtId="166" formatCode="mm"/>
    <numFmt numFmtId="167" formatCode="m/dd/yy;@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rgb="FF2B2B2B"/>
      <name val="Arial"/>
      <family val="2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3" applyNumberFormat="1" applyFont="1" applyAlignment="1">
      <alignment horizontal="center"/>
    </xf>
    <xf numFmtId="44" fontId="0" fillId="0" borderId="0" xfId="42" applyFont="1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16" fillId="0" borderId="0" xfId="0" applyNumberFormat="1" applyFont="1" applyAlignment="1">
      <alignment horizontal="center"/>
    </xf>
    <xf numFmtId="167" fontId="0" fillId="0" borderId="0" xfId="0" applyNumberFormat="1"/>
    <xf numFmtId="0" fontId="18" fillId="0" borderId="0" xfId="0" applyFont="1"/>
    <xf numFmtId="0" fontId="19" fillId="0" borderId="0" xfId="0" applyFont="1"/>
    <xf numFmtId="9" fontId="18" fillId="0" borderId="0" xfId="43" applyFont="1"/>
    <xf numFmtId="0" fontId="6" fillId="2" borderId="0" xfId="6"/>
    <xf numFmtId="0" fontId="0" fillId="8" borderId="8" xfId="15" applyFont="1"/>
    <xf numFmtId="0" fontId="17" fillId="25" borderId="0" xfId="34"/>
    <xf numFmtId="0" fontId="7" fillId="3" borderId="0" xfId="7" applyBorder="1"/>
    <xf numFmtId="0" fontId="20" fillId="0" borderId="0" xfId="0" applyFont="1"/>
    <xf numFmtId="0" fontId="7" fillId="3" borderId="0" xfId="7"/>
    <xf numFmtId="0" fontId="0" fillId="34" borderId="0" xfId="0" applyFill="1"/>
    <xf numFmtId="2" fontId="0" fillId="0" borderId="0" xfId="0" applyNumberFormat="1"/>
    <xf numFmtId="2" fontId="20" fillId="0" borderId="0" xfId="0" applyNumberFormat="1" applyFont="1"/>
    <xf numFmtId="43" fontId="0" fillId="0" borderId="0" xfId="44" applyFont="1"/>
    <xf numFmtId="0" fontId="16" fillId="0" borderId="0" xfId="0" applyFont="1" applyAlignment="1">
      <alignment horizontal="left"/>
    </xf>
    <xf numFmtId="0" fontId="0" fillId="8" borderId="10" xfId="15" applyFont="1" applyBorder="1"/>
    <xf numFmtId="0" fontId="0" fillId="35" borderId="11" xfId="0" applyFill="1" applyBorder="1"/>
    <xf numFmtId="0" fontId="21" fillId="0" borderId="0" xfId="0" applyFont="1"/>
    <xf numFmtId="0" fontId="23" fillId="0" borderId="0" xfId="0" applyFont="1"/>
    <xf numFmtId="0" fontId="22" fillId="33" borderId="0" xfId="0" applyFont="1" applyFill="1" applyAlignment="1">
      <alignment horizontal="center"/>
    </xf>
    <xf numFmtId="0" fontId="22" fillId="34" borderId="0" xfId="0" applyFont="1" applyFill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2670C1"/>
      <color rgb="FF66B372"/>
      <color rgb="FFF66B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Solved DM - CrowdfundingBook.xlsx]Pivot Category!PivotTable1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670C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886879422757666E-2"/>
          <c:y val="9.3050847457627119E-3"/>
          <c:w val="0.88241794422340314"/>
          <c:h val="0.942050847457627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E-AD4B-8B25-5AA9024512C3}"/>
            </c:ext>
          </c:extLst>
        </c:ser>
        <c:ser>
          <c:idx val="1"/>
          <c:order val="1"/>
          <c:tx>
            <c:strRef>
              <c:f>'Pivot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1E-AD4B-8B25-5AA9024512C3}"/>
            </c:ext>
          </c:extLst>
        </c:ser>
        <c:ser>
          <c:idx val="2"/>
          <c:order val="2"/>
          <c:tx>
            <c:strRef>
              <c:f>'Pivot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2670C1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1E-AD4B-8B25-5AA9024512C3}"/>
            </c:ext>
          </c:extLst>
        </c:ser>
        <c:ser>
          <c:idx val="3"/>
          <c:order val="3"/>
          <c:tx>
            <c:strRef>
              <c:f>'Pivot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1E-AD4B-8B25-5AA902451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66359423"/>
        <c:axId val="1666208527"/>
      </c:barChart>
      <c:catAx>
        <c:axId val="166635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208527"/>
        <c:crosses val="autoZero"/>
        <c:auto val="1"/>
        <c:lblAlgn val="ctr"/>
        <c:lblOffset val="100"/>
        <c:noMultiLvlLbl val="0"/>
      </c:catAx>
      <c:valAx>
        <c:axId val="166620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5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Solved DM - CrowdfundingBook.xlsx]Pivot sub-category!PivotTable2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670C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E-F840-9BD0-A33F8A856A39}"/>
            </c:ext>
          </c:extLst>
        </c:ser>
        <c:ser>
          <c:idx val="1"/>
          <c:order val="1"/>
          <c:tx>
            <c:strRef>
              <c:f>'Pivot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3CE-F840-9BD0-A33F8A856A39}"/>
            </c:ext>
          </c:extLst>
        </c:ser>
        <c:ser>
          <c:idx val="2"/>
          <c:order val="2"/>
          <c:tx>
            <c:strRef>
              <c:f>'Pivot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2670C1"/>
            </a:solidFill>
            <a:ln>
              <a:noFill/>
            </a:ln>
            <a:effectLst/>
          </c:spPr>
          <c:invertIfNegative val="0"/>
          <c:cat>
            <c:strRef>
              <c:f>'Pivot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3CE-F840-9BD0-A33F8A856A39}"/>
            </c:ext>
          </c:extLst>
        </c:ser>
        <c:ser>
          <c:idx val="3"/>
          <c:order val="3"/>
          <c:tx>
            <c:strRef>
              <c:f>'Pivot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3CE-F840-9BD0-A33F8A856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64001855"/>
        <c:axId val="1665299295"/>
      </c:barChart>
      <c:catAx>
        <c:axId val="166400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99295"/>
        <c:crosses val="autoZero"/>
        <c:auto val="1"/>
        <c:lblAlgn val="ctr"/>
        <c:lblOffset val="100"/>
        <c:noMultiLvlLbl val="0"/>
      </c:catAx>
      <c:valAx>
        <c:axId val="166529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0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Solved DM - CrowdfundingBook.xlsx]Pivot Chart!PT By Months</c:name>
    <c:fmtId val="1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6-E146-A6AD-60F6806D5B93}"/>
            </c:ext>
          </c:extLst>
        </c:ser>
        <c:ser>
          <c:idx val="1"/>
          <c:order val="1"/>
          <c:tx>
            <c:strRef>
              <c:f>'Pivot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6-E146-A6AD-60F6806D5B93}"/>
            </c:ext>
          </c:extLst>
        </c:ser>
        <c:ser>
          <c:idx val="2"/>
          <c:order val="2"/>
          <c:tx>
            <c:strRef>
              <c:f>'Pivot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6-E146-A6AD-60F6806D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603375"/>
        <c:axId val="1772627503"/>
      </c:lineChart>
      <c:catAx>
        <c:axId val="181660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27503"/>
        <c:crosses val="autoZero"/>
        <c:auto val="1"/>
        <c:lblAlgn val="ctr"/>
        <c:lblOffset val="100"/>
        <c:noMultiLvlLbl val="0"/>
      </c:catAx>
      <c:valAx>
        <c:axId val="17726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60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5-B74A-B567-A438EE2272FB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5-B74A-B567-A438EE2272FB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5-B74A-B567-A438EE22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519295"/>
        <c:axId val="1711986879"/>
      </c:lineChart>
      <c:catAx>
        <c:axId val="171151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86879"/>
        <c:crosses val="autoZero"/>
        <c:auto val="1"/>
        <c:lblAlgn val="ctr"/>
        <c:lblOffset val="100"/>
        <c:noMultiLvlLbl val="0"/>
      </c:catAx>
      <c:valAx>
        <c:axId val="17119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51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  <a:r>
              <a:rPr lang="en-US" baseline="0"/>
              <a:t> Projects</a:t>
            </a:r>
            <a:r>
              <a:rPr lang="en-US"/>
              <a:t> Backers Vs Failed Projects Backers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'Statistical Analysis'!$E$2</c:f>
              <c:strCache>
                <c:ptCount val="1"/>
                <c:pt idx="0">
                  <c:v>Success Projects backers_count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'Statistical Analysis'!$E$3:$E$42</c:f>
              <c:numCache>
                <c:formatCode>General</c:formatCode>
                <c:ptCount val="40"/>
                <c:pt idx="0">
                  <c:v>1396</c:v>
                </c:pt>
                <c:pt idx="1">
                  <c:v>2506</c:v>
                </c:pt>
                <c:pt idx="2">
                  <c:v>1561</c:v>
                </c:pt>
                <c:pt idx="3">
                  <c:v>2107</c:v>
                </c:pt>
                <c:pt idx="4">
                  <c:v>1442</c:v>
                </c:pt>
                <c:pt idx="5">
                  <c:v>1989</c:v>
                </c:pt>
                <c:pt idx="6">
                  <c:v>4498</c:v>
                </c:pt>
                <c:pt idx="7">
                  <c:v>2053</c:v>
                </c:pt>
                <c:pt idx="8">
                  <c:v>4289</c:v>
                </c:pt>
                <c:pt idx="9">
                  <c:v>1815</c:v>
                </c:pt>
                <c:pt idx="10">
                  <c:v>5880</c:v>
                </c:pt>
                <c:pt idx="11">
                  <c:v>943</c:v>
                </c:pt>
                <c:pt idx="12">
                  <c:v>2468</c:v>
                </c:pt>
                <c:pt idx="13">
                  <c:v>2551</c:v>
                </c:pt>
                <c:pt idx="14">
                  <c:v>1684</c:v>
                </c:pt>
                <c:pt idx="15">
                  <c:v>6465</c:v>
                </c:pt>
                <c:pt idx="16">
                  <c:v>1697</c:v>
                </c:pt>
                <c:pt idx="17">
                  <c:v>2768</c:v>
                </c:pt>
                <c:pt idx="18">
                  <c:v>1894</c:v>
                </c:pt>
                <c:pt idx="19">
                  <c:v>3742</c:v>
                </c:pt>
                <c:pt idx="20">
                  <c:v>5168</c:v>
                </c:pt>
                <c:pt idx="21">
                  <c:v>2441</c:v>
                </c:pt>
                <c:pt idx="22">
                  <c:v>1113</c:v>
                </c:pt>
                <c:pt idx="23">
                  <c:v>2283</c:v>
                </c:pt>
                <c:pt idx="24">
                  <c:v>1095</c:v>
                </c:pt>
                <c:pt idx="25">
                  <c:v>1690</c:v>
                </c:pt>
                <c:pt idx="26">
                  <c:v>2013</c:v>
                </c:pt>
                <c:pt idx="27">
                  <c:v>2875</c:v>
                </c:pt>
                <c:pt idx="28">
                  <c:v>5966</c:v>
                </c:pt>
                <c:pt idx="29">
                  <c:v>4799</c:v>
                </c:pt>
                <c:pt idx="30">
                  <c:v>1152</c:v>
                </c:pt>
                <c:pt idx="31">
                  <c:v>3059</c:v>
                </c:pt>
                <c:pt idx="32">
                  <c:v>5203</c:v>
                </c:pt>
                <c:pt idx="33">
                  <c:v>2526</c:v>
                </c:pt>
                <c:pt idx="34">
                  <c:v>1713</c:v>
                </c:pt>
                <c:pt idx="35">
                  <c:v>3131</c:v>
                </c:pt>
                <c:pt idx="36">
                  <c:v>6286</c:v>
                </c:pt>
                <c:pt idx="37">
                  <c:v>3727</c:v>
                </c:pt>
                <c:pt idx="38">
                  <c:v>1605</c:v>
                </c:pt>
                <c:pt idx="39">
                  <c:v>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6-0B46-AE2E-77F778D6EC7A}"/>
            </c:ext>
          </c:extLst>
        </c:ser>
        <c:ser>
          <c:idx val="1"/>
          <c:order val="1"/>
          <c:tx>
            <c:strRef>
              <c:f>'Statistical Analysis'!$P$2</c:f>
              <c:strCache>
                <c:ptCount val="1"/>
                <c:pt idx="0">
                  <c:v>Failed Projects backers_count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'Statistical Analysis'!$P$3:$P$42</c:f>
              <c:numCache>
                <c:formatCode>General</c:formatCode>
                <c:ptCount val="40"/>
                <c:pt idx="0">
                  <c:v>326</c:v>
                </c:pt>
                <c:pt idx="1">
                  <c:v>1467</c:v>
                </c:pt>
                <c:pt idx="2">
                  <c:v>5681</c:v>
                </c:pt>
                <c:pt idx="3">
                  <c:v>1059</c:v>
                </c:pt>
                <c:pt idx="4">
                  <c:v>1194</c:v>
                </c:pt>
                <c:pt idx="5">
                  <c:v>955</c:v>
                </c:pt>
                <c:pt idx="6">
                  <c:v>67</c:v>
                </c:pt>
                <c:pt idx="7">
                  <c:v>1130</c:v>
                </c:pt>
                <c:pt idx="8">
                  <c:v>782</c:v>
                </c:pt>
                <c:pt idx="9">
                  <c:v>886</c:v>
                </c:pt>
                <c:pt idx="10">
                  <c:v>168</c:v>
                </c:pt>
                <c:pt idx="11">
                  <c:v>40</c:v>
                </c:pt>
                <c:pt idx="12">
                  <c:v>1625</c:v>
                </c:pt>
                <c:pt idx="13">
                  <c:v>143</c:v>
                </c:pt>
                <c:pt idx="14">
                  <c:v>934</c:v>
                </c:pt>
                <c:pt idx="15">
                  <c:v>2179</c:v>
                </c:pt>
                <c:pt idx="16">
                  <c:v>931</c:v>
                </c:pt>
                <c:pt idx="17">
                  <c:v>1335</c:v>
                </c:pt>
                <c:pt idx="18">
                  <c:v>454</c:v>
                </c:pt>
                <c:pt idx="19">
                  <c:v>3182</c:v>
                </c:pt>
                <c:pt idx="20">
                  <c:v>2062</c:v>
                </c:pt>
                <c:pt idx="21">
                  <c:v>908</c:v>
                </c:pt>
                <c:pt idx="22">
                  <c:v>1910</c:v>
                </c:pt>
                <c:pt idx="23">
                  <c:v>245</c:v>
                </c:pt>
                <c:pt idx="24">
                  <c:v>803</c:v>
                </c:pt>
                <c:pt idx="25">
                  <c:v>80</c:v>
                </c:pt>
                <c:pt idx="26">
                  <c:v>2468</c:v>
                </c:pt>
                <c:pt idx="27">
                  <c:v>1072</c:v>
                </c:pt>
                <c:pt idx="28">
                  <c:v>1257</c:v>
                </c:pt>
                <c:pt idx="29">
                  <c:v>830</c:v>
                </c:pt>
                <c:pt idx="30">
                  <c:v>331</c:v>
                </c:pt>
                <c:pt idx="31">
                  <c:v>3483</c:v>
                </c:pt>
                <c:pt idx="32">
                  <c:v>923</c:v>
                </c:pt>
                <c:pt idx="33">
                  <c:v>2176</c:v>
                </c:pt>
                <c:pt idx="34">
                  <c:v>441</c:v>
                </c:pt>
                <c:pt idx="35">
                  <c:v>355</c:v>
                </c:pt>
                <c:pt idx="36">
                  <c:v>1068</c:v>
                </c:pt>
                <c:pt idx="37">
                  <c:v>424</c:v>
                </c:pt>
                <c:pt idx="38">
                  <c:v>151</c:v>
                </c:pt>
                <c:pt idx="39">
                  <c:v>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6-0B46-AE2E-77F778D6E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810303"/>
        <c:axId val="1885922175"/>
      </c:lineChart>
      <c:catAx>
        <c:axId val="188581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22175"/>
        <c:crosses val="autoZero"/>
        <c:auto val="1"/>
        <c:lblAlgn val="ctr"/>
        <c:lblOffset val="100"/>
        <c:noMultiLvlLbl val="0"/>
      </c:catAx>
      <c:valAx>
        <c:axId val="18859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81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'Statistical Analysis'!$E$2</c:f>
              <c:strCache>
                <c:ptCount val="1"/>
                <c:pt idx="0">
                  <c:v>Success Projects backers_count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'Statistical Analysis'!$E$3:$E$42</c:f>
              <c:numCache>
                <c:formatCode>General</c:formatCode>
                <c:ptCount val="40"/>
                <c:pt idx="0">
                  <c:v>1396</c:v>
                </c:pt>
                <c:pt idx="1">
                  <c:v>2506</c:v>
                </c:pt>
                <c:pt idx="2">
                  <c:v>1561</c:v>
                </c:pt>
                <c:pt idx="3">
                  <c:v>2107</c:v>
                </c:pt>
                <c:pt idx="4">
                  <c:v>1442</c:v>
                </c:pt>
                <c:pt idx="5">
                  <c:v>1989</c:v>
                </c:pt>
                <c:pt idx="6">
                  <c:v>4498</c:v>
                </c:pt>
                <c:pt idx="7">
                  <c:v>2053</c:v>
                </c:pt>
                <c:pt idx="8">
                  <c:v>4289</c:v>
                </c:pt>
                <c:pt idx="9">
                  <c:v>1815</c:v>
                </c:pt>
                <c:pt idx="10">
                  <c:v>5880</c:v>
                </c:pt>
                <c:pt idx="11">
                  <c:v>943</c:v>
                </c:pt>
                <c:pt idx="12">
                  <c:v>2468</c:v>
                </c:pt>
                <c:pt idx="13">
                  <c:v>2551</c:v>
                </c:pt>
                <c:pt idx="14">
                  <c:v>1684</c:v>
                </c:pt>
                <c:pt idx="15">
                  <c:v>6465</c:v>
                </c:pt>
                <c:pt idx="16">
                  <c:v>1697</c:v>
                </c:pt>
                <c:pt idx="17">
                  <c:v>2768</c:v>
                </c:pt>
                <c:pt idx="18">
                  <c:v>1894</c:v>
                </c:pt>
                <c:pt idx="19">
                  <c:v>3742</c:v>
                </c:pt>
                <c:pt idx="20">
                  <c:v>5168</c:v>
                </c:pt>
                <c:pt idx="21">
                  <c:v>2441</c:v>
                </c:pt>
                <c:pt idx="22">
                  <c:v>1113</c:v>
                </c:pt>
                <c:pt idx="23">
                  <c:v>2283</c:v>
                </c:pt>
                <c:pt idx="24">
                  <c:v>1095</c:v>
                </c:pt>
                <c:pt idx="25">
                  <c:v>1690</c:v>
                </c:pt>
                <c:pt idx="26">
                  <c:v>2013</c:v>
                </c:pt>
                <c:pt idx="27">
                  <c:v>2875</c:v>
                </c:pt>
                <c:pt idx="28">
                  <c:v>5966</c:v>
                </c:pt>
                <c:pt idx="29">
                  <c:v>4799</c:v>
                </c:pt>
                <c:pt idx="30">
                  <c:v>1152</c:v>
                </c:pt>
                <c:pt idx="31">
                  <c:v>3059</c:v>
                </c:pt>
                <c:pt idx="32">
                  <c:v>5203</c:v>
                </c:pt>
                <c:pt idx="33">
                  <c:v>2526</c:v>
                </c:pt>
                <c:pt idx="34">
                  <c:v>1713</c:v>
                </c:pt>
                <c:pt idx="35">
                  <c:v>3131</c:v>
                </c:pt>
                <c:pt idx="36">
                  <c:v>6286</c:v>
                </c:pt>
                <c:pt idx="37">
                  <c:v>3727</c:v>
                </c:pt>
                <c:pt idx="38">
                  <c:v>1605</c:v>
                </c:pt>
                <c:pt idx="39">
                  <c:v>2080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8-FE4D-AAF1-7BEEE21A8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347535"/>
        <c:axId val="1877134607"/>
      </c:scatterChart>
      <c:valAx>
        <c:axId val="18773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34607"/>
        <c:crosses val="autoZero"/>
        <c:crossBetween val="midCat"/>
      </c:valAx>
      <c:valAx>
        <c:axId val="18771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Backers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4753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Backers for Successful Projects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for Successful Projects</a:t>
          </a:r>
        </a:p>
      </cx:txPr>
    </cx:title>
    <cx:plotArea>
      <cx:plotAreaRegion>
        <cx:series layoutId="boxWhisker" uniqueId="{DB672ECE-DFDE-BA4D-A559-D5E26FDCA6FD}">
          <cx:tx>
            <cx:txData>
              <cx:f>_xlchart.v1.2</cx:f>
              <cx:v>Success Projects 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Backers For Failed Projects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For Failed Projects</a:t>
          </a:r>
        </a:p>
      </cx:txPr>
    </cx:title>
    <cx:plotArea>
      <cx:plotAreaRegion>
        <cx:series layoutId="boxWhisker" uniqueId="{1498F951-017C-B24B-B99C-3E238DEFC9DD}">
          <cx:tx>
            <cx:txData>
              <cx:f>_xlchart.v1.0</cx:f>
              <cx:v>Failed Projects 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0</xdr:row>
      <xdr:rowOff>63500</xdr:rowOff>
    </xdr:from>
    <xdr:to>
      <xdr:col>21</xdr:col>
      <xdr:colOff>38100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159B0-188A-DA42-617B-055FDAEBC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3</xdr:row>
      <xdr:rowOff>165100</xdr:rowOff>
    </xdr:from>
    <xdr:to>
      <xdr:col>22</xdr:col>
      <xdr:colOff>38100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EC0EC-3E89-7190-FC51-4D153BFA9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165100</xdr:rowOff>
    </xdr:from>
    <xdr:to>
      <xdr:col>10</xdr:col>
      <xdr:colOff>1397000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E6F2E-1504-892B-7074-E6064A422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16</xdr:row>
      <xdr:rowOff>101600</xdr:rowOff>
    </xdr:from>
    <xdr:to>
      <xdr:col>8</xdr:col>
      <xdr:colOff>393700</xdr:colOff>
      <xdr:row>40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CE11CD-9098-03DF-0838-EA6D96D17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22</xdr:row>
      <xdr:rowOff>165100</xdr:rowOff>
    </xdr:from>
    <xdr:to>
      <xdr:col>9</xdr:col>
      <xdr:colOff>1549400</xdr:colOff>
      <xdr:row>39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1F63EE9-1903-4B16-C634-38153DFC70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4550" y="4699000"/>
              <a:ext cx="5848350" cy="345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247650</xdr:colOff>
      <xdr:row>22</xdr:row>
      <xdr:rowOff>114300</xdr:rowOff>
    </xdr:from>
    <xdr:to>
      <xdr:col>24</xdr:col>
      <xdr:colOff>152400</xdr:colOff>
      <xdr:row>40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CD46AFD-DC55-1159-C383-6602BD28FB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95950" y="4648200"/>
              <a:ext cx="5683250" cy="372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844550</xdr:colOff>
      <xdr:row>47</xdr:row>
      <xdr:rowOff>25400</xdr:rowOff>
    </xdr:from>
    <xdr:to>
      <xdr:col>13</xdr:col>
      <xdr:colOff>139700</xdr:colOff>
      <xdr:row>65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3F3F59-7048-D7A6-2EA3-CA25E492F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431800</xdr:colOff>
      <xdr:row>5</xdr:row>
      <xdr:rowOff>12700</xdr:rowOff>
    </xdr:from>
    <xdr:to>
      <xdr:col>9</xdr:col>
      <xdr:colOff>927100</xdr:colOff>
      <xdr:row>21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860763-3CCB-E486-1614-8CCBDAFC4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4.548226736108" createdVersion="8" refreshedVersion="8" minRefreshableVersion="3" recordCount="1000" xr:uid="{A1339A2B-A69B-C445-996A-C81A9E3BBED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7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67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40A19-6897-634F-B608-1A5734E7F73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9FA08-874B-C845-A0ED-6EE65710613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BCCFB-032D-1647-927F-A1AF93AF413C}" name="PT By Months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workbookViewId="0">
      <selection activeCell="G14" sqref="G1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8.83203125" style="4" bestFit="1" customWidth="1"/>
    <col min="8" max="8" width="13" bestFit="1" customWidth="1"/>
    <col min="9" max="9" width="21" bestFit="1" customWidth="1"/>
    <col min="12" max="12" width="17.33203125" customWidth="1"/>
    <col min="13" max="13" width="23.6640625" customWidth="1"/>
    <col min="14" max="14" width="31.83203125" style="11" customWidth="1"/>
    <col min="15" max="15" width="23.6640625" style="11" customWidth="1"/>
    <col min="18" max="18" width="28" bestFit="1" customWidth="1"/>
    <col min="19" max="19" width="22.83203125" customWidth="1"/>
    <col min="20" max="20" width="16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5">
        <f>IF(ISERROR(E2/H2),0,E2/H2)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MID(R2,SEARCH("/",R2)+1,LEN(R2)-SEARCH("/",R2))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5">
        <f t="shared" ref="I3:I66" si="1">IF(ISERROR(E3/H3),0,E3/H3)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MID(R3,SEARCH("/",R3)+1,LEN(R3)-SEARCH("/",R3))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(E67/D67)*100</f>
        <v>236.14754098360655</v>
      </c>
      <c r="G67" t="s">
        <v>20</v>
      </c>
      <c r="H67">
        <v>236</v>
      </c>
      <c r="I67" s="5">
        <f t="shared" ref="I67:I130" si="7">IF(ISERROR(E67/H67),0,E67/H67)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8">(((L67/60)/60)/24)+DATE(1970,1,1)</f>
        <v>40570.25</v>
      </c>
      <c r="O67" s="11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MID(R67,SEARCH("/",R67)+1,LEN(R67)-SEARCH("/",R67))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8"/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(E131/D131)*100</f>
        <v>3.202693602693603</v>
      </c>
      <c r="G131" t="s">
        <v>74</v>
      </c>
      <c r="H131">
        <v>55</v>
      </c>
      <c r="I131" s="5">
        <f t="shared" ref="I131:I194" si="13">IF(ISERROR(E131/H131),0,E131/H131)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4">(((L131/60)/60)/24)+DATE(1970,1,1)</f>
        <v>42038.25</v>
      </c>
      <c r="O131" s="11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MID(R131,SEARCH("/",R131)+1,LEN(R131)-SEARCH("/",R131))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4"/>
        <v>41817.208333333336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(E195/D195)*100</f>
        <v>45.636363636363633</v>
      </c>
      <c r="G195" t="s">
        <v>14</v>
      </c>
      <c r="H195">
        <v>65</v>
      </c>
      <c r="I195" s="5">
        <f t="shared" ref="I195:I258" si="19">IF(ISERROR(E195/H195),0,E195/H195)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0">(((L195/60)/60)/24)+DATE(1970,1,1)</f>
        <v>43198.208333333328</v>
      </c>
      <c r="O195" s="11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MID(R195,SEARCH("/",R195)+1,LEN(R195)-SEARCH("/",R195))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0"/>
        <v>42393.25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(E259/D259)*100</f>
        <v>146</v>
      </c>
      <c r="G259" t="s">
        <v>20</v>
      </c>
      <c r="H259">
        <v>92</v>
      </c>
      <c r="I259" s="5">
        <f t="shared" ref="I259:I322" si="25">IF(ISERROR(E259/H259),0,E259/H259)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6">(((L259/60)/60)/24)+DATE(1970,1,1)</f>
        <v>41338.25</v>
      </c>
      <c r="O259" s="11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MID(R259,SEARCH("/",R259)+1,LEN(R259)-SEARCH("/",R259))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6"/>
        <v>40673.208333333336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(E323/D323)*100</f>
        <v>94.144366197183089</v>
      </c>
      <c r="G323" t="s">
        <v>14</v>
      </c>
      <c r="H323">
        <v>2468</v>
      </c>
      <c r="I323" s="5">
        <f t="shared" ref="I323:I386" si="31">IF(ISERROR(E323/H323),0,E323/H323)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2">(((L323/60)/60)/24)+DATE(1970,1,1)</f>
        <v>40634.208333333336</v>
      </c>
      <c r="O323" s="11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MID(R323,SEARCH("/",R323)+1,LEN(R323)-SEARCH("/",R323))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2"/>
        <v>42776.25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(E387/D387)*100</f>
        <v>146.16709511568124</v>
      </c>
      <c r="G387" t="s">
        <v>20</v>
      </c>
      <c r="H387">
        <v>1137</v>
      </c>
      <c r="I387" s="5">
        <f t="shared" ref="I387:I450" si="37">IF(ISERROR(E387/H387),0,E387/H387)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8">(((L387/60)/60)/24)+DATE(1970,1,1)</f>
        <v>43553.208333333328</v>
      </c>
      <c r="O387" s="11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MID(R387,SEARCH("/",R387)+1,LEN(R387)-SEARCH("/",R387))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8"/>
        <v>41378.208333333336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(E451/D451)*100</f>
        <v>967</v>
      </c>
      <c r="G451" t="s">
        <v>20</v>
      </c>
      <c r="H451">
        <v>86</v>
      </c>
      <c r="I451" s="5">
        <f t="shared" ref="I451:I514" si="43">IF(ISERROR(E451/H451),0,E451/H451)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4">(((L451/60)/60)/24)+DATE(1970,1,1)</f>
        <v>43530.25</v>
      </c>
      <c r="O451" s="11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MID(R451,SEARCH("/",R451)+1,LEN(R451)-SEARCH("/",R451))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4"/>
        <v>41825.208333333336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(E515/D515)*100</f>
        <v>39.277108433734945</v>
      </c>
      <c r="G515" t="s">
        <v>74</v>
      </c>
      <c r="H515">
        <v>35</v>
      </c>
      <c r="I515" s="5">
        <f t="shared" ref="I515:I578" si="49">IF(ISERROR(E515/H515),0,E515/H515)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0">(((L515/60)/60)/24)+DATE(1970,1,1)</f>
        <v>40430.208333333336</v>
      </c>
      <c r="O515" s="11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MID(R515,SEARCH("/",R515)+1,LEN(R515)-SEARCH("/",R515))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0"/>
        <v>43040.208333333328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(E579/D579)*100</f>
        <v>18.853658536585368</v>
      </c>
      <c r="G579" t="s">
        <v>74</v>
      </c>
      <c r="H579">
        <v>37</v>
      </c>
      <c r="I579" s="5">
        <f t="shared" ref="I579:I642" si="55">IF(ISERROR(E579/H579),0,E579/H579)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6">(((L579/60)/60)/24)+DATE(1970,1,1)</f>
        <v>40613.25</v>
      </c>
      <c r="O579" s="11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MID(R579,SEARCH("/",R579)+1,LEN(R579)-SEARCH("/",R579))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6"/>
        <v>42387.25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(E643/D643)*100</f>
        <v>119.96808510638297</v>
      </c>
      <c r="G643" t="s">
        <v>20</v>
      </c>
      <c r="H643">
        <v>194</v>
      </c>
      <c r="I643" s="5">
        <f t="shared" ref="I643:I706" si="61">IF(ISERROR(E643/H643),0,E643/H643)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2">(((L643/60)/60)/24)+DATE(1970,1,1)</f>
        <v>42786.25</v>
      </c>
      <c r="O643" s="11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MID(R643,SEARCH("/",R643)+1,LEN(R643)-SEARCH("/",R643))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2"/>
        <v>42555.208333333328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(E707/D707)*100</f>
        <v>99.026517383618156</v>
      </c>
      <c r="G707" t="s">
        <v>14</v>
      </c>
      <c r="H707">
        <v>2025</v>
      </c>
      <c r="I707" s="5">
        <f t="shared" ref="I707:I770" si="67">IF(ISERROR(E707/H707),0,E707/H707)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8">(((L707/60)/60)/24)+DATE(1970,1,1)</f>
        <v>41619.25</v>
      </c>
      <c r="O707" s="11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MID(R707,SEARCH("/",R707)+1,LEN(R707)-SEARCH("/",R707))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8"/>
        <v>41619.25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(E771/D771)*100</f>
        <v>86.867834394904463</v>
      </c>
      <c r="G771" t="s">
        <v>14</v>
      </c>
      <c r="H771">
        <v>3410</v>
      </c>
      <c r="I771" s="5">
        <f t="shared" ref="I771:I834" si="73">IF(ISERROR(E771/H771),0,E771/H771)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4">(((L771/60)/60)/24)+DATE(1970,1,1)</f>
        <v>41501.208333333336</v>
      </c>
      <c r="O771" s="11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MID(R771,SEARCH("/",R771)+1,LEN(R771)-SEARCH("/",R771))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4"/>
        <v>42299.208333333328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(E835/D835)*100</f>
        <v>157.69117647058823</v>
      </c>
      <c r="G835" t="s">
        <v>20</v>
      </c>
      <c r="H835">
        <v>165</v>
      </c>
      <c r="I835" s="5">
        <f t="shared" ref="I835:I898" si="79">IF(ISERROR(E835/H835),0,E835/H835)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0">(((L835/60)/60)/24)+DATE(1970,1,1)</f>
        <v>40588.25</v>
      </c>
      <c r="O835" s="11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MID(R835,SEARCH("/",R835)+1,LEN(R835)-SEARCH("/",R835))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(E899/D899)*100</f>
        <v>27.693181818181817</v>
      </c>
      <c r="G899" t="s">
        <v>14</v>
      </c>
      <c r="H899">
        <v>27</v>
      </c>
      <c r="I899" s="5">
        <f t="shared" ref="I899:I962" si="85">IF(ISERROR(E899/H899),0,E899/H899)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6">(((L899/60)/60)/24)+DATE(1970,1,1)</f>
        <v>43583.208333333328</v>
      </c>
      <c r="O899" s="11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MID(R899,SEARCH("/",R899)+1,LEN(R899)-SEARCH("/",R899))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6"/>
        <v>42408.25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(E963/D963)*100</f>
        <v>119.29824561403508</v>
      </c>
      <c r="G963" t="s">
        <v>20</v>
      </c>
      <c r="H963">
        <v>155</v>
      </c>
      <c r="I963" s="5">
        <f t="shared" ref="I963:I1001" si="91">IF(ISERROR(E963/H963),0,E963/H963)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2">(((L963/60)/60)/24)+DATE(1970,1,1)</f>
        <v>40591.25</v>
      </c>
      <c r="O963" s="11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MID(R963,SEARCH("/",R963)+1,LEN(R963)-SEARCH("/",R963))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:G1048576">
    <cfRule type="containsText" dxfId="7" priority="3" stopIfTrue="1" operator="containsText" text="canceled">
      <formula>NOT(ISERROR(SEARCH("canceled",G1)))</formula>
    </cfRule>
    <cfRule type="containsText" dxfId="6" priority="5" stopIfTrue="1" operator="containsText" text="live">
      <formula>NOT(ISERROR(SEARCH("live",G1)))</formula>
    </cfRule>
    <cfRule type="containsText" dxfId="5" priority="6" stopIfTrue="1" operator="containsText" text="failed">
      <formula>NOT(ISERROR(SEARCH("failed",G1)))</formula>
    </cfRule>
    <cfRule type="containsText" dxfId="4" priority="7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66B6C"/>
        <color rgb="FF66B372"/>
        <color rgb="FF2670C1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5D9F-926F-EC43-884F-E6D69B0F53A8}">
  <sheetPr codeName="Sheet2"/>
  <dimension ref="A1:F14"/>
  <sheetViews>
    <sheetView workbookViewId="0">
      <selection activeCell="H50" sqref="H5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2046</v>
      </c>
    </row>
    <row r="3" spans="1:6" x14ac:dyDescent="0.2">
      <c r="A3" s="7" t="s">
        <v>2045</v>
      </c>
      <c r="B3" s="7" t="s">
        <v>2044</v>
      </c>
    </row>
    <row r="4" spans="1:6" x14ac:dyDescent="0.2">
      <c r="A4" s="7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8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2037</v>
      </c>
      <c r="E8">
        <v>4</v>
      </c>
      <c r="F8">
        <v>4</v>
      </c>
    </row>
    <row r="9" spans="1:6" x14ac:dyDescent="0.2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642A-B38B-E444-AC6D-AE84C7CBDDD0}">
  <sheetPr codeName="Sheet3"/>
  <dimension ref="A1:F30"/>
  <sheetViews>
    <sheetView workbookViewId="0">
      <selection activeCell="F41" sqref="F4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2046</v>
      </c>
    </row>
    <row r="2" spans="1:6" x14ac:dyDescent="0.2">
      <c r="A2" s="7" t="s">
        <v>2031</v>
      </c>
      <c r="B2" t="s">
        <v>2046</v>
      </c>
    </row>
    <row r="4" spans="1:6" x14ac:dyDescent="0.2">
      <c r="A4" s="7" t="s">
        <v>2045</v>
      </c>
      <c r="B4" s="7" t="s">
        <v>2044</v>
      </c>
    </row>
    <row r="5" spans="1:6" x14ac:dyDescent="0.2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2048</v>
      </c>
      <c r="E7">
        <v>4</v>
      </c>
      <c r="F7">
        <v>4</v>
      </c>
    </row>
    <row r="8" spans="1:6" x14ac:dyDescent="0.2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2051</v>
      </c>
      <c r="C10">
        <v>8</v>
      </c>
      <c r="E10">
        <v>10</v>
      </c>
      <c r="F10">
        <v>18</v>
      </c>
    </row>
    <row r="11" spans="1:6" x14ac:dyDescent="0.2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2056</v>
      </c>
      <c r="C15">
        <v>3</v>
      </c>
      <c r="E15">
        <v>4</v>
      </c>
      <c r="F15">
        <v>7</v>
      </c>
    </row>
    <row r="16" spans="1:6" x14ac:dyDescent="0.2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2061</v>
      </c>
      <c r="C20">
        <v>4</v>
      </c>
      <c r="E20">
        <v>4</v>
      </c>
      <c r="F20">
        <v>8</v>
      </c>
    </row>
    <row r="21" spans="1:6" x14ac:dyDescent="0.2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2063</v>
      </c>
      <c r="C22">
        <v>9</v>
      </c>
      <c r="E22">
        <v>5</v>
      </c>
      <c r="F22">
        <v>14</v>
      </c>
    </row>
    <row r="23" spans="1:6" x14ac:dyDescent="0.2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2066</v>
      </c>
      <c r="C25">
        <v>7</v>
      </c>
      <c r="E25">
        <v>14</v>
      </c>
      <c r="F25">
        <v>21</v>
      </c>
    </row>
    <row r="26" spans="1:6" x14ac:dyDescent="0.2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2070</v>
      </c>
      <c r="E29">
        <v>3</v>
      </c>
      <c r="F29">
        <v>3</v>
      </c>
    </row>
    <row r="30" spans="1:6" x14ac:dyDescent="0.2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032D-EF72-074C-B661-7D5E2F388DCA}">
  <sheetPr codeName="Sheet4"/>
  <dimension ref="A1:E18"/>
  <sheetViews>
    <sheetView workbookViewId="0">
      <selection activeCell="C35" sqref="C3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29.33203125" bestFit="1" customWidth="1"/>
    <col min="8" max="8" width="15.6640625" bestFit="1" customWidth="1"/>
    <col min="9" max="9" width="29.33203125" bestFit="1" customWidth="1"/>
    <col min="10" max="10" width="20.5" bestFit="1" customWidth="1"/>
    <col min="11" max="11" width="34.1640625" bestFit="1" customWidth="1"/>
  </cols>
  <sheetData>
    <row r="1" spans="1:5" x14ac:dyDescent="0.2">
      <c r="A1" s="7" t="s">
        <v>2031</v>
      </c>
      <c r="B1" t="s">
        <v>2046</v>
      </c>
    </row>
    <row r="2" spans="1:5" x14ac:dyDescent="0.2">
      <c r="A2" s="7" t="s">
        <v>2076</v>
      </c>
      <c r="B2" t="s">
        <v>2046</v>
      </c>
    </row>
    <row r="4" spans="1:5" x14ac:dyDescent="0.2">
      <c r="A4" s="7" t="s">
        <v>2045</v>
      </c>
      <c r="B4" s="7" t="s">
        <v>2044</v>
      </c>
    </row>
    <row r="5" spans="1:5" x14ac:dyDescent="0.2">
      <c r="A5" s="7" t="s">
        <v>2034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4537-4571-BE4B-A971-BE644542E5A8}">
  <sheetPr codeName="Sheet5"/>
  <dimension ref="A1:H13"/>
  <sheetViews>
    <sheetView workbookViewId="0">
      <selection activeCell="K30" sqref="K30"/>
    </sheetView>
  </sheetViews>
  <sheetFormatPr baseColWidth="10" defaultRowHeight="16" x14ac:dyDescent="0.2"/>
  <cols>
    <col min="1" max="1" width="29.5" style="12" bestFit="1" customWidth="1"/>
    <col min="2" max="2" width="19" style="12" bestFit="1" customWidth="1"/>
    <col min="3" max="3" width="14.6640625" style="12" bestFit="1" customWidth="1"/>
    <col min="4" max="4" width="18" style="12" bestFit="1" customWidth="1"/>
    <col min="5" max="5" width="13.5" style="12" bestFit="1" customWidth="1"/>
    <col min="6" max="6" width="22.33203125" style="12" bestFit="1" customWidth="1"/>
    <col min="7" max="7" width="18" style="12" bestFit="1" customWidth="1"/>
    <col min="8" max="8" width="21.1640625" style="12" bestFit="1" customWidth="1"/>
    <col min="9" max="16384" width="10.83203125" style="12"/>
  </cols>
  <sheetData>
    <row r="1" spans="1:8" x14ac:dyDescent="0.2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2">
      <c r="A2" s="13" t="s">
        <v>2094</v>
      </c>
      <c r="B2" s="12">
        <f>COUNTIFS(Crowdfunding!$D:$D,"&lt;1000",Crowdfunding!$G:$G,"successful")</f>
        <v>30</v>
      </c>
      <c r="C2" s="12">
        <f>COUNTIFS(Crowdfunding!$D:$D,"&lt;1000",Crowdfunding!$G:$G,"failed")</f>
        <v>20</v>
      </c>
      <c r="D2" s="12">
        <f>COUNTIFS(Crowdfunding!$D:$D,"&lt;1000",Crowdfunding!$G:$G,"canceled")</f>
        <v>1</v>
      </c>
      <c r="E2" s="1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">
      <c r="A3" s="13" t="s">
        <v>2095</v>
      </c>
      <c r="B3" s="12">
        <f>COUNTIFS(Crowdfunding!$D:$D,"&gt;=1000",Crowdfunding!$D:$D,"&lt;5000",Crowdfunding!$G:$G,"successful")</f>
        <v>191</v>
      </c>
      <c r="C3" s="12">
        <f>COUNTIFS(Crowdfunding!$D:$D,"&gt;=1000",Crowdfunding!$D:$D,"&lt;5000",Crowdfunding!$G:$G,"failed")</f>
        <v>38</v>
      </c>
      <c r="D3" s="12">
        <f>COUNTIFS(Crowdfunding!$D:$D,"&gt;=1000",Crowdfunding!$D:$D,"&lt;5000",Crowdfunding!$G:$G,"canceled")</f>
        <v>2</v>
      </c>
      <c r="E3" s="12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">
      <c r="A4" s="13" t="s">
        <v>2096</v>
      </c>
      <c r="B4" s="12">
        <f>COUNTIFS(Crowdfunding!$D:$D,"&gt;=5000",Crowdfunding!$D:$D,"&lt;10000",Crowdfunding!$G:$G,"successful")</f>
        <v>164</v>
      </c>
      <c r="C4" s="12">
        <f>COUNTIFS(Crowdfunding!$D:$D,"&gt;=5000",Crowdfunding!$D:$D,"&lt;10000",Crowdfunding!$G:$G,"failed")</f>
        <v>126</v>
      </c>
      <c r="D4" s="12">
        <f>COUNTIFS(Crowdfunding!$D:$D,"&gt;=5000",Crowdfunding!$D:$D,"&lt;10000",Crowdfunding!$G:$G,"canceled")</f>
        <v>25</v>
      </c>
      <c r="E4" s="12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">
      <c r="A5" s="13" t="s">
        <v>2097</v>
      </c>
      <c r="B5" s="12">
        <f>COUNTIFS(Crowdfunding!$D:$D,"&gt;=10000",Crowdfunding!$D:$D,"&lt;15000",Crowdfunding!$G:$G,"successful")</f>
        <v>4</v>
      </c>
      <c r="C5" s="12">
        <f>COUNTIFS(Crowdfunding!$D:$D,"&gt;=10000",Crowdfunding!$D:$D,"&lt;15000",Crowdfunding!$G:$G,"failed")</f>
        <v>5</v>
      </c>
      <c r="D5" s="12">
        <f>COUNTIFS(Crowdfunding!$D:$D,"&gt;=10000",Crowdfunding!$D:$D,"&lt;15000",Crowdfunding!$G:$G,"canceled")</f>
        <v>0</v>
      </c>
      <c r="E5" s="12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">
      <c r="A6" s="13" t="s">
        <v>2098</v>
      </c>
      <c r="B6" s="12">
        <f>COUNTIFS(Crowdfunding!$D:$D,"&gt;=15000",Crowdfunding!$D:$D,"&lt;20000",Crowdfunding!$G:$G,"successful")</f>
        <v>10</v>
      </c>
      <c r="C6" s="12">
        <f>COUNTIFS(Crowdfunding!$D:$D,"&gt;=15000",Crowdfunding!$D:$D,"&lt;20000",Crowdfunding!$G:$G,"failed")</f>
        <v>0</v>
      </c>
      <c r="D6" s="12">
        <f>COUNTIFS(Crowdfunding!$D:$D,"&gt;=15000",Crowdfunding!$D:$D,"&lt;20000",Crowdfunding!$G:$G,"canceled")</f>
        <v>0</v>
      </c>
      <c r="E6" s="12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">
      <c r="A7" s="13" t="s">
        <v>2099</v>
      </c>
      <c r="B7" s="12">
        <f>COUNTIFS(Crowdfunding!$D:$D,"&gt;=20000",Crowdfunding!$D:$D,"&lt;25000",Crowdfunding!$G:$G,"successful")</f>
        <v>7</v>
      </c>
      <c r="C7" s="12">
        <f>COUNTIFS(Crowdfunding!$D:$D,"&gt;=20000",Crowdfunding!$D:$D,"&lt;25000",Crowdfunding!$G:$G,"failed")</f>
        <v>0</v>
      </c>
      <c r="D7" s="12">
        <f>COUNTIFS(Crowdfunding!$D:$D,"&gt;=20000",Crowdfunding!$D:$D,"&lt;25000",Crowdfunding!$G:$G,"canceled")</f>
        <v>0</v>
      </c>
      <c r="E7" s="12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">
      <c r="A8" s="13" t="s">
        <v>2100</v>
      </c>
      <c r="B8" s="12">
        <f>COUNTIFS(Crowdfunding!$D:$D,"&gt;=25000",Crowdfunding!$D:$D,"&lt;30000",Crowdfunding!$G:$G,"successful")</f>
        <v>11</v>
      </c>
      <c r="C8" s="12">
        <f>COUNTIFS(Crowdfunding!$D:$D,"&gt;=25000",Crowdfunding!$D:$D,"&lt;30000",Crowdfunding!$G:$G,"failed")</f>
        <v>3</v>
      </c>
      <c r="D8" s="12">
        <f>COUNTIFS(Crowdfunding!$D:$D,"&gt;=25000",Crowdfunding!$D:$D,"&lt;30000",Crowdfunding!$G:$G,"canceled")</f>
        <v>0</v>
      </c>
      <c r="E8" s="12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">
      <c r="A9" s="13" t="s">
        <v>2101</v>
      </c>
      <c r="B9" s="12">
        <f>COUNTIFS(Crowdfunding!$D:$D,"&gt;=30000",Crowdfunding!$D:$D,"&lt;35000",Crowdfunding!$G:$G,"successful")</f>
        <v>7</v>
      </c>
      <c r="C9" s="12">
        <f>COUNTIFS(Crowdfunding!$D:$D,"&gt;=30000",Crowdfunding!$D:$D,"&lt;35000",Crowdfunding!$G:$G,"failed")</f>
        <v>0</v>
      </c>
      <c r="D9" s="12">
        <f>COUNTIFS(Crowdfunding!$D:$D,"&gt;=30000",Crowdfunding!$D:$D,"&lt;35000",Crowdfunding!$G:$G,"canceled")</f>
        <v>0</v>
      </c>
      <c r="E9" s="12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">
      <c r="A10" s="13" t="s">
        <v>2102</v>
      </c>
      <c r="B10" s="12">
        <f>COUNTIFS(Crowdfunding!$D:$D,"&gt;=35000",Crowdfunding!$D:$D,"&lt;40000",Crowdfunding!$G:$G,"successful")</f>
        <v>8</v>
      </c>
      <c r="C10" s="12">
        <f>COUNTIFS(Crowdfunding!$D:$D,"&gt;=35000",Crowdfunding!$D:$D,"&lt;40000",Crowdfunding!$G:$G,"failed")</f>
        <v>3</v>
      </c>
      <c r="D10" s="12">
        <f>COUNTIFS(Crowdfunding!$D:$D,"&gt;=35000",Crowdfunding!$D:$D,"&lt;40000",Crowdfunding!$G:$G,"canceled")</f>
        <v>1</v>
      </c>
      <c r="E10" s="12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">
      <c r="A11" s="13" t="s">
        <v>2103</v>
      </c>
      <c r="B11" s="12">
        <f>COUNTIFS(Crowdfunding!$D:$D,"&gt;=40000",Crowdfunding!$D:$D,"&lt;45000",Crowdfunding!$G:$G,"successful")</f>
        <v>11</v>
      </c>
      <c r="C11" s="12">
        <f>COUNTIFS(Crowdfunding!$D:$D,"&gt;=40000",Crowdfunding!$D:$D,"&lt;45000",Crowdfunding!$G:$G,"failed")</f>
        <v>3</v>
      </c>
      <c r="D11" s="12">
        <f>COUNTIFS(Crowdfunding!$D:$D,"&gt;=40000",Crowdfunding!$D:$D,"&lt;45000",Crowdfunding!$G:$G,"canceled")</f>
        <v>0</v>
      </c>
      <c r="E11" s="12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">
      <c r="A12" s="13" t="s">
        <v>2104</v>
      </c>
      <c r="B12" s="12">
        <f>COUNTIFS(Crowdfunding!$D:$D,"&gt;=45000",Crowdfunding!$D:$D,"&lt;50000",Crowdfunding!$G:$G,"successful")</f>
        <v>8</v>
      </c>
      <c r="C12" s="12">
        <f>COUNTIFS(Crowdfunding!$D:$D,"&gt;=45000",Crowdfunding!$D:$D,"&lt;50000",Crowdfunding!$G:$G,"failed")</f>
        <v>3</v>
      </c>
      <c r="D12" s="12">
        <f>COUNTIFS(Crowdfunding!$D:$D,"&gt;=45000",Crowdfunding!$D:$D,"&lt;50000",Crowdfunding!$G:$G,"canceled")</f>
        <v>0</v>
      </c>
      <c r="E12" s="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">
      <c r="A13" s="13" t="s">
        <v>2105</v>
      </c>
      <c r="B13" s="12">
        <f>COUNTIFS(Crowdfunding!$D:$D,"&gt;=50000",Crowdfunding!$G:$G,"successful")</f>
        <v>114</v>
      </c>
      <c r="C13" s="12">
        <f>COUNTIFS(Crowdfunding!$D:$D,"&gt;=50000",Crowdfunding!$G:$G,"failed")</f>
        <v>163</v>
      </c>
      <c r="D13" s="12">
        <f>COUNTIFS(Crowdfunding!$D:$D,"&gt;=50000",Crowdfunding!$G:$G,"canceled")</f>
        <v>28</v>
      </c>
      <c r="E13" s="12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176C-3EDB-E343-8296-6BDB3212445B}">
  <sheetPr codeName="Sheet6"/>
  <dimension ref="A1:W87"/>
  <sheetViews>
    <sheetView tabSelected="1" zoomScale="60" zoomScaleNormal="60" workbookViewId="0">
      <selection activeCell="E56" sqref="E56"/>
    </sheetView>
  </sheetViews>
  <sheetFormatPr baseColWidth="10" defaultRowHeight="16" x14ac:dyDescent="0.2"/>
  <cols>
    <col min="1" max="1" width="33" bestFit="1" customWidth="1"/>
    <col min="2" max="2" width="13" style="24" bestFit="1" customWidth="1"/>
    <col min="3" max="3" width="5.5" customWidth="1"/>
    <col min="4" max="4" width="9.5" bestFit="1" customWidth="1"/>
    <col min="5" max="5" width="13" bestFit="1" customWidth="1"/>
    <col min="6" max="7" width="13" customWidth="1"/>
    <col min="8" max="8" width="19.1640625" customWidth="1"/>
    <col min="9" max="9" width="15" customWidth="1"/>
    <col min="10" max="10" width="22.6640625" customWidth="1"/>
    <col min="11" max="11" width="1.1640625" style="27" customWidth="1"/>
    <col min="12" max="12" width="33" bestFit="1" customWidth="1"/>
    <col min="13" max="13" width="13" bestFit="1" customWidth="1"/>
    <col min="14" max="14" width="8.33203125" customWidth="1"/>
    <col min="15" max="15" width="8.33203125" bestFit="1" customWidth="1"/>
    <col min="16" max="16" width="13" bestFit="1" customWidth="1"/>
    <col min="17" max="17" width="4.5" customWidth="1"/>
  </cols>
  <sheetData>
    <row r="1" spans="1:23" ht="21" x14ac:dyDescent="0.25">
      <c r="A1" s="30" t="s">
        <v>2113</v>
      </c>
      <c r="B1" s="30"/>
      <c r="C1" s="30"/>
      <c r="D1" s="30"/>
      <c r="E1" s="30"/>
      <c r="F1" s="30"/>
      <c r="G1" s="30"/>
      <c r="H1" s="30"/>
      <c r="I1" s="30"/>
      <c r="J1" s="30"/>
      <c r="L1" s="31" t="s">
        <v>2114</v>
      </c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2">
      <c r="D2" t="s">
        <v>4</v>
      </c>
      <c r="E2" s="25" t="s">
        <v>2122</v>
      </c>
      <c r="F2" s="1"/>
      <c r="G2" s="1"/>
      <c r="H2" s="1"/>
      <c r="I2" s="1"/>
      <c r="J2" s="1"/>
      <c r="O2" t="s">
        <v>4</v>
      </c>
      <c r="P2" s="1" t="s">
        <v>2121</v>
      </c>
    </row>
    <row r="3" spans="1:23" x14ac:dyDescent="0.2">
      <c r="D3" t="s">
        <v>20</v>
      </c>
      <c r="E3">
        <v>1396</v>
      </c>
      <c r="O3" s="21" t="s">
        <v>14</v>
      </c>
      <c r="P3">
        <v>326</v>
      </c>
    </row>
    <row r="4" spans="1:23" x14ac:dyDescent="0.2">
      <c r="A4" t="s">
        <v>2115</v>
      </c>
      <c r="B4" s="24">
        <f>AVERAGE(backers_yes)</f>
        <v>2841.8249999999998</v>
      </c>
      <c r="D4" t="s">
        <v>20</v>
      </c>
      <c r="E4">
        <v>2506</v>
      </c>
      <c r="L4" t="s">
        <v>2115</v>
      </c>
      <c r="M4" s="24">
        <f>AVERAGE(backers_no)</f>
        <v>1178.325</v>
      </c>
      <c r="N4" s="24"/>
      <c r="O4" s="21" t="s">
        <v>14</v>
      </c>
      <c r="P4">
        <v>1467</v>
      </c>
    </row>
    <row r="5" spans="1:23" x14ac:dyDescent="0.2">
      <c r="A5" t="s">
        <v>2116</v>
      </c>
      <c r="B5" s="24">
        <f>MEDIAN(backers_yes)</f>
        <v>2362</v>
      </c>
      <c r="D5" t="s">
        <v>20</v>
      </c>
      <c r="E5">
        <v>1561</v>
      </c>
      <c r="L5" t="s">
        <v>2116</v>
      </c>
      <c r="M5" s="24">
        <f>MEDIAN(backers_no)</f>
        <v>932.5</v>
      </c>
      <c r="N5" s="24"/>
      <c r="O5" s="21" t="s">
        <v>14</v>
      </c>
      <c r="P5">
        <v>5681</v>
      </c>
    </row>
    <row r="6" spans="1:23" x14ac:dyDescent="0.2">
      <c r="A6" t="s">
        <v>2117</v>
      </c>
      <c r="B6" s="24">
        <f>MIN(backers_yes)</f>
        <v>943</v>
      </c>
      <c r="D6" t="s">
        <v>20</v>
      </c>
      <c r="E6">
        <v>2107</v>
      </c>
      <c r="L6" t="s">
        <v>2117</v>
      </c>
      <c r="M6" s="24">
        <f>MIN(backers_no)</f>
        <v>40</v>
      </c>
      <c r="N6" s="24"/>
      <c r="O6" s="21" t="s">
        <v>14</v>
      </c>
      <c r="P6">
        <v>1059</v>
      </c>
    </row>
    <row r="7" spans="1:23" x14ac:dyDescent="0.2">
      <c r="A7" t="s">
        <v>2118</v>
      </c>
      <c r="B7" s="24">
        <f>MAX(backers_yes)</f>
        <v>6465</v>
      </c>
      <c r="D7" t="s">
        <v>20</v>
      </c>
      <c r="E7">
        <v>1442</v>
      </c>
      <c r="L7" t="s">
        <v>2118</v>
      </c>
      <c r="M7" s="24">
        <f>MAX(backers_no)</f>
        <v>5681</v>
      </c>
      <c r="N7" s="24"/>
      <c r="O7" s="21" t="s">
        <v>14</v>
      </c>
      <c r="P7">
        <v>1194</v>
      </c>
    </row>
    <row r="8" spans="1:23" x14ac:dyDescent="0.2">
      <c r="A8" t="s">
        <v>2119</v>
      </c>
      <c r="B8" s="24">
        <f>_xlfn.VAR.P(backers_yes)</f>
        <v>2408971.7443749998</v>
      </c>
      <c r="D8" t="s">
        <v>20</v>
      </c>
      <c r="E8">
        <v>1989</v>
      </c>
      <c r="L8" t="s">
        <v>2119</v>
      </c>
      <c r="M8" s="24">
        <f>_xlfn.VAR.P(backers_no)</f>
        <v>1186115.7693749999</v>
      </c>
      <c r="N8" s="24"/>
      <c r="O8" s="21" t="s">
        <v>14</v>
      </c>
      <c r="P8">
        <v>955</v>
      </c>
    </row>
    <row r="9" spans="1:23" x14ac:dyDescent="0.2">
      <c r="A9" t="s">
        <v>2120</v>
      </c>
      <c r="B9" s="24">
        <f>STDEV(backers_yes)</f>
        <v>1571.8588520096278</v>
      </c>
      <c r="D9" t="s">
        <v>20</v>
      </c>
      <c r="E9">
        <v>4498</v>
      </c>
      <c r="L9" t="s">
        <v>2120</v>
      </c>
      <c r="M9" s="24">
        <f>STDEV(backers_no)</f>
        <v>1102.9637320559407</v>
      </c>
      <c r="N9" s="24"/>
      <c r="O9" s="21" t="s">
        <v>14</v>
      </c>
      <c r="P9">
        <v>67</v>
      </c>
    </row>
    <row r="10" spans="1:23" x14ac:dyDescent="0.2">
      <c r="D10" t="s">
        <v>20</v>
      </c>
      <c r="E10">
        <v>2053</v>
      </c>
      <c r="O10" s="21" t="s">
        <v>14</v>
      </c>
      <c r="P10">
        <v>1130</v>
      </c>
    </row>
    <row r="11" spans="1:23" x14ac:dyDescent="0.2">
      <c r="D11" t="s">
        <v>20</v>
      </c>
      <c r="E11">
        <v>4289</v>
      </c>
      <c r="O11" s="21" t="s">
        <v>14</v>
      </c>
      <c r="P11">
        <v>782</v>
      </c>
    </row>
    <row r="12" spans="1:23" x14ac:dyDescent="0.2">
      <c r="D12" t="s">
        <v>20</v>
      </c>
      <c r="E12">
        <v>1815</v>
      </c>
      <c r="O12" s="21" t="s">
        <v>14</v>
      </c>
      <c r="P12">
        <v>886</v>
      </c>
    </row>
    <row r="13" spans="1:23" x14ac:dyDescent="0.2">
      <c r="D13" t="s">
        <v>20</v>
      </c>
      <c r="E13">
        <v>5880</v>
      </c>
      <c r="O13" s="21" t="s">
        <v>14</v>
      </c>
      <c r="P13">
        <v>168</v>
      </c>
    </row>
    <row r="14" spans="1:23" x14ac:dyDescent="0.2">
      <c r="D14" t="s">
        <v>20</v>
      </c>
      <c r="E14">
        <v>943</v>
      </c>
      <c r="O14" s="21" t="s">
        <v>14</v>
      </c>
      <c r="P14">
        <v>40</v>
      </c>
    </row>
    <row r="15" spans="1:23" x14ac:dyDescent="0.2">
      <c r="D15" t="s">
        <v>20</v>
      </c>
      <c r="E15">
        <v>2468</v>
      </c>
      <c r="O15" s="21" t="s">
        <v>14</v>
      </c>
      <c r="P15">
        <v>1625</v>
      </c>
    </row>
    <row r="16" spans="1:23" x14ac:dyDescent="0.2">
      <c r="D16" t="s">
        <v>20</v>
      </c>
      <c r="E16">
        <v>2551</v>
      </c>
      <c r="O16" s="21" t="s">
        <v>14</v>
      </c>
      <c r="P16">
        <v>143</v>
      </c>
    </row>
    <row r="17" spans="1:16" x14ac:dyDescent="0.2">
      <c r="A17" s="15" t="s">
        <v>2106</v>
      </c>
      <c r="B17" s="22">
        <f>_xlfn.QUARTILE.EXC(backers_yes,1)</f>
        <v>1691.75</v>
      </c>
      <c r="D17" t="s">
        <v>20</v>
      </c>
      <c r="E17">
        <v>1684</v>
      </c>
      <c r="L17" s="15" t="s">
        <v>2106</v>
      </c>
      <c r="M17">
        <f>_xlfn.QUARTILE.EXC(backers_no,1)</f>
        <v>372.25</v>
      </c>
      <c r="O17" s="21" t="s">
        <v>14</v>
      </c>
      <c r="P17">
        <v>934</v>
      </c>
    </row>
    <row r="18" spans="1:16" x14ac:dyDescent="0.2">
      <c r="A18" s="16" t="s">
        <v>2107</v>
      </c>
      <c r="B18" s="22">
        <f>MEDIAN(backers_yes)</f>
        <v>2362</v>
      </c>
      <c r="D18" t="s">
        <v>20</v>
      </c>
      <c r="E18">
        <v>6465</v>
      </c>
      <c r="L18" s="26" t="s">
        <v>2107</v>
      </c>
      <c r="M18">
        <f>MEDIAN(backers_no)</f>
        <v>932.5</v>
      </c>
      <c r="O18" s="21" t="s">
        <v>14</v>
      </c>
      <c r="P18">
        <v>2179</v>
      </c>
    </row>
    <row r="19" spans="1:16" x14ac:dyDescent="0.2">
      <c r="A19" s="16" t="s">
        <v>2108</v>
      </c>
      <c r="B19" s="22">
        <f>_xlfn.QUARTILE.EXC(backers_yes,2)</f>
        <v>2362</v>
      </c>
      <c r="D19" t="s">
        <v>20</v>
      </c>
      <c r="E19">
        <v>1697</v>
      </c>
      <c r="L19" s="26" t="s">
        <v>2108</v>
      </c>
      <c r="M19">
        <f>_xlfn.QUARTILE.EXC(backers_no,2)</f>
        <v>932.5</v>
      </c>
      <c r="O19" s="21" t="s">
        <v>14</v>
      </c>
      <c r="P19">
        <v>931</v>
      </c>
    </row>
    <row r="20" spans="1:16" x14ac:dyDescent="0.2">
      <c r="A20" s="17" t="s">
        <v>2109</v>
      </c>
      <c r="B20" s="22">
        <f>_xlfn.QUARTILE.EXC(backers_yes,3)</f>
        <v>3738.25</v>
      </c>
      <c r="D20" t="s">
        <v>20</v>
      </c>
      <c r="E20">
        <v>2768</v>
      </c>
      <c r="L20" s="17" t="s">
        <v>2109</v>
      </c>
      <c r="M20">
        <f>_xlfn.QUARTILE.EXC(backers_no,3)</f>
        <v>1572.75</v>
      </c>
      <c r="O20" s="21" t="s">
        <v>14</v>
      </c>
      <c r="P20">
        <v>1335</v>
      </c>
    </row>
    <row r="21" spans="1:16" x14ac:dyDescent="0.2">
      <c r="A21" t="s">
        <v>2110</v>
      </c>
      <c r="B21" s="22">
        <f>B20-B17</f>
        <v>2046.5</v>
      </c>
      <c r="D21" t="s">
        <v>20</v>
      </c>
      <c r="E21">
        <v>1894</v>
      </c>
      <c r="L21" t="s">
        <v>2110</v>
      </c>
      <c r="M21">
        <f>M20-M17</f>
        <v>1200.5</v>
      </c>
      <c r="O21" s="21" t="s">
        <v>14</v>
      </c>
      <c r="P21">
        <v>454</v>
      </c>
    </row>
    <row r="22" spans="1:16" x14ac:dyDescent="0.2">
      <c r="B22" s="22"/>
      <c r="D22" t="s">
        <v>20</v>
      </c>
      <c r="E22">
        <v>3742</v>
      </c>
      <c r="O22" s="21" t="s">
        <v>14</v>
      </c>
      <c r="P22">
        <v>3182</v>
      </c>
    </row>
    <row r="23" spans="1:16" x14ac:dyDescent="0.2">
      <c r="A23" s="18" t="s">
        <v>2111</v>
      </c>
      <c r="B23" s="23">
        <f>B17-(1.5*B21)</f>
        <v>-1378</v>
      </c>
      <c r="C23" s="19"/>
      <c r="D23" t="s">
        <v>20</v>
      </c>
      <c r="E23">
        <v>5168</v>
      </c>
      <c r="L23" s="18" t="s">
        <v>2111</v>
      </c>
      <c r="M23" s="19">
        <f>M17-(1.5*M21)</f>
        <v>-1428.5</v>
      </c>
      <c r="N23" s="19"/>
      <c r="O23" s="21" t="s">
        <v>14</v>
      </c>
      <c r="P23">
        <v>2062</v>
      </c>
    </row>
    <row r="24" spans="1:16" x14ac:dyDescent="0.2">
      <c r="A24" s="20" t="s">
        <v>2112</v>
      </c>
      <c r="B24" s="22">
        <f>B20+(1.5*B21)</f>
        <v>6808</v>
      </c>
      <c r="D24" t="s">
        <v>20</v>
      </c>
      <c r="E24">
        <v>2441</v>
      </c>
      <c r="L24" s="20" t="s">
        <v>2112</v>
      </c>
      <c r="M24">
        <f>M20+(1.5*M21)</f>
        <v>3373.5</v>
      </c>
      <c r="O24" s="21" t="s">
        <v>14</v>
      </c>
      <c r="P24">
        <v>908</v>
      </c>
    </row>
    <row r="25" spans="1:16" x14ac:dyDescent="0.2">
      <c r="D25" t="s">
        <v>20</v>
      </c>
      <c r="E25">
        <v>1113</v>
      </c>
      <c r="O25" s="21" t="s">
        <v>14</v>
      </c>
      <c r="P25">
        <v>1910</v>
      </c>
    </row>
    <row r="26" spans="1:16" x14ac:dyDescent="0.2">
      <c r="D26" t="s">
        <v>20</v>
      </c>
      <c r="E26">
        <v>2283</v>
      </c>
      <c r="O26" s="21" t="s">
        <v>14</v>
      </c>
      <c r="P26">
        <v>245</v>
      </c>
    </row>
    <row r="27" spans="1:16" x14ac:dyDescent="0.2">
      <c r="D27" t="s">
        <v>20</v>
      </c>
      <c r="E27">
        <v>1095</v>
      </c>
      <c r="O27" s="21" t="s">
        <v>14</v>
      </c>
      <c r="P27">
        <v>803</v>
      </c>
    </row>
    <row r="28" spans="1:16" x14ac:dyDescent="0.2">
      <c r="D28" t="s">
        <v>20</v>
      </c>
      <c r="E28">
        <v>1690</v>
      </c>
      <c r="O28" s="21" t="s">
        <v>14</v>
      </c>
      <c r="P28">
        <v>80</v>
      </c>
    </row>
    <row r="29" spans="1:16" x14ac:dyDescent="0.2">
      <c r="D29" t="s">
        <v>20</v>
      </c>
      <c r="E29">
        <v>2013</v>
      </c>
      <c r="O29" s="21" t="s">
        <v>14</v>
      </c>
      <c r="P29">
        <v>2468</v>
      </c>
    </row>
    <row r="30" spans="1:16" x14ac:dyDescent="0.2">
      <c r="D30" t="s">
        <v>20</v>
      </c>
      <c r="E30">
        <v>2875</v>
      </c>
      <c r="O30" s="21" t="s">
        <v>14</v>
      </c>
      <c r="P30">
        <v>1072</v>
      </c>
    </row>
    <row r="31" spans="1:16" x14ac:dyDescent="0.2">
      <c r="D31" t="s">
        <v>20</v>
      </c>
      <c r="E31">
        <v>5966</v>
      </c>
      <c r="O31" s="21" t="s">
        <v>14</v>
      </c>
      <c r="P31">
        <v>1257</v>
      </c>
    </row>
    <row r="32" spans="1:16" x14ac:dyDescent="0.2">
      <c r="D32" t="s">
        <v>20</v>
      </c>
      <c r="E32">
        <v>4799</v>
      </c>
      <c r="O32" s="21" t="s">
        <v>14</v>
      </c>
      <c r="P32">
        <v>830</v>
      </c>
    </row>
    <row r="33" spans="1:16" x14ac:dyDescent="0.2">
      <c r="D33" t="s">
        <v>20</v>
      </c>
      <c r="E33">
        <v>1152</v>
      </c>
      <c r="O33" s="21" t="s">
        <v>14</v>
      </c>
      <c r="P33">
        <v>331</v>
      </c>
    </row>
    <row r="34" spans="1:16" x14ac:dyDescent="0.2">
      <c r="D34" t="s">
        <v>20</v>
      </c>
      <c r="E34">
        <v>3059</v>
      </c>
      <c r="O34" s="21" t="s">
        <v>14</v>
      </c>
      <c r="P34">
        <v>3483</v>
      </c>
    </row>
    <row r="35" spans="1:16" x14ac:dyDescent="0.2">
      <c r="D35" t="s">
        <v>20</v>
      </c>
      <c r="E35">
        <v>5203</v>
      </c>
      <c r="O35" s="21" t="s">
        <v>14</v>
      </c>
      <c r="P35">
        <v>923</v>
      </c>
    </row>
    <row r="36" spans="1:16" x14ac:dyDescent="0.2">
      <c r="D36" t="s">
        <v>20</v>
      </c>
      <c r="E36">
        <v>2526</v>
      </c>
      <c r="O36" s="21" t="s">
        <v>14</v>
      </c>
      <c r="P36">
        <v>2176</v>
      </c>
    </row>
    <row r="37" spans="1:16" x14ac:dyDescent="0.2">
      <c r="D37" t="s">
        <v>20</v>
      </c>
      <c r="E37">
        <v>1713</v>
      </c>
      <c r="O37" s="21" t="s">
        <v>14</v>
      </c>
      <c r="P37">
        <v>441</v>
      </c>
    </row>
    <row r="38" spans="1:16" x14ac:dyDescent="0.2">
      <c r="D38" t="s">
        <v>20</v>
      </c>
      <c r="E38">
        <v>3131</v>
      </c>
      <c r="O38" s="21" t="s">
        <v>14</v>
      </c>
      <c r="P38">
        <v>355</v>
      </c>
    </row>
    <row r="39" spans="1:16" x14ac:dyDescent="0.2">
      <c r="D39" t="s">
        <v>20</v>
      </c>
      <c r="E39">
        <v>6286</v>
      </c>
      <c r="O39" s="21" t="s">
        <v>14</v>
      </c>
      <c r="P39">
        <v>1068</v>
      </c>
    </row>
    <row r="40" spans="1:16" x14ac:dyDescent="0.2">
      <c r="D40" t="s">
        <v>20</v>
      </c>
      <c r="E40">
        <v>3727</v>
      </c>
      <c r="O40" s="21" t="s">
        <v>14</v>
      </c>
      <c r="P40">
        <v>424</v>
      </c>
    </row>
    <row r="41" spans="1:16" x14ac:dyDescent="0.2">
      <c r="D41" t="s">
        <v>20</v>
      </c>
      <c r="E41">
        <v>1605</v>
      </c>
      <c r="O41" s="21" t="s">
        <v>14</v>
      </c>
      <c r="P41">
        <v>151</v>
      </c>
    </row>
    <row r="42" spans="1:16" x14ac:dyDescent="0.2">
      <c r="D42" t="s">
        <v>20</v>
      </c>
      <c r="E42">
        <v>2080</v>
      </c>
      <c r="O42" s="21" t="s">
        <v>14</v>
      </c>
      <c r="P42">
        <v>1608</v>
      </c>
    </row>
    <row r="44" spans="1:16" x14ac:dyDescent="0.2">
      <c r="K44"/>
    </row>
    <row r="45" spans="1:16" x14ac:dyDescent="0.2">
      <c r="K45"/>
    </row>
    <row r="46" spans="1:16" ht="24" x14ac:dyDescent="0.3">
      <c r="A46" s="29" t="s">
        <v>2123</v>
      </c>
      <c r="K46"/>
    </row>
    <row r="47" spans="1:16" ht="19" x14ac:dyDescent="0.25">
      <c r="A47" s="28" t="s">
        <v>2124</v>
      </c>
      <c r="K47"/>
    </row>
    <row r="48" spans="1:16" ht="19" x14ac:dyDescent="0.25">
      <c r="A48" s="28" t="s">
        <v>2127</v>
      </c>
      <c r="K48"/>
    </row>
    <row r="49" spans="1:11" ht="19" x14ac:dyDescent="0.25">
      <c r="A49" s="28" t="s">
        <v>2125</v>
      </c>
      <c r="K49"/>
    </row>
    <row r="50" spans="1:11" ht="19" x14ac:dyDescent="0.25">
      <c r="A50" s="28" t="s">
        <v>2126</v>
      </c>
      <c r="K50"/>
    </row>
    <row r="51" spans="1:11" x14ac:dyDescent="0.2">
      <c r="K51"/>
    </row>
    <row r="52" spans="1:11" x14ac:dyDescent="0.2">
      <c r="K52"/>
    </row>
    <row r="53" spans="1:11" x14ac:dyDescent="0.2">
      <c r="K53"/>
    </row>
    <row r="54" spans="1:11" x14ac:dyDescent="0.2">
      <c r="K54"/>
    </row>
    <row r="55" spans="1:11" x14ac:dyDescent="0.2">
      <c r="K55"/>
    </row>
    <row r="56" spans="1:11" x14ac:dyDescent="0.2">
      <c r="K56"/>
    </row>
    <row r="57" spans="1:11" x14ac:dyDescent="0.2">
      <c r="K57"/>
    </row>
    <row r="58" spans="1:11" x14ac:dyDescent="0.2">
      <c r="K58"/>
    </row>
    <row r="59" spans="1:11" x14ac:dyDescent="0.2">
      <c r="K59"/>
    </row>
    <row r="60" spans="1:11" x14ac:dyDescent="0.2">
      <c r="K60"/>
    </row>
    <row r="61" spans="1:11" x14ac:dyDescent="0.2">
      <c r="K61"/>
    </row>
    <row r="62" spans="1:11" x14ac:dyDescent="0.2">
      <c r="K62"/>
    </row>
    <row r="63" spans="1:11" x14ac:dyDescent="0.2">
      <c r="K63"/>
    </row>
    <row r="64" spans="1:11" x14ac:dyDescent="0.2">
      <c r="K64"/>
    </row>
    <row r="65" spans="11:11" x14ac:dyDescent="0.2">
      <c r="K65"/>
    </row>
    <row r="66" spans="11:11" x14ac:dyDescent="0.2">
      <c r="K66"/>
    </row>
    <row r="67" spans="11:11" x14ac:dyDescent="0.2">
      <c r="K67"/>
    </row>
    <row r="68" spans="11:11" x14ac:dyDescent="0.2">
      <c r="K68"/>
    </row>
    <row r="69" spans="11:11" x14ac:dyDescent="0.2">
      <c r="K69"/>
    </row>
    <row r="70" spans="11:11" x14ac:dyDescent="0.2">
      <c r="K70"/>
    </row>
    <row r="71" spans="11:11" x14ac:dyDescent="0.2">
      <c r="K71"/>
    </row>
    <row r="72" spans="11:11" x14ac:dyDescent="0.2">
      <c r="K72"/>
    </row>
    <row r="73" spans="11:11" x14ac:dyDescent="0.2">
      <c r="K73"/>
    </row>
    <row r="74" spans="11:11" x14ac:dyDescent="0.2">
      <c r="K74"/>
    </row>
    <row r="75" spans="11:11" x14ac:dyDescent="0.2">
      <c r="K75"/>
    </row>
    <row r="76" spans="11:11" x14ac:dyDescent="0.2">
      <c r="K76"/>
    </row>
    <row r="77" spans="11:11" x14ac:dyDescent="0.2">
      <c r="K77"/>
    </row>
    <row r="78" spans="11:11" x14ac:dyDescent="0.2">
      <c r="K78"/>
    </row>
    <row r="79" spans="11:11" x14ac:dyDescent="0.2">
      <c r="K79"/>
    </row>
    <row r="80" spans="11:11" x14ac:dyDescent="0.2">
      <c r="K80"/>
    </row>
    <row r="81" spans="11:11" x14ac:dyDescent="0.2">
      <c r="K81"/>
    </row>
    <row r="82" spans="11:11" x14ac:dyDescent="0.2">
      <c r="K82"/>
    </row>
    <row r="83" spans="11:11" x14ac:dyDescent="0.2">
      <c r="K83"/>
    </row>
    <row r="84" spans="11:11" x14ac:dyDescent="0.2">
      <c r="K84"/>
    </row>
    <row r="85" spans="11:11" x14ac:dyDescent="0.2">
      <c r="K85"/>
    </row>
    <row r="86" spans="11:11" x14ac:dyDescent="0.2">
      <c r="K86"/>
    </row>
    <row r="87" spans="11:11" x14ac:dyDescent="0.2">
      <c r="K87"/>
    </row>
  </sheetData>
  <autoFilter ref="O2:P42" xr:uid="{7E81176C-3EDB-E343-8296-6BDB3212445B}"/>
  <mergeCells count="2">
    <mergeCell ref="A1:J1"/>
    <mergeCell ref="L1:W1"/>
  </mergeCells>
  <conditionalFormatting sqref="D2:D1047672 O2:O1047721">
    <cfRule type="containsText" dxfId="3" priority="5" stopIfTrue="1" operator="containsText" text="canceled">
      <formula>NOT(ISERROR(SEARCH("canceled",D2)))</formula>
    </cfRule>
    <cfRule type="containsText" dxfId="2" priority="6" stopIfTrue="1" operator="containsText" text="live">
      <formula>NOT(ISERROR(SEARCH("live",D2)))</formula>
    </cfRule>
    <cfRule type="containsText" dxfId="1" priority="7" stopIfTrue="1" operator="containsText" text="failed">
      <formula>NOT(ISERROR(SEARCH("failed",D2)))</formula>
    </cfRule>
    <cfRule type="containsText" dxfId="0" priority="8" operator="containsText" text="successful">
      <formula>NOT(ISERROR(SEARCH("successful",D2)))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Pivot Category</vt:lpstr>
      <vt:lpstr>Pivot sub-category</vt:lpstr>
      <vt:lpstr>Pivot Chart</vt:lpstr>
      <vt:lpstr>Goal Analysis</vt:lpstr>
      <vt:lpstr>Statistical Analysis</vt:lpstr>
      <vt:lpstr>backers_no</vt:lpstr>
      <vt:lpstr>backers_yes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2022-12-20T03:05:45Z</dcterms:modified>
</cp:coreProperties>
</file>